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autoCompressPictures="0" defaultThemeVersion="166925"/>
  <mc:AlternateContent xmlns:mc="http://schemas.openxmlformats.org/markup-compatibility/2006">
    <mc:Choice Requires="x15">
      <x15ac:absPath xmlns:x15ac="http://schemas.microsoft.com/office/spreadsheetml/2010/11/ac" url="O:\AllisonD\Website Updates Documents\"/>
    </mc:Choice>
  </mc:AlternateContent>
  <xr:revisionPtr revIDLastSave="0" documentId="8_{1322B47D-5030-44E5-8B3D-23FF446D0295}" xr6:coauthVersionLast="47" xr6:coauthVersionMax="47" xr10:uidLastSave="{00000000-0000-0000-0000-000000000000}"/>
  <bookViews>
    <workbookView xWindow="-120" yWindow="-120" windowWidth="29040" windowHeight="15720" tabRatio="797" firstSheet="3" activeTab="3" xr2:uid="{00000000-000D-0000-FFFF-FFFF00000000}"/>
  </bookViews>
  <sheets>
    <sheet name="Review_Extract_Data" sheetId="15" state="hidden" r:id="rId1"/>
    <sheet name="DataDump" sheetId="13" state="hidden" r:id="rId2"/>
    <sheet name="Hidden" sheetId="14" state="hidden" r:id="rId3"/>
    <sheet name="Instructions" sheetId="17" r:id="rId4"/>
    <sheet name="1. Dashboard" sheetId="16" r:id="rId5"/>
    <sheet name="2. L-2 Worksheet" sheetId="4" r:id="rId6"/>
    <sheet name="3. L-2 Dollar Certification" sheetId="7" r:id="rId7"/>
    <sheet name="4. Levy Rate Calculation" sheetId="10" r:id="rId8"/>
    <sheet name="5. Voter Tracker" sheetId="9" r:id="rId9"/>
  </sheets>
  <definedNames>
    <definedName name="_xlnm._FilterDatabase" localSheetId="1" hidden="1">DataDump!$A$1:$H$1334</definedName>
    <definedName name="CountyList">Hidden!$A$2:$A$26</definedName>
    <definedName name="DistrictName">'1. Dashboard'!$G$10</definedName>
    <definedName name="_xlnm.Print_Area" localSheetId="5">'2. L-2 Worksheet'!$B$2:$I$74</definedName>
    <definedName name="_xlnm.Print_Area" localSheetId="6">'3. L-2 Dollar Certification'!$B$2:$H$64</definedName>
    <definedName name="_xlnm.Print_Area" localSheetId="7">'4. Levy Rate Calculation'!$B$2:$H$55</definedName>
    <definedName name="_xlnm.Print_Area" localSheetId="8">'5. Voter Tracker'!$B$2:$I$34</definedName>
    <definedName name="_xlnm.Print_Area" localSheetId="3">Instructions!$B$2:$S$16</definedName>
    <definedName name="YesNo">Hidden!$C$2:$C$4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5" l="1"/>
  <c r="C2" i="15"/>
  <c r="B13" i="4" l="1"/>
  <c r="AL2" i="15"/>
  <c r="AL3" i="15" s="1"/>
  <c r="F16" i="10"/>
  <c r="F15" i="10"/>
  <c r="F14" i="10"/>
  <c r="F13" i="10"/>
  <c r="F45" i="10" l="1"/>
  <c r="H45" i="10" s="1"/>
  <c r="F46" i="10"/>
  <c r="H46" i="10" s="1"/>
  <c r="F47" i="10"/>
  <c r="H47" i="10" s="1"/>
  <c r="F48" i="10"/>
  <c r="H48" i="10" s="1"/>
  <c r="F49" i="10"/>
  <c r="H49" i="10" s="1"/>
  <c r="F50" i="10"/>
  <c r="H50" i="10" s="1"/>
  <c r="F51" i="10"/>
  <c r="F52" i="10"/>
  <c r="H52" i="10" s="1"/>
  <c r="F43" i="10"/>
  <c r="H43" i="10" s="1"/>
  <c r="F39" i="10"/>
  <c r="H39" i="10" s="1"/>
  <c r="F40" i="10"/>
  <c r="H40" i="10" s="1"/>
  <c r="F38" i="10"/>
  <c r="F24" i="10"/>
  <c r="H24" i="10" s="1"/>
  <c r="F25" i="10"/>
  <c r="H25" i="10" s="1"/>
  <c r="F26" i="10"/>
  <c r="H26" i="10" s="1"/>
  <c r="F27" i="10"/>
  <c r="H27" i="10" s="1"/>
  <c r="F28" i="10"/>
  <c r="H28" i="10" s="1"/>
  <c r="F29" i="10"/>
  <c r="H29" i="10" s="1"/>
  <c r="F30" i="10"/>
  <c r="H30" i="10" s="1"/>
  <c r="F31" i="10"/>
  <c r="H31" i="10" s="1"/>
  <c r="F32" i="10"/>
  <c r="H32" i="10" s="1"/>
  <c r="F33" i="10"/>
  <c r="H33" i="10" s="1"/>
  <c r="F34" i="10"/>
  <c r="H34" i="10" s="1"/>
  <c r="F35" i="10"/>
  <c r="H35" i="10" s="1"/>
  <c r="F36" i="10"/>
  <c r="H36" i="10" s="1"/>
  <c r="F37" i="10"/>
  <c r="H37" i="10" s="1"/>
  <c r="F21" i="10"/>
  <c r="H21" i="10" s="1"/>
  <c r="F22" i="10"/>
  <c r="H22" i="10" s="1"/>
  <c r="F23" i="10"/>
  <c r="H23" i="10" s="1"/>
  <c r="B4" i="9"/>
  <c r="B4" i="7"/>
  <c r="C4" i="10"/>
  <c r="D19" i="10"/>
  <c r="H51" i="10"/>
  <c r="H38" i="10"/>
  <c r="G49" i="4"/>
  <c r="B49" i="4" s="1"/>
  <c r="R3" i="15"/>
  <c r="R2" i="15"/>
  <c r="B54" i="4"/>
  <c r="C11" i="10"/>
  <c r="E6" i="10"/>
  <c r="AG18" i="13"/>
  <c r="AG2" i="13"/>
  <c r="C50" i="7"/>
  <c r="B73" i="4"/>
  <c r="G44" i="4"/>
  <c r="G42" i="4"/>
  <c r="G25" i="16"/>
  <c r="G24" i="16"/>
  <c r="S2" i="15" l="1"/>
  <c r="B18" i="4"/>
  <c r="B3" i="4"/>
  <c r="G23" i="16"/>
  <c r="G22" i="16"/>
  <c r="G19" i="16"/>
  <c r="G18" i="16"/>
  <c r="G16" i="16"/>
  <c r="G15" i="16"/>
  <c r="G13" i="16"/>
  <c r="G12" i="16"/>
  <c r="AQ3" i="15"/>
  <c r="G52" i="7"/>
  <c r="B51" i="4"/>
  <c r="AH1" i="15"/>
  <c r="AG1" i="15"/>
  <c r="AF1" i="15"/>
  <c r="B2" i="15"/>
  <c r="B3" i="15" s="1"/>
  <c r="E18" i="4" l="1"/>
  <c r="I56" i="16" l="1"/>
  <c r="I55" i="16"/>
  <c r="G65" i="4"/>
  <c r="G66" i="4"/>
  <c r="W2" i="15" s="1"/>
  <c r="G69" i="4"/>
  <c r="G70" i="4"/>
  <c r="G64" i="4"/>
  <c r="G63" i="4"/>
  <c r="G62" i="4"/>
  <c r="G56" i="4"/>
  <c r="B32" i="4"/>
  <c r="B29" i="4"/>
  <c r="G27" i="4"/>
  <c r="G26" i="4"/>
  <c r="B26" i="4"/>
  <c r="D5" i="4"/>
  <c r="E14" i="4" s="1"/>
  <c r="B15" i="4"/>
  <c r="B14" i="4"/>
  <c r="B5" i="4"/>
  <c r="G58" i="4"/>
  <c r="G57" i="4"/>
  <c r="G43" i="4"/>
  <c r="G46" i="4" s="1"/>
  <c r="G41" i="4"/>
  <c r="G45" i="4" s="1"/>
  <c r="G33" i="4"/>
  <c r="G32" i="4"/>
  <c r="G30" i="4"/>
  <c r="G29" i="4"/>
  <c r="G23" i="4"/>
  <c r="G22" i="4"/>
  <c r="H38" i="16"/>
  <c r="B2" i="9"/>
  <c r="B2" i="10"/>
  <c r="B2" i="7"/>
  <c r="B17" i="4"/>
  <c r="I54" i="16"/>
  <c r="B53" i="16"/>
  <c r="B52" i="16"/>
  <c r="P20" i="13"/>
  <c r="H50" i="7" l="1"/>
  <c r="B52" i="7"/>
  <c r="U2" i="15"/>
  <c r="I67" i="4"/>
  <c r="G14" i="4"/>
  <c r="G8" i="4"/>
  <c r="I8" i="4"/>
  <c r="E9" i="4"/>
  <c r="G9" i="4"/>
  <c r="E13" i="4"/>
  <c r="G13" i="4"/>
  <c r="I13" i="4"/>
  <c r="G10" i="4"/>
  <c r="I14" i="4"/>
  <c r="E5" i="4"/>
  <c r="I10" i="4"/>
  <c r="G5" i="4"/>
  <c r="E11" i="4"/>
  <c r="I5" i="4"/>
  <c r="G11" i="4"/>
  <c r="E6" i="4"/>
  <c r="I11" i="4"/>
  <c r="G6" i="4"/>
  <c r="E12" i="4"/>
  <c r="I6" i="4"/>
  <c r="G12" i="4"/>
  <c r="E8" i="4"/>
  <c r="I12" i="4"/>
  <c r="I9" i="4"/>
  <c r="D6" i="4"/>
  <c r="E2" i="15" l="1"/>
  <c r="E3" i="15" s="1"/>
  <c r="E7" i="4"/>
  <c r="E15" i="4" s="1"/>
  <c r="I7" i="4"/>
  <c r="I15" i="4" s="1"/>
  <c r="G7" i="4"/>
  <c r="G15" i="4" s="1"/>
  <c r="I53" i="16" l="1"/>
  <c r="I20" i="4"/>
  <c r="H54" i="16" s="1"/>
  <c r="G59" i="4"/>
  <c r="I21" i="4"/>
  <c r="F3" i="15" s="1"/>
  <c r="H53" i="16" l="1"/>
  <c r="F2" i="15"/>
  <c r="I71" i="4"/>
  <c r="G47" i="7" s="1"/>
  <c r="I23" i="4"/>
  <c r="G36" i="4" s="1"/>
  <c r="I22" i="4"/>
  <c r="AK2" i="15"/>
  <c r="AK3" i="15"/>
  <c r="AJ3" i="15"/>
  <c r="AJ2" i="15"/>
  <c r="AI3" i="15"/>
  <c r="AI2" i="15"/>
  <c r="G35" i="4" l="1"/>
  <c r="G37" i="4" s="1"/>
  <c r="I49" i="16"/>
  <c r="H49" i="16" s="1"/>
  <c r="G48" i="4"/>
  <c r="T3" i="15" s="1"/>
  <c r="G38" i="4"/>
  <c r="B34" i="7"/>
  <c r="G47" i="4" l="1"/>
  <c r="I39" i="4"/>
  <c r="I50" i="16" s="1"/>
  <c r="H50" i="16" s="1"/>
  <c r="AH2" i="15"/>
  <c r="Z2" i="15"/>
  <c r="Y2" i="15"/>
  <c r="X2" i="15"/>
  <c r="V2" i="15"/>
  <c r="Q3" i="15"/>
  <c r="Q2" i="15"/>
  <c r="H3" i="15"/>
  <c r="H2" i="15"/>
  <c r="D3" i="15"/>
  <c r="D2" i="15"/>
  <c r="T2" i="15" l="1"/>
  <c r="I50" i="4"/>
  <c r="I52" i="16"/>
  <c r="H52" i="16" s="1"/>
  <c r="G16" i="10"/>
  <c r="H16" i="10"/>
  <c r="G52" i="4" l="1"/>
  <c r="G53" i="4"/>
  <c r="N2" i="15" s="1"/>
  <c r="G3" i="15"/>
  <c r="I51" i="16" l="1"/>
  <c r="H51" i="16" s="1"/>
  <c r="O2" i="15"/>
  <c r="I54" i="4"/>
  <c r="I60" i="4" s="1"/>
  <c r="I73" i="4" s="1"/>
  <c r="G2" i="15"/>
  <c r="I3" i="15"/>
  <c r="I2" i="15"/>
  <c r="I57" i="16" l="1"/>
  <c r="H57" i="16" s="1"/>
  <c r="H56" i="16"/>
  <c r="H42" i="16"/>
  <c r="H55" i="16"/>
  <c r="H40" i="16"/>
  <c r="J3" i="15"/>
  <c r="J2" i="15"/>
  <c r="G48" i="7" l="1"/>
  <c r="G49" i="7"/>
  <c r="G50" i="7"/>
  <c r="C49" i="7"/>
  <c r="B48" i="7"/>
  <c r="C29" i="7"/>
  <c r="B29" i="7"/>
  <c r="B28" i="7"/>
  <c r="C28" i="7"/>
  <c r="B9" i="9"/>
  <c r="B11" i="9"/>
  <c r="B10" i="9"/>
  <c r="B15" i="10" l="1"/>
  <c r="P2" i="15" l="1"/>
  <c r="O3" i="15"/>
  <c r="H32" i="7"/>
  <c r="H30" i="7"/>
  <c r="H44" i="7"/>
  <c r="H43" i="7"/>
  <c r="H42" i="7"/>
  <c r="H41" i="7"/>
  <c r="H40" i="7"/>
  <c r="H39" i="7"/>
  <c r="H38" i="7"/>
  <c r="H37" i="7"/>
  <c r="H36" i="7"/>
  <c r="AA2" i="15" l="1"/>
  <c r="F31" i="7"/>
  <c r="E31" i="7"/>
  <c r="D31" i="7"/>
  <c r="B40" i="10" l="1"/>
  <c r="B39" i="10"/>
  <c r="B46" i="10" l="1"/>
  <c r="B47" i="10"/>
  <c r="B48" i="10"/>
  <c r="B49" i="10"/>
  <c r="B50" i="10"/>
  <c r="B51" i="10"/>
  <c r="B52" i="10"/>
  <c r="C46" i="10"/>
  <c r="C47" i="10"/>
  <c r="C48" i="10"/>
  <c r="C49" i="10"/>
  <c r="C50" i="10"/>
  <c r="C51" i="10"/>
  <c r="C52" i="10"/>
  <c r="E45" i="7"/>
  <c r="E46" i="7" s="1"/>
  <c r="F45" i="7"/>
  <c r="F46" i="7" s="1"/>
  <c r="AD2" i="15" s="1"/>
  <c r="D45" i="7"/>
  <c r="D46" i="7" s="1"/>
  <c r="B44" i="10" l="1"/>
  <c r="B45" i="10"/>
  <c r="B43" i="10"/>
  <c r="C45" i="10" l="1"/>
  <c r="C44" i="10"/>
  <c r="F44" i="10" s="1"/>
  <c r="H44" i="10" s="1"/>
  <c r="B27" i="10" l="1"/>
  <c r="B28" i="10"/>
  <c r="B29" i="10"/>
  <c r="B30" i="10"/>
  <c r="B31" i="10"/>
  <c r="B32" i="10"/>
  <c r="B33" i="10"/>
  <c r="B34" i="10"/>
  <c r="B35" i="10"/>
  <c r="B36" i="10"/>
  <c r="B37" i="10"/>
  <c r="B38" i="10"/>
  <c r="B21" i="10" l="1"/>
  <c r="B22" i="10"/>
  <c r="B23" i="10"/>
  <c r="B24" i="10"/>
  <c r="B25" i="10"/>
  <c r="B26" i="10"/>
  <c r="B20" i="10" l="1"/>
  <c r="H17" i="9" l="1"/>
  <c r="I17" i="9" s="1"/>
  <c r="H18" i="9"/>
  <c r="I18" i="9" s="1"/>
  <c r="H19" i="9"/>
  <c r="I19" i="9" s="1"/>
  <c r="H20" i="9"/>
  <c r="I20" i="9" s="1"/>
  <c r="H21" i="9"/>
  <c r="I21" i="9" s="1"/>
  <c r="H15" i="10"/>
  <c r="G15" i="10"/>
  <c r="G24" i="9"/>
  <c r="H23" i="9"/>
  <c r="I23" i="9" s="1"/>
  <c r="H22" i="9"/>
  <c r="I22" i="9" s="1"/>
  <c r="H28" i="7" l="1"/>
  <c r="H9" i="7"/>
  <c r="C39" i="10" l="1"/>
  <c r="H29" i="7" l="1"/>
  <c r="C40" i="10" s="1"/>
  <c r="H10" i="7"/>
  <c r="C20" i="10"/>
  <c r="F20" i="10" s="1"/>
  <c r="H20" i="10" s="1"/>
  <c r="C21" i="10" l="1"/>
  <c r="H11" i="7"/>
  <c r="C22" i="10" s="1"/>
  <c r="H12" i="7" l="1"/>
  <c r="H13" i="7" l="1"/>
  <c r="C23" i="10"/>
  <c r="C24" i="10" l="1"/>
  <c r="H14" i="7"/>
  <c r="H35" i="7"/>
  <c r="H15" i="7" l="1"/>
  <c r="C26" i="10" s="1"/>
  <c r="C25" i="10"/>
  <c r="G45" i="7"/>
  <c r="H16" i="7" l="1"/>
  <c r="H45" i="7"/>
  <c r="AC2" i="15" s="1"/>
  <c r="C43" i="10"/>
  <c r="C27" i="10" l="1"/>
  <c r="H17" i="7"/>
  <c r="C28" i="10" s="1"/>
  <c r="C53" i="10"/>
  <c r="H18" i="7" l="1"/>
  <c r="C29" i="10" s="1"/>
  <c r="F53" i="10"/>
  <c r="AN2" i="15" s="1"/>
  <c r="H19" i="7" l="1"/>
  <c r="C30" i="10" s="1"/>
  <c r="H20" i="7" l="1"/>
  <c r="C31" i="10" s="1"/>
  <c r="H21" i="7" l="1"/>
  <c r="C32" i="10" s="1"/>
  <c r="H22" i="7" l="1"/>
  <c r="C33" i="10" s="1"/>
  <c r="H23" i="7" l="1"/>
  <c r="C34" i="10" s="1"/>
  <c r="H24" i="7" l="1"/>
  <c r="C35" i="10" s="1"/>
  <c r="AF2" i="15" l="1"/>
  <c r="H25" i="7"/>
  <c r="C36" i="10" s="1"/>
  <c r="H26" i="7" l="1"/>
  <c r="AQ2" i="15" s="1"/>
  <c r="C37" i="10" l="1"/>
  <c r="AB2" i="15"/>
  <c r="G31" i="7"/>
  <c r="G46" i="7" s="1"/>
  <c r="AE2" i="15" s="1"/>
  <c r="H27" i="7"/>
  <c r="AB3" i="15" s="1"/>
  <c r="C38" i="10" l="1"/>
  <c r="H31" i="7"/>
  <c r="H48" i="7" l="1"/>
  <c r="AG2" i="15" s="1"/>
  <c r="AM3" i="15"/>
  <c r="AO3" i="15"/>
  <c r="H46" i="7"/>
  <c r="C41" i="10"/>
  <c r="C54" i="10" s="1"/>
  <c r="F41" i="10" l="1"/>
  <c r="AO2" i="15" s="1"/>
  <c r="F54" i="10" l="1"/>
  <c r="AM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tc={3E94F99E-BBF6-4BBB-8D7F-A9385964CBF8}</author>
    <author>tc={887874F3-6649-4294-83E8-26D277E7E1B8}</author>
    <author>tc={F003EF1D-C3F4-4A2D-808F-63C5302D5124}</author>
    <author>tc={E8401FBE-EC75-4DD5-A3AC-63305CF5B155}</author>
    <author>tc={C552397B-2BFE-48B5-888D-0FAFCBB5D609}</author>
    <author>tc={CD6054E0-AF96-4E71-A433-C4BA9C57312C}</author>
    <author>tc={7EB1B5C1-48CC-43F2-9337-4054738B594F}</author>
    <author>tc={5DCE5089-F8CF-4D3B-A705-DF6872294F2C}</author>
    <author>tc={BEBF6E3D-09CA-4694-A6E2-B25DF6FE817C}</author>
    <author>tc={D48CB916-4521-4D0D-A290-2AB3BEDF063E}</author>
  </authors>
  <commentList>
    <comment ref="A1" authorId="0" shapeId="0" xr:uid="{3E94F99E-BBF6-4BBB-8D7F-A9385964CBF8}">
      <text>
        <t>[Threaded comment]
Your version of Excel allows you to read this threaded comment; however, any edits to it will get removed if the file is opened in a newer version of Excel. Learn more: https://go.microsoft.com/fwlink/?linkid=870924
Comment:
    For the formulas to match values correctly, BearLake, NezPerce, and TwinFalls counties cannot have spaces in their names.</t>
      </text>
    </comment>
    <comment ref="C1" authorId="1" shapeId="0" xr:uid="{887874F3-6649-4294-83E8-26D277E7E1B8}">
      <text>
        <t>[Threaded comment]
Your version of Excel allows you to read this threaded comment; however, any edits to it will get removed if the file is opened in a newer version of Excel. Learn more: https://go.microsoft.com/fwlink/?linkid=870924
Comment:
    For the L-2 to fill data correctly, this tab must remain sorted alphabetically by DistName.
Reply:
    Highlighted counties MUST use this form. The other listed counties may use this form but it shouldn't be different from the "General" form.</t>
      </text>
    </comment>
    <comment ref="G1" authorId="2" shapeId="0" xr:uid="{F003EF1D-C3F4-4A2D-808F-63C5302D5124}">
      <text>
        <t>[Threaded comment]
Your version of Excel allows you to read this threaded comment; however, any edits to it will get removed if the file is opened in a newer version of Excel. Learn more: https://go.microsoft.com/fwlink/?linkid=870924
Comment:
    Updated to 2024 OP values on 1/3/2025</t>
      </text>
    </comment>
    <comment ref="H1" authorId="3" shapeId="0" xr:uid="{E8401FBE-EC75-4DD5-A3AC-63305CF5B155}">
      <text>
        <t>[Threaded comment]
Your version of Excel allows you to read this threaded comment; however, any edits to it will get removed if the file is opened in a newer version of Excel. Learn more: https://go.microsoft.com/fwlink/?linkid=870924
Comment:
    Updated to 2024 OP values on 1/3/2025</t>
      </text>
    </comment>
    <comment ref="K1" authorId="4" shapeId="0" xr:uid="{C552397B-2BFE-48B5-888D-0FAFCBB5D609}">
      <text>
        <t>[Threaded comment]
Your version of Excel allows you to read this threaded comment; however, any edits to it will get removed if the file is opened in a newer version of Excel. Learn more: https://go.microsoft.com/fwlink/?linkid=870924
Comment:
    Updated 3/20/23 with figures that include the R&amp;B</t>
      </text>
    </comment>
    <comment ref="S1" authorId="5" shapeId="0" xr:uid="{CD6054E0-AF96-4E71-A433-C4BA9C57312C}">
      <text>
        <t>[Threaded comment]
Your version of Excel allows you to read this threaded comment; however, any edits to it will get removed if the file is opened in a newer version of Excel. Learn more: https://go.microsoft.com/fwlink/?linkid=870924
Comment:
    We didn’t use this method in 2022</t>
      </text>
    </comment>
    <comment ref="U1" authorId="6" shapeId="0" xr:uid="{7EB1B5C1-48CC-43F2-9337-4054738B594F}">
      <text>
        <t>[Threaded comment]
Your version of Excel allows you to read this threaded comment; however, any edits to it will get removed if the file is opened in a newer version of Excel. Learn more: https://go.microsoft.com/fwlink/?linkid=870924
Comment:
    If an error was determined to be a budget error where the budget grew incorrectly and was corrected with a reduction in the following year, those reductions are NOT treated as replacements. 
If an error was a valuation error that resulted in too much revenue for the district (but budget was set correctly), then the reduction in the following year would be treated as replacements.</t>
      </text>
    </comment>
    <comment ref="Y1" authorId="7" shapeId="0" xr:uid="{5DCE5089-F8CF-4D3B-A705-DF6872294F2C}">
      <text>
        <t>[Threaded comment]
Your version of Excel allows you to read this threaded comment; however, any edits to it will get removed if the file is opened in a newer version of Excel. Learn more: https://go.microsoft.com/fwlink/?linkid=870924
Comment:
    2025 Forgone amounts updated - 1/3/2025</t>
      </text>
    </comment>
    <comment ref="C12" authorId="8" shapeId="0" xr:uid="{BEBF6E3D-09CA-4694-A6E2-B25DF6FE817C}">
      <text>
        <t>[Threaded comment]
Your version of Excel allows you to read this threaded comment; however, any edits to it will get removed if the file is opened in a newer version of Excel. Learn more: https://go.microsoft.com/fwlink/?linkid=870924
Comment:
    Hasn't levied for R&amp;B for over 3 yrs</t>
      </text>
    </comment>
    <comment ref="C22" authorId="9" shapeId="0" xr:uid="{D48CB916-4521-4D0D-A290-2AB3BEDF063E}">
      <text>
        <t>[Threaded comment]
Your version of Excel allows you to read this threaded comment; however, any edits to it will get removed if the file is opened in a newer version of Excel. Learn more: https://go.microsoft.com/fwlink/?linkid=870924
Comment:
    Did not levy for R&amp;B in 2021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tc={50D2A384-A6A2-44C2-865B-69A641B7D144}</author>
    <author>tc={CA58D89E-B1D5-4B19-BA9B-9D399917ADC8}</author>
    <author>tc={1E3FF760-EB62-42E4-97A1-F019FA214901}</author>
  </authors>
  <commentList>
    <comment ref="H12" authorId="0" shapeId="0" xr:uid="{50D2A384-A6A2-44C2-865B-69A641B7D144}">
      <text>
        <t>[Threaded comment]
Your version of Excel allows you to read this threaded comment; however, any edits to it will get removed if the file is opened in a newer version of Excel. Learn more: https://go.microsoft.com/fwlink/?linkid=870924
Comment:
    Change this value if you would like to calculate a maximum using less than 3% base budget growth.
The default is set to 3% because that is the maximum value and the purpose of the form is to calculate the legal maximum.</t>
      </text>
    </comment>
    <comment ref="B39" authorId="1" shapeId="0" xr:uid="{CA58D89E-B1D5-4B19-BA9B-9D399917ADC8}">
      <text>
        <t>[Threaded comment]
Your version of Excel allows you to read this threaded comment; however, any edits to it will get removed if the file is opened in a newer version of Excel. Learn more: https://go.microsoft.com/fwlink/?linkid=870924
Comment:
    Once all the above boxes are completed, you can look at the L-2 Worksheet tab to review what the maximum property tax budget would be without using forgone amounts. This information can be used to guide your decision in this box.</t>
      </text>
    </comment>
    <comment ref="H57" authorId="2" shapeId="0" xr:uid="{1E3FF760-EB62-42E4-97A1-F019FA214901}">
      <text>
        <t>[Threaded comment]
Your version of Excel allows you to read this threaded comment; however, any edits to it will get removed if the file is opened in a newer version of Excel. Learn more: https://go.microsoft.com/fwlink/?linkid=870924
Comment:
    If forgone amounts have been recovered into the budget, then this figure will not equal the sum of the above percentages because forgone recovery percentages (1% &amp; 3%) are based on the budget after the initial increases have been allowed.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tc={690176EA-5F06-4F30-B8A6-206AB8A10730}</author>
    <author>tc={A4425859-192B-478C-A2AA-BFB58207FFC6}</author>
  </authors>
  <commentList>
    <comment ref="H48" authorId="0" shapeId="0" xr:uid="{690176EA-5F06-4F30-B8A6-206AB8A10730}">
      <text>
        <t>[Threaded comment]
Your version of Excel allows you to read this threaded comment; however, any edits to it will get removed if the file is opened in a newer version of Excel. Learn more: https://go.microsoft.com/fwlink/?linkid=870924
Comment:
    This amount should be the sum of the growth from: 3%, new construction, annexations, and expiring urban renewal minus the amount of growth being taken.</t>
      </text>
    </comment>
    <comment ref="H49" authorId="1" shapeId="0" xr:uid="{A4425859-192B-478C-A2AA-BFB58207FFC6}">
      <text>
        <t>[Threaded comment]
Your version of Excel allows you to read this threaded comment; however, any edits to it will get removed if the file is opened in a newer version of Excel. Learn more: https://go.microsoft.com/fwlink/?linkid=870924
Comment:
    If there is an amount in the box below, this box should be blank (the box below expands your budget growth this year and this amount reserves excess growth for the future; there should not be excess growth to reserve for the future if extra budget growth is needed via recovering forgone).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tc={D2BAE6D6-0F23-46D6-8ABB-B25CF97CA56D}</author>
  </authors>
  <commentList>
    <comment ref="C11" authorId="0" shapeId="0" xr:uid="{D2BAE6D6-0F23-46D6-8ABB-B25CF97CA56D}">
      <text>
        <t>[Threaded comment]
Your version of Excel allows you to read this threaded comment; however, any edits to it will get removed if the file is opened in a newer version of Excel. Learn more: https://go.microsoft.com/fwlink/?linkid=870924
Comment:
    This needs to include Operating Property Value from current year.</t>
      </text>
    </comment>
  </commentList>
</comments>
</file>

<file path=xl/sharedStrings.xml><?xml version="1.0" encoding="utf-8"?>
<sst xmlns="http://schemas.openxmlformats.org/spreadsheetml/2006/main" count="445" uniqueCount="374">
  <si>
    <t>District Name:</t>
  </si>
  <si>
    <t>(21)</t>
  </si>
  <si>
    <t>(20)</t>
  </si>
  <si>
    <t>(19)</t>
  </si>
  <si>
    <t>(18)</t>
  </si>
  <si>
    <t>(4)</t>
  </si>
  <si>
    <t>(3)</t>
  </si>
  <si>
    <t>(2)</t>
  </si>
  <si>
    <t>(1)</t>
  </si>
  <si>
    <t>1st Calendar Year Levied</t>
  </si>
  <si>
    <t>Date</t>
  </si>
  <si>
    <t>Title</t>
  </si>
  <si>
    <t>Signature of District Representative</t>
  </si>
  <si>
    <t>Column Total:</t>
  </si>
  <si>
    <t>Balance to be levied</t>
  </si>
  <si>
    <t>Fund</t>
  </si>
  <si>
    <t>Contact Name and Mailing Address</t>
  </si>
  <si>
    <t>Email Address</t>
  </si>
  <si>
    <t>Phone Number (###) ###-### EXT ###</t>
  </si>
  <si>
    <t>Fax Number (###) ###-###</t>
  </si>
  <si>
    <t>I certify that the amounts shown above accurately reflect the budget being certified in accordance with the provisions of I.C. §63-803.
To the best of my knowledge, this district has established and adopted this budget in accordance with all provisions of Idaho Law.</t>
  </si>
  <si>
    <t>Fund Name</t>
  </si>
  <si>
    <t>Term of Initiative</t>
  </si>
  <si>
    <t>Annual Amount Authorized by Voters</t>
  </si>
  <si>
    <t>District Bond Initiative (Voter Approved Bonds)</t>
  </si>
  <si>
    <t>Amount Authorized by Voters</t>
  </si>
  <si>
    <t>Prior Year 
P-Tax $</t>
  </si>
  <si>
    <t>Current Year
P-Tax $</t>
  </si>
  <si>
    <t xml:space="preserve">Current Year's Total Bond Fund (Reported on L-2 Col. 6):  </t>
  </si>
  <si>
    <t>Explanation (If Required):</t>
  </si>
  <si>
    <t>Date of Election
(If current year attach copy of Ballot)</t>
  </si>
  <si>
    <t>Date of Election</t>
  </si>
  <si>
    <r>
      <t xml:space="preserve">Other revenue </t>
    </r>
    <r>
      <rPr>
        <i/>
        <u/>
        <sz val="12"/>
        <rFont val="Calibri"/>
        <family val="2"/>
      </rPr>
      <t>NOT</t>
    </r>
    <r>
      <rPr>
        <sz val="12"/>
        <rFont val="Calibri"/>
        <family val="2"/>
      </rPr>
      <t xml:space="preserve"> shown in Column 5</t>
    </r>
  </si>
  <si>
    <t>(If current year, attach copy of Ballot)</t>
  </si>
  <si>
    <t>% Change
(+/- 20% Explan-
ation Required)</t>
  </si>
  <si>
    <t>"YES" = Explanation 
Required</t>
  </si>
  <si>
    <t>County</t>
  </si>
  <si>
    <t>Levy Calculation Area</t>
  </si>
  <si>
    <t>Levy Rate</t>
  </si>
  <si>
    <t>Maximum Levy Rate</t>
  </si>
  <si>
    <t>For I.C. §63-1305 Judgments, I.C §33-802 Judgment Obligations, temporary Override/Supplemental, and School Emergency funds increment value added if first certified after 12/31/2007. For Bonds, and Plant Facility, increment value added if voter approved after 12/31/2007, or if new RAA or RAA annexation. For any existing funds, the levy may need to be computed using part of the increment value if boundary changes have occurred.</t>
  </si>
  <si>
    <t>(the "L-2 Worksheet" and applicable "Voter Approved Fund Tracker" and budget publication must be attached)</t>
  </si>
  <si>
    <t>Balance to be levied
Col. 2 minus (Cols. 3+4+5)</t>
  </si>
  <si>
    <t>Cash Forward
Balance</t>
  </si>
  <si>
    <t>Total Approved
Budget*</t>
  </si>
  <si>
    <t>*Do not include revenue allocated to urban renewal agencies</t>
  </si>
  <si>
    <t>(22)</t>
  </si>
  <si>
    <t>County Road &amp; Bridge</t>
  </si>
  <si>
    <t>Column Subtotal:</t>
  </si>
  <si>
    <t>Exempt Funds</t>
  </si>
  <si>
    <t>Total</t>
  </si>
  <si>
    <t>Subtotal</t>
  </si>
  <si>
    <t>Bannock County</t>
  </si>
  <si>
    <t>Bear Lake County</t>
  </si>
  <si>
    <t>Benewah County</t>
  </si>
  <si>
    <t>Bingham County</t>
  </si>
  <si>
    <t>Boise County</t>
  </si>
  <si>
    <t>Bonner County</t>
  </si>
  <si>
    <t>Bonneville County</t>
  </si>
  <si>
    <t>Boundary County</t>
  </si>
  <si>
    <t>Caribou County</t>
  </si>
  <si>
    <t>Cassia County</t>
  </si>
  <si>
    <t>Franklin County</t>
  </si>
  <si>
    <t>Fremont County</t>
  </si>
  <si>
    <t>Gem County</t>
  </si>
  <si>
    <t>Idaho County</t>
  </si>
  <si>
    <t>Jefferson County</t>
  </si>
  <si>
    <t>Madison County</t>
  </si>
  <si>
    <t>Nez Perce County</t>
  </si>
  <si>
    <t>Owyhee County</t>
  </si>
  <si>
    <t>Payette County</t>
  </si>
  <si>
    <t>Teton County</t>
  </si>
  <si>
    <t>Valley County</t>
  </si>
  <si>
    <t>Washington County</t>
  </si>
  <si>
    <t>DistName</t>
  </si>
  <si>
    <t>Bannock</t>
  </si>
  <si>
    <t>Benewah</t>
  </si>
  <si>
    <t>Bingham</t>
  </si>
  <si>
    <t>Boise</t>
  </si>
  <si>
    <t>Bonner</t>
  </si>
  <si>
    <t>Bonneville</t>
  </si>
  <si>
    <t>Boundary</t>
  </si>
  <si>
    <t>Caribou</t>
  </si>
  <si>
    <t>Cassia</t>
  </si>
  <si>
    <t>Franklin</t>
  </si>
  <si>
    <t>Fremont</t>
  </si>
  <si>
    <t>Gem</t>
  </si>
  <si>
    <t>Idaho</t>
  </si>
  <si>
    <t>Jefferson</t>
  </si>
  <si>
    <t>Madison</t>
  </si>
  <si>
    <t>Owyhee</t>
  </si>
  <si>
    <t>Payette</t>
  </si>
  <si>
    <t>Teton</t>
  </si>
  <si>
    <t>Valley</t>
  </si>
  <si>
    <t>Washington</t>
  </si>
  <si>
    <t>NezPerce</t>
  </si>
  <si>
    <t>BearLake</t>
  </si>
  <si>
    <t>CoName</t>
  </si>
  <si>
    <t>CatName</t>
  </si>
  <si>
    <t>Ag Equipment Replacement</t>
  </si>
  <si>
    <t>NON-LEVIED FUNDS (must net zero)</t>
  </si>
  <si>
    <t>(24)</t>
  </si>
  <si>
    <t>(6a)</t>
  </si>
  <si>
    <t>(6b)</t>
  </si>
  <si>
    <t>County Road &amp; Bridge:</t>
  </si>
  <si>
    <t>County Road &amp; Bridge fund amount for the year indicated in line 1</t>
  </si>
  <si>
    <t>(7a)</t>
  </si>
  <si>
    <t>(7b)</t>
  </si>
  <si>
    <t>(8a)</t>
  </si>
  <si>
    <t>(8b)</t>
  </si>
  <si>
    <t>(9a)</t>
  </si>
  <si>
    <t>(9b)</t>
  </si>
  <si>
    <t>(12a)</t>
  </si>
  <si>
    <t>(12b)</t>
  </si>
  <si>
    <t>(13a)</t>
  </si>
  <si>
    <t>(13b)</t>
  </si>
  <si>
    <t>(23)</t>
  </si>
  <si>
    <t>(28)</t>
  </si>
  <si>
    <t>New Construction Budget Increases (NOT including expiring Urban Renewal):</t>
  </si>
  <si>
    <t>Expiring Urban Renewal Budget Increases:</t>
  </si>
  <si>
    <t>Attach to your L-2 form.</t>
  </si>
  <si>
    <t>^^This fund is not shared with the cities within your district.</t>
  </si>
  <si>
    <t>Clearwater County</t>
  </si>
  <si>
    <t>Shoshone County</t>
  </si>
  <si>
    <t>(25)</t>
  </si>
  <si>
    <t>(29)</t>
  </si>
  <si>
    <t>NewConstruction</t>
  </si>
  <si>
    <t>SolarTaxCurrentYear</t>
  </si>
  <si>
    <t>RecHE</t>
  </si>
  <si>
    <t>OtherReductions</t>
  </si>
  <si>
    <t>ForgoneRecovered_general</t>
  </si>
  <si>
    <t>ForgoneRecovered_capitalprojects</t>
  </si>
  <si>
    <t>NewConstructionBudgetIncrease</t>
  </si>
  <si>
    <t>8% Capped?</t>
  </si>
  <si>
    <t>GrowthLostTo8%Cap</t>
  </si>
  <si>
    <t>MaxNonExemptLevy</t>
  </si>
  <si>
    <t>Non-ExemptLeviedAmount</t>
  </si>
  <si>
    <t>ExemptLeviedAmount</t>
  </si>
  <si>
    <t>Other Revenue/HB292 Funds for Schools</t>
  </si>
  <si>
    <t>Replacements Listed</t>
  </si>
  <si>
    <t>2013 Personal Property Replacement</t>
  </si>
  <si>
    <t>2022 Personal Property Replacement</t>
  </si>
  <si>
    <t>3% Budget Increase</t>
  </si>
  <si>
    <t>NCPrelimLevyRate</t>
  </si>
  <si>
    <t>Maximum Allowable Non-Exempt Property Tax Amount to be Levied:</t>
  </si>
  <si>
    <t>^A proportionate share of the property tax portion of this fund is shared with each city within your district.</t>
  </si>
  <si>
    <t>Total Replacements (for balancing purposes; line 24 from "L-2 Worksheet")</t>
  </si>
  <si>
    <t>NetTaxableValueForLevyRateCalculation</t>
  </si>
  <si>
    <t>IncrementValue</t>
  </si>
  <si>
    <t>Post2007IncrementValue</t>
  </si>
  <si>
    <t>NonExemptLevyRate</t>
  </si>
  <si>
    <t>ExemptLevyRate</t>
  </si>
  <si>
    <t>TotalLevyRate</t>
  </si>
  <si>
    <t>Printed Name</t>
  </si>
  <si>
    <t>Highest Non-Exempt P-Tax Budget + P-Tax Replacement (from the 'Maximum Budget and Forgone Amount Worksheet')*                                             
Including County Road &amp; Bridge fund (Reduced by Indigent Public Defense Levied Amount for the Applicable Year)</t>
  </si>
  <si>
    <t>(5a)</t>
  </si>
  <si>
    <t>(5b)</t>
  </si>
  <si>
    <t>(10)</t>
  </si>
  <si>
    <t>2024 New construction preliminary levy rate for County minus County Road &amp; Bridge;                                                      (line 1 - line 2 + line 3) divided by (line 5a + line 6a)</t>
  </si>
  <si>
    <t>2024 New construction preliminary levy rate for County Road &amp; Bridge;                                                                                 (line 2 + line 4) divided by (line 5b + line 6b)</t>
  </si>
  <si>
    <t>2024 New construction allowable budget increase for County minus County Road &amp; Bridge;                                                      (multiply line 7a by line 8a)</t>
  </si>
  <si>
    <t>2024 New construction allowable budget increase for County Road &amp; Bridge;                                                      (multiply line 7b by line 8b)</t>
  </si>
  <si>
    <t>Total new construction roll budget increase (line 9a + line 9b)</t>
  </si>
  <si>
    <t>(11a)</t>
  </si>
  <si>
    <t>(11b)</t>
  </si>
  <si>
    <t>2023SolarTax</t>
  </si>
  <si>
    <t>Countywide</t>
  </si>
  <si>
    <t>Yearly amount of the agricultural equipment replacement money</t>
  </si>
  <si>
    <t>Yearly amount of the 2013 personal property replacement money</t>
  </si>
  <si>
    <t>Yearly amount of the 2022 personal property replacement money</t>
  </si>
  <si>
    <t>Allowable Base Budget Calculation:</t>
  </si>
  <si>
    <t>New Construction, Annexation, &amp; Expiring Urban Renewal Allowable Budget Increases Calculation:</t>
  </si>
  <si>
    <t>Up to 3% Base Budget Growth for County minus County Road &amp; Bridge (line 1 minus line 2)</t>
  </si>
  <si>
    <t>Up to 3% Base Budget Growth for County Road &amp; Bridge fund (line 2)</t>
  </si>
  <si>
    <t>(3a)</t>
  </si>
  <si>
    <t>(4a)</t>
  </si>
  <si>
    <t>2025 Net Taxable Value+Sub-roll</t>
  </si>
  <si>
    <t>2024County_OperatingProperty</t>
  </si>
  <si>
    <t>2024CountyRoad&amp;Bridge_OperatingProperty</t>
  </si>
  <si>
    <t>2025 Forgone</t>
  </si>
  <si>
    <t>2022SolarTax</t>
  </si>
  <si>
    <t>2024SolarTax</t>
  </si>
  <si>
    <t>Instructions &amp; Notes</t>
  </si>
  <si>
    <t>Enter values or select text in the fields that are this color:</t>
  </si>
  <si>
    <t>Fields that turn red are above their cap or conflict with another field:</t>
  </si>
  <si>
    <t>Incorrect values</t>
  </si>
  <si>
    <t>If prompted: click "Enable Editing" or "Enable Content" on Excel Workbook</t>
  </si>
  <si>
    <t>Total 2025 Net Taxable Value + Estimated Sub-roll:</t>
  </si>
  <si>
    <t xml:space="preserve">      (not including Operating Property)</t>
  </si>
  <si>
    <t>No</t>
  </si>
  <si>
    <t>Yes</t>
  </si>
  <si>
    <t>"Recovered/Recaptured Property Tax and Refund List" form data</t>
  </si>
  <si>
    <t>Did this district receive Solar Farm Tax?
(Column 1 of "Recovered/Recaptured Property Tax and Refund List")</t>
  </si>
  <si>
    <t>Enter current year's amount of Solar Farm Tax here (7/1/24 - 6/30/25):</t>
  </si>
  <si>
    <t>Did this district receive income from recovered homeowner's exemptions?
(Column 2 of the "Recovered/Recaptured Property Tax and Refund List")</t>
  </si>
  <si>
    <t>Enter the amount received from recovered homeowner's exemptions:</t>
  </si>
  <si>
    <t>Does the "Recovered/Recaptured Property Tax and Refund List" form have any amounts in column 3 for this district? (Recaptured QIE)</t>
  </si>
  <si>
    <t>Enter the amount received from recaptured QIE:</t>
  </si>
  <si>
    <t>Does the "Recovered/Recaptured Property Tax and Refund List" form have any amounts in column 4 for this district? (Other reductions)</t>
  </si>
  <si>
    <t>Enter any other reductions to levying authority for 2025:</t>
  </si>
  <si>
    <t>District's Existing Forgone Balance:</t>
  </si>
  <si>
    <t>Max Forgone Allowed to Recover for Maintenance &amp; Operations (up to 1%):</t>
  </si>
  <si>
    <t>Enter Amount of Forgone to be Recovered for Maintenance &amp; Operations:</t>
  </si>
  <si>
    <t>Max Forgone Allowed to Recover for Capital Projects (up to 3%):</t>
  </si>
  <si>
    <t>Enter Amount of Forgone to be Recovered for Capital Projects:</t>
  </si>
  <si>
    <t>Please complete and submit a resolution to recover forgone</t>
  </si>
  <si>
    <t>Non-Exempt Budget Increase Calculation Summary</t>
  </si>
  <si>
    <t>Base budget increase selected (up to 3% selected above)</t>
  </si>
  <si>
    <t>New construction budget increase</t>
  </si>
  <si>
    <t>Effect of 8% cap on new construction &amp; annexation increases</t>
  </si>
  <si>
    <t>Other reductions to levying authority</t>
  </si>
  <si>
    <t>Extra increase to the maximum budget from forgone amounts 
      (Maintenance &amp; Operations)</t>
  </si>
  <si>
    <t>Extra increase to the maximum budget from forgone amounts 
      (Capital Projects)</t>
  </si>
  <si>
    <t>Total non-exempt budget increase</t>
  </si>
  <si>
    <t>Recovery of Forgone Amounts:</t>
  </si>
  <si>
    <t>Does this county have expiring Urban Renewal?</t>
  </si>
  <si>
    <t>2025 L-2 DASHBOARD (County w/R&amp;B)</t>
  </si>
  <si>
    <t>Enter 2025 New Construction value:     
      (reported by County Assessor at 90%)</t>
  </si>
  <si>
    <t>Will the district use its forgone balance to increase this year's budget?</t>
  </si>
  <si>
    <t>2024 Operating Property Value:</t>
  </si>
  <si>
    <t>2025 Net Taxable Value of Real &amp; Personal Property (Including Estimated Sub-Roll):</t>
  </si>
  <si>
    <t>2025 New Construction Roll Values:</t>
  </si>
  <si>
    <t>Previous Three Years' Property Tax Budget Data</t>
  </si>
  <si>
    <t>Amounts from 'Maximum Budget &amp; Forgone Amounts Worksheet':</t>
  </si>
  <si>
    <t>Agricultural Equipment Replacement Money (+)</t>
  </si>
  <si>
    <t>2013 Personal Property Replacement Money (+)</t>
  </si>
  <si>
    <t>2022 Personal Property Replacement Money (+)</t>
  </si>
  <si>
    <t>Recovered Homeowner's Exemptions (+)</t>
  </si>
  <si>
    <t>Other Reductions (+)</t>
  </si>
  <si>
    <t>2022 County non-exempt Budget</t>
  </si>
  <si>
    <t>2023 County non-exempt Budget</t>
  </si>
  <si>
    <t>2024 County non-exempt Budget</t>
  </si>
  <si>
    <t>2022 County R&amp;B non-exempt Budget</t>
  </si>
  <si>
    <t>2023 County R&amp;B non-exempt Budget</t>
  </si>
  <si>
    <t>2024 County R&amp;B non-exempt Budget</t>
  </si>
  <si>
    <t>TOTAL</t>
  </si>
  <si>
    <t>2022 PP Rep_TOTAL_after2024cityhwyadjustments</t>
  </si>
  <si>
    <t>2022 Rec. H/E</t>
  </si>
  <si>
    <t>2023 Rec. H/E</t>
  </si>
  <si>
    <t>2024 Rec. H/E</t>
  </si>
  <si>
    <t>2022 Capital Projects - Forgone recovered</t>
  </si>
  <si>
    <t>2023 Capital Projects - Forgone recovered</t>
  </si>
  <si>
    <t>2024 Capital Projects - Forgone recovered</t>
  </si>
  <si>
    <t>2022 Other Reductions</t>
  </si>
  <si>
    <t>2023 Other Reductions</t>
  </si>
  <si>
    <t>2024 Other Reductions</t>
  </si>
  <si>
    <t>(26)</t>
  </si>
  <si>
    <t>(27)</t>
  </si>
  <si>
    <t>Total accrued forgone balance (from the 'Maximum Budget and Forgone Amount Worksheet')</t>
  </si>
  <si>
    <t>Property Tax Replacements:</t>
  </si>
  <si>
    <t>Recovered Homeowner's Exemption property tax</t>
  </si>
  <si>
    <t>Recaptured QIE</t>
  </si>
  <si>
    <t>Other reductions reported in column 4 of the Recovered/Recaptured Property Tax list</t>
  </si>
  <si>
    <t>(30)</t>
  </si>
  <si>
    <t>(31)</t>
  </si>
  <si>
    <t>Other Subtractions from Levying Authority:</t>
  </si>
  <si>
    <t>Solar Farm Tax received in the current year (7/1/24 - 6/30/25)</t>
  </si>
  <si>
    <t>Select County with Road &amp; Bridge Fund 
from the Drop Down Menu:</t>
  </si>
  <si>
    <t>Highest Budget year of last 3 yrs</t>
  </si>
  <si>
    <t>Highest Budget of last 3 yrs plus rep.</t>
  </si>
  <si>
    <t>Solar Farm Tax received in the highest budget of the last 3 years (added back in after all growth calculations)</t>
  </si>
  <si>
    <t>Previously Forgone Increases &amp; Previous Solar Farm Tax:</t>
  </si>
  <si>
    <t>Maximum Allowable Non-Exempt Property Tax That Can Be Levied (Including Forgone Amount):</t>
  </si>
  <si>
    <t>In an effort to simplify the L-2 process, we have given the L-2 form a "Dashboard" tab.</t>
  </si>
  <si>
    <r>
      <rPr>
        <b/>
        <sz val="12"/>
        <color theme="1"/>
        <rFont val="Calibri"/>
        <family val="2"/>
        <scheme val="minor"/>
      </rPr>
      <t>Dashboard tab</t>
    </r>
    <r>
      <rPr>
        <sz val="12"/>
        <color theme="1"/>
        <rFont val="Calibri"/>
        <family val="2"/>
        <scheme val="minor"/>
      </rPr>
      <t xml:space="preserve"> - input values necessary to calculate the maximum allowable non-exempt property tax budget and appropriate budget reductions</t>
    </r>
  </si>
  <si>
    <r>
      <rPr>
        <b/>
        <sz val="12"/>
        <color theme="1"/>
        <rFont val="Calibri"/>
        <family val="2"/>
        <scheme val="minor"/>
      </rPr>
      <t>L-2 Worksheet</t>
    </r>
    <r>
      <rPr>
        <sz val="12"/>
        <color theme="1"/>
        <rFont val="Calibri"/>
        <family val="2"/>
        <scheme val="minor"/>
      </rPr>
      <t xml:space="preserve"> - review the calculation of the maximum allowable non-exempt property tax budget</t>
    </r>
  </si>
  <si>
    <r>
      <rPr>
        <b/>
        <sz val="12"/>
        <color theme="1"/>
        <rFont val="Calibri"/>
        <family val="2"/>
        <scheme val="minor"/>
      </rPr>
      <t>L-2 Dollar Certification</t>
    </r>
    <r>
      <rPr>
        <sz val="12"/>
        <color theme="1"/>
        <rFont val="Calibri"/>
        <family val="2"/>
        <scheme val="minor"/>
      </rPr>
      <t xml:space="preserve"> - input budget figures for the current year's property tax budget request certification</t>
    </r>
  </si>
  <si>
    <t>White cells have values calculated/filled automatically</t>
  </si>
  <si>
    <t>Green cells require you to enter information</t>
  </si>
  <si>
    <t>Red cells exceed a cap or conflict with other data</t>
  </si>
  <si>
    <t>If prompted by a yellow banner near the top, select "Enable editing" or "Enable content"</t>
  </si>
  <si>
    <t xml:space="preserve">If there are any questions or issues with the form, contact Ben Seloske for assistance at (208) 334-7541 or ben.seloske@tax.idaho.gov </t>
  </si>
  <si>
    <t>8%Cap</t>
  </si>
  <si>
    <t>RecQie</t>
  </si>
  <si>
    <t>LevyRateWoutSDFF</t>
  </si>
  <si>
    <t>Non-exempt budget plus rep. except solar and "other reductions"</t>
  </si>
  <si>
    <t>Percent Base Budget Growth Requested 
     (max 3%)</t>
  </si>
  <si>
    <t>This section summarizes the allowable increases from the highest non-exempt property tax 
budget of the last 3 years (including replacements but not solar farm tax)
(see 'L-2 worksheet' tab for calculation detail)</t>
  </si>
  <si>
    <t>Enter the value of the expiring Urban Renewal 
to be reduced to 80%:</t>
  </si>
  <si>
    <t>Enter the value of the expiring Urban Renewal 
to be reduced to 90%:</t>
  </si>
  <si>
    <t>Expiring Urban Renewal Increment Value to be Reduced to 80% for the County</t>
  </si>
  <si>
    <t>Expiring Urban Renewal Increment Value to be Reduced to 80% for the County Road &amp; Bridge</t>
  </si>
  <si>
    <t>Expiring Urban Renewal Increment Value to be Reduced to 90% for the County</t>
  </si>
  <si>
    <t>Expiring Urban Renewal Increment Value to be Reduced to 90% for the County Road &amp; Bridge</t>
  </si>
  <si>
    <t>Total Expiring Urban Renewal Increment Value after Reductions for the County</t>
  </si>
  <si>
    <t>Total Expiring Urban Renewal Increment Value after Reductions for the County Road &amp; Bridge</t>
  </si>
  <si>
    <t>(14a)</t>
  </si>
  <si>
    <t>(14b)</t>
  </si>
  <si>
    <t>(15)</t>
  </si>
  <si>
    <t>Expiring Urban Renewal budget increase for County Road &amp; Bridge
      (line 13b multiplied by line 8b)</t>
  </si>
  <si>
    <t>Expiring Urban Renewal budget increase for County minus County Road &amp; Bridge
      (line 13a multiplied by line 8a)</t>
  </si>
  <si>
    <t>Total of Property Tax Replacements to be subtracted from levying authority (add lines 23 thru 27)</t>
  </si>
  <si>
    <t>Total of other subtractions to be made from levying authority (Add lines 29 &amp; 30)</t>
  </si>
  <si>
    <t>(32)</t>
  </si>
  <si>
    <t>Property Tax Replacement Plus Solar (Line 28 + Line 31 of 'L-2 Worksheet')</t>
  </si>
  <si>
    <t>Special 2025 Extra budget increase for change in legal interpretation about terminating UR since HB389:</t>
  </si>
  <si>
    <t>Does this District Overlap any Urban Renewal RAAs?</t>
  </si>
  <si>
    <t>Total Net Increment Value</t>
  </si>
  <si>
    <t>Increment Value of Post-2007 RAAs or Annexations</t>
  </si>
  <si>
    <t>Funds for this type of district that should NOT 
generate revenue for Urban Renewal include:</t>
  </si>
  <si>
    <t>(16)</t>
  </si>
  <si>
    <t>Total budget increase from expiring Urban Renewal (line 14a + line 14b + line 15)</t>
  </si>
  <si>
    <t>Total uncapped budget growth potential (Add lines 1+3+4+10+16)</t>
  </si>
  <si>
    <t>Total capped growth (max 8%) (line 1 X 1.08 + line 16)</t>
  </si>
  <si>
    <t>(17a)</t>
  </si>
  <si>
    <t>(17b)</t>
  </si>
  <si>
    <t>Forgone amount to be recovered in this year's budget for Maintenance &amp; Operations (up to 1% of line 18)</t>
  </si>
  <si>
    <t>Forgone amount to be recovered in this year's budget for Capital Projects (up to 3% of line 18)</t>
  </si>
  <si>
    <t>Maximum non-exempt property tax budget before subtractions (line 18 plus lines 19 thru 21)</t>
  </si>
  <si>
    <t>ExpiringURbefore80%</t>
  </si>
  <si>
    <t>ExpiringURbefore90%</t>
  </si>
  <si>
    <t>TotalExpiringUR_BudgetIncrease</t>
  </si>
  <si>
    <t>UR_LegalInterpretationChangeBudgetIncrease</t>
  </si>
  <si>
    <t>"Over Max"</t>
  </si>
  <si>
    <t>CountyNoURFunds</t>
  </si>
  <si>
    <t>- I.C.§63-1305 Judgments</t>
  </si>
  <si>
    <t>- Temporary Overrides</t>
  </si>
  <si>
    <t>- Bonds passed after 2007</t>
  </si>
  <si>
    <t>- Bonds passed before 2008 &amp; RAA created/modified after 2007</t>
  </si>
  <si>
    <t>IncrementAdded?</t>
  </si>
  <si>
    <t>*Leave blank if the fund should generate revenue for all Urban Renewal, add increment value for all RAAs that should NOT get revenue from the specific fund.</t>
  </si>
  <si>
    <t>commonkey</t>
  </si>
  <si>
    <t>R&amp;B_commonkey</t>
  </si>
  <si>
    <t>3-2-3</t>
  </si>
  <si>
    <t>3-11-71</t>
  </si>
  <si>
    <t>4-2-4</t>
  </si>
  <si>
    <t>4-11-72</t>
  </si>
  <si>
    <t>5-2-5</t>
  </si>
  <si>
    <t>5-11-73</t>
  </si>
  <si>
    <t>6-2-6</t>
  </si>
  <si>
    <t>6-11-74</t>
  </si>
  <si>
    <t>8-2-8</t>
  </si>
  <si>
    <t>8-11-76</t>
  </si>
  <si>
    <t>9-2-9</t>
  </si>
  <si>
    <t>9-11-105</t>
  </si>
  <si>
    <t>10-2-10</t>
  </si>
  <si>
    <t>10-11-77</t>
  </si>
  <si>
    <t>11-2-11</t>
  </si>
  <si>
    <t>11-11-78</t>
  </si>
  <si>
    <t>15-2-15</t>
  </si>
  <si>
    <t>15-11-82</t>
  </si>
  <si>
    <t>16-2-16</t>
  </si>
  <si>
    <t>16-11-15</t>
  </si>
  <si>
    <t>18-2-18</t>
  </si>
  <si>
    <t>18-11-85</t>
  </si>
  <si>
    <t>21-2-21</t>
  </si>
  <si>
    <t>21-11-87</t>
  </si>
  <si>
    <t>22-2-22</t>
  </si>
  <si>
    <t>22-11-88</t>
  </si>
  <si>
    <t>23-2-23</t>
  </si>
  <si>
    <t>23-11-89</t>
  </si>
  <si>
    <t>25-2-25</t>
  </si>
  <si>
    <t>25-11-91</t>
  </si>
  <si>
    <t>26-2-26</t>
  </si>
  <si>
    <t>26-11-92</t>
  </si>
  <si>
    <t>33-2-33</t>
  </si>
  <si>
    <t>33-11-95</t>
  </si>
  <si>
    <t>35-2-35</t>
  </si>
  <si>
    <t>35-11-96</t>
  </si>
  <si>
    <t>37-2-37</t>
  </si>
  <si>
    <t>37-11-98</t>
  </si>
  <si>
    <t>38-2-38</t>
  </si>
  <si>
    <t>38-11-99</t>
  </si>
  <si>
    <t>40-2-40</t>
  </si>
  <si>
    <t>40-11-100</t>
  </si>
  <si>
    <t>41-2-41</t>
  </si>
  <si>
    <t>41-11-101</t>
  </si>
  <si>
    <t>43-2-43</t>
  </si>
  <si>
    <t>43-11-103</t>
  </si>
  <si>
    <t>44-2-44</t>
  </si>
  <si>
    <t>44-11-104</t>
  </si>
  <si>
    <t>Clearwater</t>
  </si>
  <si>
    <t>Shoshone</t>
  </si>
  <si>
    <t>1=thisformrequired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</si>
</sst>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 numFmtId="166" formatCode="&quot;District Name:&quot;\ #"/>
    <numFmt numFmtId="167" formatCode="0.000000000"/>
    <numFmt numFmtId="168" formatCode="_(&quot;$&quot;* #,##0_);_(&quot;$&quot;* \(#,##0\);_(&quot;$&quot;* &quot;-&quot;??_);_(@_)"/>
    <numFmt numFmtId="169" formatCode="yyyy"/>
    <numFmt numFmtId="170" formatCode="m/d/yyyy;@"/>
    <numFmt numFmtId="171" formatCode="0.000%"/>
    <numFmt numFmtId="172" formatCode="#,##0.000000000_);\(#,##0.000000000\)"/>
    <numFmt numFmtId="173" formatCode="_(* #,##0.000000000_);_(* \(#,##0.000000000\);_(* &quot;-&quot;??_);_(@_)"/>
    <numFmt numFmtId="174" formatCode="&quot;This value is over the limit&quot;\ #"/>
  </numFmts>
  <fonts count="21"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Calibri"/>
      <family val="2"/>
    </font>
    <font>
      <b/>
      <sz val="12"/>
      <color theme="1"/>
      <name val="Calibri"/>
      <family val="2"/>
    </font>
    <font>
      <sz val="12"/>
      <name val="Times New Roman"/>
      <family val="1"/>
    </font>
    <font>
      <sz val="12"/>
      <name val="Calibri"/>
      <family val="2"/>
    </font>
    <font>
      <sz val="12"/>
      <color theme="1"/>
      <name val="Calibri"/>
      <family val="2"/>
      <scheme val="minor"/>
    </font>
    <font>
      <b/>
      <sz val="12"/>
      <name val="Calibri"/>
      <family val="2"/>
    </font>
    <font>
      <i/>
      <u/>
      <sz val="12"/>
      <name val="Calibri"/>
      <family val="2"/>
    </font>
    <font>
      <b/>
      <sz val="14"/>
      <name val="Calibri"/>
      <family val="2"/>
    </font>
    <font>
      <b/>
      <sz val="18"/>
      <name val="Calibri"/>
      <family val="2"/>
    </font>
    <font>
      <b/>
      <sz val="20"/>
      <color theme="1"/>
      <name val="Calibri"/>
      <family val="2"/>
    </font>
    <font>
      <sz val="12"/>
      <color theme="9" tint="0.39997558519241921"/>
      <name val="Calibri"/>
      <family val="2"/>
    </font>
    <font>
      <b/>
      <sz val="16"/>
      <name val="Calibri"/>
      <family val="2"/>
    </font>
    <font>
      <b/>
      <sz val="14"/>
      <color theme="1"/>
      <name val="Calibri"/>
      <family val="2"/>
      <scheme val="minor"/>
    </font>
    <font>
      <b/>
      <sz val="18"/>
      <color theme="1"/>
      <name val="Calibri"/>
      <family val="2"/>
      <scheme val="minor"/>
    </font>
    <font>
      <b/>
      <sz val="12"/>
      <color theme="1"/>
      <name val="Calibri"/>
      <family val="2"/>
      <scheme val="minor"/>
    </font>
    <font>
      <b/>
      <sz val="20"/>
      <color theme="1"/>
      <name val="Calibri"/>
      <family val="2"/>
      <scheme val="minor"/>
    </font>
    <font>
      <b/>
      <sz val="26"/>
      <name val="Calibri"/>
      <family val="2"/>
    </font>
    <font>
      <sz val="8"/>
      <name val="Calibri"/>
      <family val="2"/>
      <scheme val="minor"/>
    </font>
  </fonts>
  <fills count="14">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FFFF00"/>
        <bgColor indexed="64"/>
      </patternFill>
    </fill>
    <fill>
      <patternFill patternType="solid">
        <fgColor theme="5" tint="0.79998168889431442"/>
        <bgColor indexed="64"/>
      </patternFill>
    </fill>
    <fill>
      <patternFill patternType="solid">
        <fgColor rgb="FFC0C0C0"/>
        <bgColor indexed="64"/>
      </patternFill>
    </fill>
    <fill>
      <patternFill patternType="solid">
        <fgColor theme="9" tint="0.59999389629810485"/>
        <bgColor indexed="64"/>
      </patternFill>
    </fill>
    <fill>
      <patternFill patternType="solid">
        <fgColor rgb="FFFCE4D6"/>
        <bgColor indexed="64"/>
      </patternFill>
    </fill>
    <fill>
      <patternFill patternType="solid">
        <fgColor theme="0"/>
        <bgColor theme="0"/>
      </patternFill>
    </fill>
    <fill>
      <patternFill patternType="solid">
        <fgColor theme="9" tint="0.59999389629810485"/>
        <bgColor theme="0"/>
      </patternFill>
    </fill>
    <fill>
      <patternFill patternType="solid">
        <fgColor rgb="FFEFBAC0"/>
        <bgColor indexed="64"/>
      </patternFill>
    </fill>
  </fills>
  <borders count="79">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right style="thin">
        <color auto="1"/>
      </right>
      <top/>
      <bottom style="medium">
        <color auto="1"/>
      </bottom>
      <diagonal/>
    </border>
    <border>
      <left/>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thin">
        <color indexed="64"/>
      </left>
      <right style="thin">
        <color auto="1"/>
      </right>
      <top/>
      <bottom style="thin">
        <color auto="1"/>
      </bottom>
      <diagonal/>
    </border>
    <border>
      <left style="thin">
        <color indexed="64"/>
      </left>
      <right/>
      <top/>
      <bottom style="medium">
        <color auto="1"/>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auto="1"/>
      </right>
      <top/>
      <bottom/>
      <diagonal/>
    </border>
    <border>
      <left style="thin">
        <color auto="1"/>
      </left>
      <right style="medium">
        <color auto="1"/>
      </right>
      <top/>
      <bottom/>
      <diagonal/>
    </border>
    <border>
      <left style="thin">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indexed="64"/>
      </bottom>
      <diagonal/>
    </border>
    <border>
      <left style="medium">
        <color auto="1"/>
      </left>
      <right style="thin">
        <color indexed="64"/>
      </right>
      <top/>
      <bottom style="thin">
        <color auto="1"/>
      </bottom>
      <diagonal/>
    </border>
    <border>
      <left style="medium">
        <color auto="1"/>
      </left>
      <right style="thin">
        <color indexed="64"/>
      </right>
      <top/>
      <bottom style="medium">
        <color auto="1"/>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bottom/>
      <diagonal/>
    </border>
    <border>
      <left style="medium">
        <color indexed="64"/>
      </left>
      <right style="thin">
        <color auto="1"/>
      </right>
      <top style="thin">
        <color auto="1"/>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auto="1"/>
      </right>
      <top style="thin">
        <color auto="1"/>
      </top>
      <bottom/>
      <diagonal/>
    </border>
    <border>
      <left style="thin">
        <color indexed="64"/>
      </left>
      <right style="thin">
        <color indexed="64"/>
      </right>
      <top style="medium">
        <color auto="1"/>
      </top>
      <bottom style="medium">
        <color auto="1"/>
      </bottom>
      <diagonal/>
    </border>
    <border>
      <left/>
      <right style="thin">
        <color indexed="64"/>
      </right>
      <top style="medium">
        <color auto="1"/>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auto="1"/>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double">
        <color indexed="64"/>
      </top>
      <bottom style="medium">
        <color indexed="64"/>
      </bottom>
      <diagonal/>
    </border>
    <border>
      <left style="thin">
        <color auto="1"/>
      </left>
      <right/>
      <top style="medium">
        <color auto="1"/>
      </top>
      <bottom style="thin">
        <color auto="1"/>
      </bottom>
      <diagonal/>
    </border>
    <border>
      <left/>
      <right style="medium">
        <color indexed="64"/>
      </right>
      <top style="double">
        <color indexed="64"/>
      </top>
      <bottom style="medium">
        <color indexed="64"/>
      </bottom>
      <diagonal/>
    </border>
    <border>
      <left style="medium">
        <color auto="1"/>
      </left>
      <right/>
      <top style="thin">
        <color auto="1"/>
      </top>
      <bottom style="double">
        <color indexed="64"/>
      </bottom>
      <diagonal/>
    </border>
    <border>
      <left style="medium">
        <color auto="1"/>
      </left>
      <right style="thin">
        <color auto="1"/>
      </right>
      <top/>
      <bottom style="double">
        <color indexed="64"/>
      </bottom>
      <diagonal/>
    </border>
    <border>
      <left style="thin">
        <color auto="1"/>
      </left>
      <right style="thin">
        <color auto="1"/>
      </right>
      <top/>
      <bottom style="double">
        <color indexed="64"/>
      </bottom>
      <diagonal/>
    </border>
    <border>
      <left style="thin">
        <color indexed="64"/>
      </left>
      <right/>
      <top/>
      <bottom style="double">
        <color indexed="64"/>
      </bottom>
      <diagonal/>
    </border>
    <border>
      <left/>
      <right style="thin">
        <color auto="1"/>
      </right>
      <top/>
      <bottom style="double">
        <color indexed="64"/>
      </bottom>
      <diagonal/>
    </border>
    <border>
      <left style="medium">
        <color indexed="64"/>
      </left>
      <right style="medium">
        <color indexed="64"/>
      </right>
      <top style="medium">
        <color indexed="64"/>
      </top>
      <bottom style="medium">
        <color auto="1"/>
      </bottom>
      <diagonal/>
    </border>
    <border>
      <left style="thin">
        <color indexed="64"/>
      </left>
      <right/>
      <top style="thin">
        <color auto="1"/>
      </top>
      <bottom style="double">
        <color auto="1"/>
      </bottom>
      <diagonal/>
    </border>
    <border>
      <left style="thin">
        <color indexed="64"/>
      </left>
      <right/>
      <top style="medium">
        <color indexed="64"/>
      </top>
      <bottom style="medium">
        <color indexed="64"/>
      </bottom>
      <diagonal/>
    </border>
  </borders>
  <cellStyleXfs count="1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43" fontId="5"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xf numFmtId="43" fontId="5" fillId="0" borderId="0" applyFont="0" applyFill="0" applyBorder="0" applyAlignment="0" applyProtection="0"/>
    <xf numFmtId="44" fontId="7"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636">
    <xf numFmtId="0" fontId="0" fillId="0" borderId="0" xfId="0"/>
    <xf numFmtId="0" fontId="5" fillId="0" borderId="0" xfId="114"/>
    <xf numFmtId="0" fontId="6" fillId="0" borderId="0" xfId="114" applyFont="1"/>
    <xf numFmtId="169" fontId="6" fillId="0" borderId="0" xfId="114" applyNumberFormat="1" applyFont="1"/>
    <xf numFmtId="0" fontId="6" fillId="0" borderId="0" xfId="118" applyFont="1"/>
    <xf numFmtId="0" fontId="8" fillId="0" borderId="0" xfId="118" applyFont="1"/>
    <xf numFmtId="0" fontId="8" fillId="0" borderId="0" xfId="114" applyFont="1"/>
    <xf numFmtId="0" fontId="6" fillId="0" borderId="0" xfId="114" applyFont="1" applyAlignment="1">
      <alignment horizontal="right"/>
    </xf>
    <xf numFmtId="168" fontId="3" fillId="0" borderId="0" xfId="119" applyNumberFormat="1" applyFont="1" applyFill="1" applyBorder="1"/>
    <xf numFmtId="9" fontId="3" fillId="0" borderId="0" xfId="117" applyFont="1" applyFill="1" applyBorder="1" applyAlignment="1">
      <alignment horizontal="center"/>
    </xf>
    <xf numFmtId="0" fontId="6" fillId="0" borderId="0" xfId="114" applyFont="1" applyAlignment="1">
      <alignment horizontal="right" wrapText="1"/>
    </xf>
    <xf numFmtId="0" fontId="6" fillId="2" borderId="1" xfId="114" applyFont="1" applyFill="1" applyBorder="1" applyAlignment="1">
      <alignment horizontal="center"/>
    </xf>
    <xf numFmtId="0" fontId="4" fillId="2" borderId="0" xfId="114" applyFont="1" applyFill="1" applyAlignment="1">
      <alignment horizontal="center" vertical="center"/>
    </xf>
    <xf numFmtId="0" fontId="4" fillId="2" borderId="0" xfId="114" applyFont="1" applyFill="1" applyAlignment="1">
      <alignment horizontal="center" vertical="top" wrapText="1"/>
    </xf>
    <xf numFmtId="0" fontId="4" fillId="2" borderId="0" xfId="114" applyFont="1" applyFill="1" applyAlignment="1">
      <alignment horizontal="center" vertical="center" wrapText="1"/>
    </xf>
    <xf numFmtId="0" fontId="4" fillId="5" borderId="45" xfId="114" applyFont="1" applyFill="1" applyBorder="1" applyAlignment="1">
      <alignment horizontal="center" wrapText="1"/>
    </xf>
    <xf numFmtId="167" fontId="6" fillId="2" borderId="1" xfId="114" applyNumberFormat="1" applyFont="1" applyFill="1" applyBorder="1"/>
    <xf numFmtId="37" fontId="8" fillId="2" borderId="24" xfId="65" applyNumberFormat="1" applyFont="1" applyFill="1" applyBorder="1" applyProtection="1"/>
    <xf numFmtId="0" fontId="8" fillId="7" borderId="0" xfId="114" applyFont="1" applyFill="1" applyAlignment="1">
      <alignment horizontal="right" vertical="center" wrapText="1"/>
    </xf>
    <xf numFmtId="0" fontId="8" fillId="7" borderId="58" xfId="114" applyFont="1" applyFill="1" applyBorder="1" applyAlignment="1">
      <alignment horizontal="right" vertical="center" wrapText="1"/>
    </xf>
    <xf numFmtId="0" fontId="6" fillId="2" borderId="4" xfId="114" applyFont="1" applyFill="1" applyBorder="1" applyAlignment="1">
      <alignment horizontal="center"/>
    </xf>
    <xf numFmtId="164" fontId="6" fillId="2" borderId="4" xfId="114" applyNumberFormat="1" applyFont="1" applyFill="1" applyBorder="1" applyAlignment="1">
      <alignment vertical="center" wrapText="1"/>
    </xf>
    <xf numFmtId="171" fontId="3" fillId="2" borderId="1" xfId="117" applyNumberFormat="1" applyFont="1" applyFill="1" applyBorder="1" applyProtection="1"/>
    <xf numFmtId="0" fontId="3" fillId="2" borderId="4" xfId="114" applyFont="1" applyFill="1" applyBorder="1" applyAlignment="1">
      <alignment horizontal="center"/>
    </xf>
    <xf numFmtId="164" fontId="6" fillId="9" borderId="1" xfId="65" applyNumberFormat="1" applyFont="1" applyFill="1" applyBorder="1" applyProtection="1">
      <protection locked="0"/>
    </xf>
    <xf numFmtId="0" fontId="6" fillId="9" borderId="1" xfId="114" applyFont="1" applyFill="1" applyBorder="1" applyProtection="1">
      <protection locked="0"/>
    </xf>
    <xf numFmtId="164" fontId="6" fillId="9" borderId="12" xfId="114" applyNumberFormat="1" applyFont="1" applyFill="1" applyBorder="1" applyProtection="1">
      <protection locked="0"/>
    </xf>
    <xf numFmtId="164" fontId="6" fillId="9" borderId="7" xfId="114" applyNumberFormat="1" applyFont="1" applyFill="1" applyBorder="1" applyProtection="1">
      <protection locked="0"/>
    </xf>
    <xf numFmtId="164" fontId="6" fillId="9" borderId="1" xfId="114" applyNumberFormat="1" applyFont="1" applyFill="1" applyBorder="1" applyAlignment="1" applyProtection="1">
      <alignment horizontal="center"/>
      <protection locked="0"/>
    </xf>
    <xf numFmtId="164" fontId="3" fillId="9" borderId="1" xfId="119" applyNumberFormat="1" applyFont="1" applyFill="1" applyBorder="1" applyProtection="1">
      <protection locked="0"/>
    </xf>
    <xf numFmtId="0" fontId="8" fillId="7" borderId="10" xfId="114" applyFont="1" applyFill="1" applyBorder="1" applyAlignment="1">
      <alignment horizontal="right" vertical="center" wrapText="1"/>
    </xf>
    <xf numFmtId="5" fontId="3" fillId="9" borderId="1" xfId="65" applyNumberFormat="1" applyFont="1" applyFill="1" applyBorder="1" applyAlignment="1" applyProtection="1">
      <alignment horizontal="right"/>
      <protection locked="0"/>
    </xf>
    <xf numFmtId="164" fontId="6" fillId="2" borderId="12" xfId="114" applyNumberFormat="1" applyFont="1" applyFill="1" applyBorder="1" applyAlignment="1">
      <alignment horizontal="right" vertical="center" wrapText="1"/>
    </xf>
    <xf numFmtId="5" fontId="6" fillId="2" borderId="1" xfId="65" applyNumberFormat="1" applyFont="1" applyFill="1" applyBorder="1" applyProtection="1"/>
    <xf numFmtId="5" fontId="6" fillId="2" borderId="45" xfId="65" applyNumberFormat="1" applyFont="1" applyFill="1" applyBorder="1" applyProtection="1"/>
    <xf numFmtId="164" fontId="6" fillId="0" borderId="0" xfId="114" applyNumberFormat="1" applyFont="1"/>
    <xf numFmtId="42" fontId="6" fillId="0" borderId="0" xfId="114" applyNumberFormat="1" applyFont="1"/>
    <xf numFmtId="0" fontId="6" fillId="2" borderId="13" xfId="121" applyFont="1" applyFill="1" applyBorder="1"/>
    <xf numFmtId="0" fontId="8" fillId="5" borderId="49" xfId="114" applyFont="1" applyFill="1" applyBorder="1" applyAlignment="1">
      <alignment horizontal="center"/>
    </xf>
    <xf numFmtId="0" fontId="6" fillId="0" borderId="0" xfId="114" applyFont="1" applyProtection="1">
      <protection locked="0"/>
    </xf>
    <xf numFmtId="0" fontId="6" fillId="0" borderId="16" xfId="114" applyFont="1" applyBorder="1"/>
    <xf numFmtId="5" fontId="6" fillId="9" borderId="1" xfId="65" applyNumberFormat="1" applyFont="1" applyFill="1" applyBorder="1" applyAlignment="1" applyProtection="1">
      <alignment horizontal="right"/>
      <protection locked="0"/>
    </xf>
    <xf numFmtId="5" fontId="6" fillId="2" borderId="32" xfId="65" applyNumberFormat="1" applyFont="1" applyFill="1" applyBorder="1" applyProtection="1"/>
    <xf numFmtId="0" fontId="6" fillId="9" borderId="32" xfId="114" applyFont="1" applyFill="1" applyBorder="1" applyProtection="1">
      <protection locked="0"/>
    </xf>
    <xf numFmtId="164" fontId="4" fillId="0" borderId="24" xfId="65" applyNumberFormat="1" applyFont="1" applyBorder="1"/>
    <xf numFmtId="164" fontId="4" fillId="0" borderId="23" xfId="65" applyNumberFormat="1" applyFont="1" applyBorder="1"/>
    <xf numFmtId="164" fontId="3" fillId="0" borderId="37" xfId="65" applyNumberFormat="1" applyFont="1" applyBorder="1"/>
    <xf numFmtId="164" fontId="3" fillId="0" borderId="65" xfId="65" applyNumberFormat="1" applyFont="1" applyBorder="1"/>
    <xf numFmtId="0" fontId="6" fillId="9" borderId="40" xfId="114" applyFont="1" applyFill="1" applyBorder="1" applyProtection="1">
      <protection locked="0"/>
    </xf>
    <xf numFmtId="164" fontId="3" fillId="0" borderId="7" xfId="65" applyNumberFormat="1" applyFont="1" applyBorder="1"/>
    <xf numFmtId="164" fontId="6" fillId="2" borderId="4" xfId="65" applyNumberFormat="1" applyFont="1" applyFill="1" applyBorder="1"/>
    <xf numFmtId="164" fontId="6" fillId="2" borderId="15" xfId="65" applyNumberFormat="1" applyFont="1" applyFill="1" applyBorder="1"/>
    <xf numFmtId="0" fontId="8" fillId="2" borderId="51" xfId="114" applyFont="1" applyFill="1" applyBorder="1" applyAlignment="1">
      <alignment horizontal="left"/>
    </xf>
    <xf numFmtId="5" fontId="3" fillId="9" borderId="32" xfId="65" applyNumberFormat="1" applyFont="1" applyFill="1" applyBorder="1" applyAlignment="1" applyProtection="1">
      <alignment horizontal="right"/>
      <protection locked="0"/>
    </xf>
    <xf numFmtId="164" fontId="3" fillId="0" borderId="0" xfId="114" applyNumberFormat="1" applyFont="1"/>
    <xf numFmtId="0" fontId="6" fillId="2" borderId="51" xfId="114" applyFont="1" applyFill="1" applyBorder="1" applyAlignment="1">
      <alignment horizontal="left"/>
    </xf>
    <xf numFmtId="37" fontId="6" fillId="2" borderId="24" xfId="65" applyNumberFormat="1" applyFont="1" applyFill="1" applyBorder="1" applyProtection="1"/>
    <xf numFmtId="0" fontId="8" fillId="5" borderId="40" xfId="114" applyFont="1" applyFill="1" applyBorder="1" applyAlignment="1">
      <alignment horizontal="center"/>
    </xf>
    <xf numFmtId="168" fontId="3" fillId="0" borderId="24" xfId="119" applyNumberFormat="1" applyFont="1" applyBorder="1"/>
    <xf numFmtId="164" fontId="6" fillId="9" borderId="37" xfId="114" applyNumberFormat="1" applyFont="1" applyFill="1" applyBorder="1" applyAlignment="1" applyProtection="1">
      <alignment horizontal="center"/>
      <protection locked="0"/>
    </xf>
    <xf numFmtId="164" fontId="3" fillId="9" borderId="37" xfId="119" applyNumberFormat="1" applyFont="1" applyFill="1" applyBorder="1" applyProtection="1">
      <protection locked="0"/>
    </xf>
    <xf numFmtId="171" fontId="3" fillId="2" borderId="37" xfId="117" applyNumberFormat="1" applyFont="1" applyFill="1" applyBorder="1" applyProtection="1"/>
    <xf numFmtId="0" fontId="3" fillId="2" borderId="7" xfId="114" applyFont="1" applyFill="1" applyBorder="1" applyAlignment="1">
      <alignment horizontal="center"/>
    </xf>
    <xf numFmtId="5" fontId="6" fillId="9" borderId="45" xfId="65" applyNumberFormat="1" applyFont="1" applyFill="1" applyBorder="1" applyAlignment="1" applyProtection="1">
      <alignment horizontal="right"/>
      <protection locked="0"/>
    </xf>
    <xf numFmtId="5" fontId="6" fillId="2" borderId="73" xfId="65" applyNumberFormat="1" applyFont="1" applyFill="1" applyBorder="1" applyProtection="1"/>
    <xf numFmtId="0" fontId="6" fillId="9" borderId="73" xfId="114" applyFont="1" applyFill="1" applyBorder="1" applyProtection="1">
      <protection locked="0"/>
    </xf>
    <xf numFmtId="0" fontId="6" fillId="2" borderId="13" xfId="114" applyFont="1" applyFill="1" applyBorder="1"/>
    <xf numFmtId="0" fontId="6" fillId="2" borderId="13" xfId="65" applyNumberFormat="1" applyFont="1" applyFill="1" applyBorder="1" applyProtection="1"/>
    <xf numFmtId="0" fontId="6" fillId="2" borderId="72" xfId="65" applyNumberFormat="1" applyFont="1" applyFill="1" applyBorder="1" applyProtection="1"/>
    <xf numFmtId="172" fontId="6" fillId="2" borderId="24" xfId="65" applyNumberFormat="1" applyFont="1" applyFill="1" applyBorder="1" applyProtection="1"/>
    <xf numFmtId="172" fontId="8" fillId="2" borderId="24" xfId="65" applyNumberFormat="1" applyFont="1" applyFill="1" applyBorder="1" applyProtection="1"/>
    <xf numFmtId="165" fontId="0" fillId="0" borderId="0" xfId="123" applyNumberFormat="1" applyFont="1"/>
    <xf numFmtId="0" fontId="6" fillId="0" borderId="14" xfId="114" applyFont="1" applyBorder="1" applyAlignment="1">
      <alignment horizontal="center"/>
    </xf>
    <xf numFmtId="0" fontId="6" fillId="0" borderId="43" xfId="114" applyFont="1" applyBorder="1" applyAlignment="1">
      <alignment horizontal="left"/>
    </xf>
    <xf numFmtId="5" fontId="6" fillId="0" borderId="45" xfId="65" applyNumberFormat="1" applyFont="1" applyFill="1" applyBorder="1" applyAlignment="1" applyProtection="1">
      <alignment horizontal="right"/>
    </xf>
    <xf numFmtId="0" fontId="6" fillId="9" borderId="1" xfId="114" applyFont="1" applyFill="1" applyBorder="1" applyAlignment="1" applyProtection="1">
      <alignment horizontal="center"/>
      <protection locked="0"/>
    </xf>
    <xf numFmtId="0" fontId="6" fillId="9" borderId="4" xfId="114" applyFont="1" applyFill="1" applyBorder="1" applyAlignment="1" applyProtection="1">
      <alignment vertical="center" wrapText="1"/>
      <protection locked="0"/>
    </xf>
    <xf numFmtId="170" fontId="6" fillId="9" borderId="40" xfId="114" applyNumberFormat="1" applyFont="1" applyFill="1" applyBorder="1" applyProtection="1">
      <protection locked="0"/>
    </xf>
    <xf numFmtId="170" fontId="6" fillId="9" borderId="13" xfId="114" applyNumberFormat="1" applyFont="1" applyFill="1" applyBorder="1" applyAlignment="1" applyProtection="1">
      <alignment horizontal="center"/>
      <protection locked="0"/>
    </xf>
    <xf numFmtId="170" fontId="6" fillId="9" borderId="55" xfId="114" applyNumberFormat="1" applyFont="1" applyFill="1" applyBorder="1" applyAlignment="1" applyProtection="1">
      <alignment horizontal="center"/>
      <protection locked="0"/>
    </xf>
    <xf numFmtId="0" fontId="6" fillId="9" borderId="37" xfId="114" applyFont="1" applyFill="1" applyBorder="1" applyAlignment="1" applyProtection="1">
      <alignment horizontal="center"/>
      <protection locked="0"/>
    </xf>
    <xf numFmtId="165" fontId="8" fillId="0" borderId="32" xfId="115" quotePrefix="1" applyNumberFormat="1" applyFont="1" applyBorder="1" applyAlignment="1" applyProtection="1">
      <alignment horizontal="center" vertical="center"/>
    </xf>
    <xf numFmtId="165" fontId="8" fillId="0" borderId="45" xfId="115" quotePrefix="1" applyNumberFormat="1" applyFont="1" applyBorder="1" applyAlignment="1" applyProtection="1">
      <alignment horizontal="center" vertical="center"/>
    </xf>
    <xf numFmtId="165" fontId="8" fillId="0" borderId="24" xfId="115" quotePrefix="1" applyNumberFormat="1" applyFont="1" applyBorder="1" applyAlignment="1" applyProtection="1">
      <alignment horizontal="center" vertical="center"/>
    </xf>
    <xf numFmtId="164" fontId="4" fillId="0" borderId="76" xfId="65" applyNumberFormat="1" applyFont="1" applyBorder="1"/>
    <xf numFmtId="164" fontId="4" fillId="10" borderId="3" xfId="65" applyNumberFormat="1" applyFont="1" applyFill="1" applyBorder="1"/>
    <xf numFmtId="165" fontId="8" fillId="0" borderId="1" xfId="115" quotePrefix="1" applyNumberFormat="1" applyFont="1" applyBorder="1" applyAlignment="1" applyProtection="1">
      <alignment horizontal="center" vertical="center"/>
    </xf>
    <xf numFmtId="167" fontId="3" fillId="0" borderId="1" xfId="115" applyNumberFormat="1" applyFont="1" applyBorder="1" applyAlignment="1" applyProtection="1">
      <alignment horizontal="right" vertical="center"/>
    </xf>
    <xf numFmtId="165" fontId="8" fillId="4" borderId="1" xfId="115" quotePrefix="1" applyNumberFormat="1" applyFont="1" applyFill="1" applyBorder="1" applyAlignment="1" applyProtection="1">
      <alignment horizontal="center" vertical="center"/>
    </xf>
    <xf numFmtId="165" fontId="8" fillId="4" borderId="4" xfId="115" quotePrefix="1" applyNumberFormat="1" applyFont="1" applyFill="1" applyBorder="1" applyAlignment="1" applyProtection="1">
      <alignment horizontal="center" vertical="center"/>
    </xf>
    <xf numFmtId="168" fontId="3" fillId="0" borderId="4" xfId="116" applyNumberFormat="1" applyFont="1" applyBorder="1" applyAlignment="1" applyProtection="1">
      <alignment vertical="center"/>
    </xf>
    <xf numFmtId="165" fontId="3" fillId="4" borderId="4" xfId="115" applyNumberFormat="1" applyFont="1" applyFill="1" applyBorder="1" applyAlignment="1" applyProtection="1">
      <alignment vertical="center"/>
    </xf>
    <xf numFmtId="0" fontId="6" fillId="7" borderId="2" xfId="114" applyFont="1" applyFill="1" applyBorder="1" applyAlignment="1">
      <alignment vertical="center" wrapText="1"/>
    </xf>
    <xf numFmtId="0" fontId="6" fillId="7" borderId="2" xfId="114" applyFont="1" applyFill="1" applyBorder="1" applyAlignment="1">
      <alignment vertical="center"/>
    </xf>
    <xf numFmtId="164" fontId="6" fillId="9" borderId="4" xfId="114" applyNumberFormat="1" applyFont="1" applyFill="1" applyBorder="1" applyAlignment="1" applyProtection="1">
      <alignment vertical="center" wrapText="1"/>
      <protection locked="0"/>
    </xf>
    <xf numFmtId="168" fontId="3" fillId="0" borderId="53" xfId="116" applyNumberFormat="1" applyFont="1" applyBorder="1" applyAlignment="1" applyProtection="1">
      <alignment vertical="center"/>
    </xf>
    <xf numFmtId="167" fontId="6" fillId="2" borderId="65" xfId="114" applyNumberFormat="1" applyFont="1" applyFill="1" applyBorder="1"/>
    <xf numFmtId="0" fontId="6" fillId="2" borderId="50" xfId="65" applyNumberFormat="1" applyFont="1" applyFill="1" applyBorder="1" applyProtection="1"/>
    <xf numFmtId="5" fontId="6" fillId="2" borderId="65" xfId="65" applyNumberFormat="1" applyFont="1" applyFill="1" applyBorder="1" applyProtection="1"/>
    <xf numFmtId="0" fontId="6" fillId="2" borderId="64" xfId="114" applyFont="1" applyFill="1" applyBorder="1"/>
    <xf numFmtId="0" fontId="6" fillId="9" borderId="65" xfId="114" applyFont="1" applyFill="1" applyBorder="1" applyProtection="1">
      <protection locked="0"/>
    </xf>
    <xf numFmtId="168" fontId="3" fillId="0" borderId="4" xfId="116" applyNumberFormat="1" applyFont="1" applyFill="1" applyBorder="1" applyAlignment="1" applyProtection="1">
      <alignment vertical="center"/>
    </xf>
    <xf numFmtId="165" fontId="8" fillId="4" borderId="38" xfId="115" quotePrefix="1" applyNumberFormat="1" applyFont="1" applyFill="1" applyBorder="1" applyAlignment="1" applyProtection="1">
      <alignment horizontal="center" vertical="center"/>
    </xf>
    <xf numFmtId="165" fontId="8" fillId="4" borderId="15" xfId="115" quotePrefix="1" applyNumberFormat="1" applyFont="1" applyFill="1" applyBorder="1" applyAlignment="1" applyProtection="1">
      <alignment horizontal="center" vertical="center"/>
    </xf>
    <xf numFmtId="165" fontId="8" fillId="4" borderId="19" xfId="115" quotePrefix="1" applyNumberFormat="1" applyFont="1" applyFill="1" applyBorder="1" applyAlignment="1" applyProtection="1">
      <alignment horizontal="center" vertical="center"/>
    </xf>
    <xf numFmtId="168" fontId="3" fillId="0" borderId="1" xfId="116" applyNumberFormat="1" applyFont="1" applyBorder="1" applyAlignment="1" applyProtection="1">
      <alignment vertical="center"/>
    </xf>
    <xf numFmtId="165" fontId="0" fillId="6" borderId="0" xfId="123" applyNumberFormat="1" applyFont="1" applyFill="1"/>
    <xf numFmtId="164" fontId="6" fillId="2" borderId="66" xfId="65" applyNumberFormat="1" applyFont="1" applyFill="1" applyBorder="1"/>
    <xf numFmtId="168" fontId="3" fillId="0" borderId="1" xfId="123" applyNumberFormat="1" applyFont="1" applyFill="1" applyBorder="1" applyAlignment="1" applyProtection="1">
      <alignment vertical="center"/>
    </xf>
    <xf numFmtId="168" fontId="3" fillId="0" borderId="32" xfId="123" applyNumberFormat="1" applyFont="1" applyBorder="1" applyAlignment="1" applyProtection="1">
      <alignment vertical="center"/>
    </xf>
    <xf numFmtId="168" fontId="3" fillId="0" borderId="32" xfId="123" applyNumberFormat="1" applyFont="1" applyFill="1" applyBorder="1" applyAlignment="1" applyProtection="1">
      <alignment vertical="center"/>
    </xf>
    <xf numFmtId="165" fontId="0" fillId="0" borderId="0" xfId="123" applyNumberFormat="1" applyFont="1" applyFill="1"/>
    <xf numFmtId="0" fontId="0" fillId="0" borderId="26" xfId="0" applyBorder="1"/>
    <xf numFmtId="173" fontId="0" fillId="0" borderId="0" xfId="123" applyNumberFormat="1" applyFont="1"/>
    <xf numFmtId="0" fontId="6" fillId="0" borderId="5" xfId="114" applyFont="1" applyBorder="1" applyAlignment="1">
      <alignment horizontal="left"/>
    </xf>
    <xf numFmtId="164" fontId="8" fillId="2" borderId="53" xfId="65" applyNumberFormat="1" applyFont="1" applyFill="1" applyBorder="1"/>
    <xf numFmtId="170" fontId="6" fillId="9" borderId="37" xfId="114" applyNumberFormat="1" applyFont="1" applyFill="1" applyBorder="1" applyProtection="1">
      <protection locked="0"/>
    </xf>
    <xf numFmtId="0" fontId="6" fillId="9" borderId="37" xfId="114" applyFont="1" applyFill="1" applyBorder="1" applyProtection="1">
      <protection locked="0"/>
    </xf>
    <xf numFmtId="0" fontId="8" fillId="2" borderId="1" xfId="114" applyFont="1" applyFill="1" applyBorder="1"/>
    <xf numFmtId="10" fontId="8" fillId="0" borderId="1" xfId="124" applyNumberFormat="1" applyFont="1" applyFill="1" applyBorder="1" applyAlignment="1">
      <alignment vertical="center"/>
    </xf>
    <xf numFmtId="168" fontId="8" fillId="0" borderId="4" xfId="116" applyNumberFormat="1" applyFont="1" applyFill="1" applyBorder="1" applyAlignment="1">
      <alignment vertical="center"/>
    </xf>
    <xf numFmtId="10" fontId="8" fillId="0" borderId="1" xfId="0" applyNumberFormat="1" applyFont="1" applyBorder="1" applyAlignment="1">
      <alignment vertical="center"/>
    </xf>
    <xf numFmtId="10" fontId="8" fillId="0" borderId="37" xfId="0" applyNumberFormat="1" applyFont="1" applyBorder="1" applyAlignment="1">
      <alignment vertical="center"/>
    </xf>
    <xf numFmtId="168" fontId="8" fillId="0" borderId="7" xfId="116" applyNumberFormat="1" applyFont="1" applyFill="1" applyBorder="1" applyAlignment="1">
      <alignment vertical="center"/>
    </xf>
    <xf numFmtId="0" fontId="8" fillId="2" borderId="1" xfId="0" applyFont="1" applyFill="1" applyBorder="1" applyAlignment="1">
      <alignment vertical="center"/>
    </xf>
    <xf numFmtId="0" fontId="8" fillId="2" borderId="32" xfId="0" applyFont="1" applyFill="1" applyBorder="1" applyAlignment="1">
      <alignment horizontal="left" vertical="center"/>
    </xf>
    <xf numFmtId="10" fontId="3" fillId="0" borderId="1" xfId="124" applyNumberFormat="1" applyFont="1" applyFill="1" applyBorder="1" applyAlignment="1" applyProtection="1">
      <alignment vertical="center"/>
    </xf>
    <xf numFmtId="0" fontId="8" fillId="5" borderId="12" xfId="114" applyFont="1" applyFill="1" applyBorder="1" applyAlignment="1" applyProtection="1">
      <alignment horizontal="center" vertical="center"/>
      <protection hidden="1"/>
    </xf>
    <xf numFmtId="168" fontId="6" fillId="0" borderId="4" xfId="116" applyNumberFormat="1" applyFont="1" applyBorder="1" applyAlignment="1" applyProtection="1">
      <alignment vertical="center" wrapText="1"/>
      <protection hidden="1"/>
    </xf>
    <xf numFmtId="168" fontId="6" fillId="0" borderId="7" xfId="116" applyNumberFormat="1" applyFont="1" applyBorder="1" applyAlignment="1" applyProtection="1">
      <alignment vertical="center" wrapText="1"/>
      <protection hidden="1"/>
    </xf>
    <xf numFmtId="168" fontId="6" fillId="0" borderId="53" xfId="116" applyNumberFormat="1" applyFont="1" applyBorder="1" applyAlignment="1" applyProtection="1">
      <alignment vertical="center" wrapText="1"/>
      <protection hidden="1"/>
    </xf>
    <xf numFmtId="168" fontId="6" fillId="0" borderId="15" xfId="116" applyNumberFormat="1" applyFont="1" applyBorder="1" applyAlignment="1" applyProtection="1">
      <alignment vertical="center" wrapText="1"/>
      <protection hidden="1"/>
    </xf>
    <xf numFmtId="0" fontId="6" fillId="0" borderId="31" xfId="114" applyFont="1" applyBorder="1" applyAlignment="1" applyProtection="1">
      <alignment vertical="center" wrapText="1"/>
      <protection hidden="1"/>
    </xf>
    <xf numFmtId="0" fontId="6" fillId="0" borderId="26" xfId="114" applyFont="1" applyBorder="1" applyAlignment="1" applyProtection="1">
      <alignment vertical="center" wrapText="1"/>
      <protection hidden="1"/>
    </xf>
    <xf numFmtId="0" fontId="6" fillId="0" borderId="26" xfId="114" applyFont="1" applyBorder="1" applyAlignment="1" applyProtection="1">
      <alignment horizontal="right" vertical="center" wrapText="1"/>
      <protection hidden="1"/>
    </xf>
    <xf numFmtId="168" fontId="0" fillId="0" borderId="0" xfId="116" applyNumberFormat="1" applyFont="1"/>
    <xf numFmtId="1" fontId="0" fillId="0" borderId="0" xfId="123" applyNumberFormat="1" applyFont="1"/>
    <xf numFmtId="168" fontId="3" fillId="0" borderId="46" xfId="116" applyNumberFormat="1" applyFont="1" applyBorder="1" applyAlignment="1" applyProtection="1">
      <alignment vertical="center"/>
    </xf>
    <xf numFmtId="165" fontId="8" fillId="0" borderId="38" xfId="115" quotePrefix="1" applyNumberFormat="1" applyFont="1" applyBorder="1" applyAlignment="1" applyProtection="1">
      <alignment horizontal="center" vertical="center"/>
    </xf>
    <xf numFmtId="168" fontId="3" fillId="0" borderId="38" xfId="123" applyNumberFormat="1" applyFont="1" applyFill="1" applyBorder="1" applyAlignment="1" applyProtection="1">
      <alignment vertical="center"/>
    </xf>
    <xf numFmtId="165" fontId="8" fillId="4" borderId="32" xfId="115" quotePrefix="1" applyNumberFormat="1" applyFont="1" applyFill="1" applyBorder="1" applyAlignment="1" applyProtection="1">
      <alignment horizontal="center" vertical="center"/>
    </xf>
    <xf numFmtId="0" fontId="0" fillId="0" borderId="3" xfId="0" applyBorder="1"/>
    <xf numFmtId="0" fontId="0" fillId="0" borderId="63" xfId="0" applyBorder="1"/>
    <xf numFmtId="0" fontId="8" fillId="2" borderId="10" xfId="0" applyFont="1" applyFill="1" applyBorder="1" applyAlignment="1">
      <alignment horizontal="center"/>
    </xf>
    <xf numFmtId="0" fontId="6" fillId="2" borderId="47" xfId="114" applyFont="1" applyFill="1" applyBorder="1" applyAlignment="1">
      <alignment horizontal="center"/>
    </xf>
    <xf numFmtId="0" fontId="8" fillId="5" borderId="41" xfId="114" applyFont="1" applyFill="1" applyBorder="1" applyAlignment="1">
      <alignment horizontal="center"/>
    </xf>
    <xf numFmtId="0" fontId="6" fillId="2" borderId="30" xfId="114" applyFont="1" applyFill="1" applyBorder="1" applyAlignment="1">
      <alignment horizontal="center"/>
    </xf>
    <xf numFmtId="0" fontId="8" fillId="2" borderId="32" xfId="0" applyFont="1" applyFill="1" applyBorder="1" applyAlignment="1">
      <alignment vertical="center"/>
    </xf>
    <xf numFmtId="0" fontId="8" fillId="2" borderId="1" xfId="0" applyFont="1" applyFill="1" applyBorder="1" applyAlignment="1">
      <alignment horizontal="left" vertical="center"/>
    </xf>
    <xf numFmtId="164" fontId="6" fillId="9" borderId="60" xfId="65" applyNumberFormat="1" applyFont="1" applyFill="1" applyBorder="1" applyAlignment="1" applyProtection="1">
      <alignment horizontal="center"/>
      <protection locked="0"/>
    </xf>
    <xf numFmtId="0" fontId="6" fillId="2" borderId="55" xfId="121" applyFont="1" applyFill="1" applyBorder="1"/>
    <xf numFmtId="164" fontId="6" fillId="9" borderId="37" xfId="65" applyNumberFormat="1" applyFont="1" applyFill="1" applyBorder="1" applyProtection="1">
      <protection locked="0"/>
    </xf>
    <xf numFmtId="0" fontId="6" fillId="2" borderId="66" xfId="114" applyFont="1" applyFill="1" applyBorder="1" applyAlignment="1">
      <alignment horizontal="center"/>
    </xf>
    <xf numFmtId="0" fontId="6" fillId="2" borderId="50" xfId="114" applyFont="1" applyFill="1" applyBorder="1"/>
    <xf numFmtId="167" fontId="6" fillId="2" borderId="32" xfId="114" applyNumberFormat="1" applyFont="1" applyFill="1" applyBorder="1"/>
    <xf numFmtId="165" fontId="0" fillId="0" borderId="0" xfId="123" quotePrefix="1" applyNumberFormat="1" applyFont="1"/>
    <xf numFmtId="0" fontId="0" fillId="0" borderId="2" xfId="0" applyBorder="1"/>
    <xf numFmtId="0" fontId="0" fillId="0" borderId="0" xfId="0"/>
    <xf numFmtId="0" fontId="0" fillId="0" borderId="3" xfId="0" applyBorder="1"/>
    <xf numFmtId="0" fontId="0" fillId="0" borderId="2" xfId="0"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5" xfId="0" applyBorder="1"/>
    <xf numFmtId="0" fontId="0" fillId="0" borderId="11" xfId="0" applyBorder="1"/>
    <xf numFmtId="0" fontId="0" fillId="0" borderId="6" xfId="0" applyBorder="1"/>
    <xf numFmtId="0" fontId="0" fillId="0" borderId="8" xfId="0" applyBorder="1"/>
    <xf numFmtId="0" fontId="0" fillId="0" borderId="10" xfId="0" applyBorder="1"/>
    <xf numFmtId="0" fontId="0" fillId="0" borderId="9" xfId="0" applyBorder="1"/>
    <xf numFmtId="0" fontId="0" fillId="0" borderId="34" xfId="0" applyBorder="1"/>
    <xf numFmtId="0" fontId="0" fillId="0" borderId="18" xfId="0" applyBorder="1"/>
    <xf numFmtId="0" fontId="0" fillId="0" borderId="19" xfId="0" applyBorder="1"/>
    <xf numFmtId="0" fontId="0" fillId="9" borderId="34" xfId="0" applyFill="1" applyBorder="1"/>
    <xf numFmtId="0" fontId="0" fillId="9" borderId="18" xfId="0" applyFill="1" applyBorder="1"/>
    <xf numFmtId="0" fontId="0" fillId="9" borderId="19" xfId="0" applyFill="1" applyBorder="1"/>
    <xf numFmtId="0" fontId="0" fillId="13" borderId="34" xfId="0" applyFill="1" applyBorder="1"/>
    <xf numFmtId="0" fontId="0" fillId="13" borderId="18" xfId="0" applyFill="1" applyBorder="1"/>
    <xf numFmtId="0" fontId="0" fillId="13" borderId="19" xfId="0" applyFill="1" applyBorder="1"/>
    <xf numFmtId="0" fontId="8" fillId="2" borderId="14" xfId="0" applyFont="1" applyFill="1" applyBorder="1" applyAlignment="1">
      <alignment vertical="center" wrapText="1"/>
    </xf>
    <xf numFmtId="0" fontId="8" fillId="2" borderId="18" xfId="0" applyFont="1" applyFill="1" applyBorder="1" applyAlignment="1">
      <alignment vertical="center" wrapText="1"/>
    </xf>
    <xf numFmtId="0" fontId="8" fillId="2" borderId="19" xfId="0" applyFont="1" applyFill="1" applyBorder="1" applyAlignment="1">
      <alignment vertical="center" wrapText="1"/>
    </xf>
    <xf numFmtId="0" fontId="8" fillId="2" borderId="27" xfId="0" applyFont="1" applyFill="1" applyBorder="1" applyAlignment="1">
      <alignment vertical="center"/>
    </xf>
    <xf numFmtId="0" fontId="8" fillId="2" borderId="36" xfId="0" applyFont="1" applyFill="1" applyBorder="1" applyAlignment="1">
      <alignment vertical="center"/>
    </xf>
    <xf numFmtId="0" fontId="8" fillId="2" borderId="28" xfId="0" applyFont="1" applyFill="1" applyBorder="1" applyAlignment="1">
      <alignment vertical="center"/>
    </xf>
    <xf numFmtId="0" fontId="8" fillId="2" borderId="42" xfId="0" applyFont="1" applyFill="1" applyBorder="1" applyAlignment="1">
      <alignment horizontal="left" vertical="center" wrapText="1"/>
    </xf>
    <xf numFmtId="0" fontId="8" fillId="2" borderId="44"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8" fillId="2" borderId="14" xfId="0" applyFont="1" applyFill="1" applyBorder="1" applyAlignment="1">
      <alignment horizontal="left"/>
    </xf>
    <xf numFmtId="0" fontId="8" fillId="2" borderId="18" xfId="0" applyFont="1" applyFill="1" applyBorder="1" applyAlignment="1">
      <alignment horizontal="left"/>
    </xf>
    <xf numFmtId="0" fontId="8" fillId="2" borderId="47" xfId="0" applyFont="1" applyFill="1" applyBorder="1" applyAlignment="1">
      <alignment horizontal="left"/>
    </xf>
    <xf numFmtId="0" fontId="8" fillId="2" borderId="14" xfId="0" applyFont="1" applyFill="1" applyBorder="1" applyAlignment="1">
      <alignment vertical="center"/>
    </xf>
    <xf numFmtId="0" fontId="8" fillId="2" borderId="18" xfId="0" applyFont="1" applyFill="1" applyBorder="1" applyAlignment="1">
      <alignment vertical="center"/>
    </xf>
    <xf numFmtId="0" fontId="8" fillId="2" borderId="19" xfId="0" applyFont="1" applyFill="1" applyBorder="1" applyAlignment="1">
      <alignment vertical="center"/>
    </xf>
    <xf numFmtId="168" fontId="17" fillId="12" borderId="34" xfId="116" applyNumberFormat="1" applyFont="1" applyFill="1" applyBorder="1" applyAlignment="1" applyProtection="1">
      <alignment vertical="center"/>
      <protection locked="0"/>
    </xf>
    <xf numFmtId="168" fontId="17" fillId="12" borderId="47" xfId="116" applyNumberFormat="1" applyFont="1" applyFill="1" applyBorder="1" applyAlignment="1" applyProtection="1">
      <alignment vertical="center"/>
      <protection locked="0"/>
    </xf>
    <xf numFmtId="0" fontId="8" fillId="2" borderId="20" xfId="0" applyFont="1" applyFill="1" applyBorder="1" applyAlignment="1">
      <alignment horizontal="left"/>
    </xf>
    <xf numFmtId="0" fontId="8" fillId="2" borderId="21" xfId="0" applyFont="1" applyFill="1" applyBorder="1" applyAlignment="1">
      <alignment horizontal="left"/>
    </xf>
    <xf numFmtId="0" fontId="8" fillId="2" borderId="22" xfId="0" applyFont="1" applyFill="1" applyBorder="1" applyAlignment="1">
      <alignment horizontal="left"/>
    </xf>
    <xf numFmtId="168" fontId="8" fillId="0" borderId="69" xfId="116" applyNumberFormat="1" applyFont="1" applyFill="1" applyBorder="1" applyAlignment="1" applyProtection="1">
      <alignment horizontal="center" vertical="center"/>
    </xf>
    <xf numFmtId="168" fontId="8" fillId="0" borderId="41" xfId="116" applyNumberFormat="1" applyFont="1" applyFill="1" applyBorder="1" applyAlignment="1" applyProtection="1">
      <alignment horizontal="center" vertical="center"/>
    </xf>
    <xf numFmtId="0" fontId="17" fillId="11" borderId="29" xfId="0" applyFont="1" applyFill="1" applyBorder="1" applyAlignment="1">
      <alignment horizontal="left" vertical="center"/>
    </xf>
    <xf numFmtId="0" fontId="17" fillId="11" borderId="26" xfId="0" applyFont="1" applyFill="1" applyBorder="1" applyAlignment="1">
      <alignment horizontal="left" vertical="center"/>
    </xf>
    <xf numFmtId="49" fontId="8" fillId="9" borderId="56" xfId="116" applyNumberFormat="1" applyFont="1" applyFill="1" applyBorder="1" applyAlignment="1" applyProtection="1">
      <alignment horizontal="center" vertical="center"/>
      <protection locked="0"/>
    </xf>
    <xf numFmtId="49" fontId="8" fillId="9" borderId="30" xfId="116" applyNumberFormat="1" applyFont="1" applyFill="1" applyBorder="1" applyAlignment="1" applyProtection="1">
      <alignment horizontal="center" vertical="center"/>
      <protection locked="0"/>
    </xf>
    <xf numFmtId="0" fontId="17" fillId="11" borderId="14" xfId="0" applyFont="1" applyFill="1" applyBorder="1" applyAlignment="1">
      <alignment horizontal="left" vertical="center"/>
    </xf>
    <xf numFmtId="0" fontId="17" fillId="11" borderId="18" xfId="0" applyFont="1" applyFill="1" applyBorder="1" applyAlignment="1">
      <alignment horizontal="left" vertical="center"/>
    </xf>
    <xf numFmtId="168" fontId="8" fillId="2" borderId="34" xfId="116" applyNumberFormat="1" applyFont="1" applyFill="1" applyBorder="1" applyAlignment="1" applyProtection="1">
      <alignment vertical="center"/>
    </xf>
    <xf numFmtId="168" fontId="8" fillId="2" borderId="47" xfId="116" applyNumberFormat="1" applyFont="1" applyFill="1" applyBorder="1" applyAlignment="1" applyProtection="1">
      <alignment vertical="center"/>
    </xf>
    <xf numFmtId="0" fontId="8" fillId="2" borderId="29" xfId="0" applyFont="1" applyFill="1" applyBorder="1" applyAlignment="1">
      <alignment vertical="center" wrapText="1"/>
    </xf>
    <xf numFmtId="0" fontId="8" fillId="2" borderId="26" xfId="0" applyFont="1" applyFill="1" applyBorder="1" applyAlignment="1">
      <alignment vertical="center" wrapText="1"/>
    </xf>
    <xf numFmtId="0" fontId="8" fillId="2" borderId="31" xfId="0" applyFont="1" applyFill="1" applyBorder="1" applyAlignment="1">
      <alignment vertical="center" wrapText="1"/>
    </xf>
    <xf numFmtId="0" fontId="8" fillId="2" borderId="27" xfId="0" applyFont="1" applyFill="1" applyBorder="1" applyAlignment="1">
      <alignment wrapText="1"/>
    </xf>
    <xf numFmtId="0" fontId="8" fillId="2" borderId="36" xfId="0" applyFont="1" applyFill="1" applyBorder="1" applyAlignment="1">
      <alignment wrapText="1"/>
    </xf>
    <xf numFmtId="0" fontId="8" fillId="2" borderId="28" xfId="0" applyFont="1" applyFill="1" applyBorder="1" applyAlignment="1">
      <alignment wrapText="1"/>
    </xf>
    <xf numFmtId="0" fontId="8" fillId="2" borderId="29" xfId="0" applyFont="1" applyFill="1" applyBorder="1" applyAlignment="1">
      <alignment horizontal="center"/>
    </xf>
    <xf numFmtId="0" fontId="8" fillId="2" borderId="26" xfId="0" applyFont="1" applyFill="1" applyBorder="1" applyAlignment="1">
      <alignment horizontal="center"/>
    </xf>
    <xf numFmtId="0" fontId="8" fillId="2" borderId="30" xfId="0" applyFont="1" applyFill="1" applyBorder="1" applyAlignment="1">
      <alignment horizontal="center"/>
    </xf>
    <xf numFmtId="0" fontId="8" fillId="2" borderId="44" xfId="0" applyFont="1" applyFill="1" applyBorder="1" applyAlignment="1">
      <alignment horizontal="left" vertical="center"/>
    </xf>
    <xf numFmtId="0" fontId="8" fillId="2" borderId="43" xfId="0" applyFont="1" applyFill="1" applyBorder="1" applyAlignment="1">
      <alignment horizontal="left" vertical="center"/>
    </xf>
    <xf numFmtId="0" fontId="8" fillId="2" borderId="29" xfId="0" applyFont="1" applyFill="1" applyBorder="1" applyAlignment="1">
      <alignment horizontal="left" vertical="center"/>
    </xf>
    <xf numFmtId="0" fontId="8" fillId="2" borderId="26" xfId="0" applyFont="1" applyFill="1" applyBorder="1" applyAlignment="1">
      <alignment horizontal="left" vertical="center"/>
    </xf>
    <xf numFmtId="0" fontId="8" fillId="2" borderId="31" xfId="0" applyFont="1" applyFill="1" applyBorder="1" applyAlignment="1">
      <alignment horizontal="left" vertical="center"/>
    </xf>
    <xf numFmtId="0" fontId="8" fillId="2" borderId="27" xfId="0" applyFont="1" applyFill="1" applyBorder="1" applyAlignment="1">
      <alignment horizontal="center"/>
    </xf>
    <xf numFmtId="0" fontId="8" fillId="2" borderId="36" xfId="0" applyFont="1" applyFill="1" applyBorder="1" applyAlignment="1">
      <alignment horizontal="center"/>
    </xf>
    <xf numFmtId="0" fontId="8" fillId="2" borderId="48" xfId="0" applyFont="1" applyFill="1" applyBorder="1" applyAlignment="1">
      <alignment horizontal="center"/>
    </xf>
    <xf numFmtId="0" fontId="0" fillId="11" borderId="11" xfId="0" applyFill="1" applyBorder="1" applyAlignment="1">
      <alignment horizontal="center"/>
    </xf>
    <xf numFmtId="0" fontId="18" fillId="11" borderId="20" xfId="0" applyFont="1" applyFill="1" applyBorder="1" applyAlignment="1">
      <alignment horizontal="center" vertical="center"/>
    </xf>
    <xf numFmtId="0" fontId="18" fillId="11" borderId="21" xfId="0" applyFont="1" applyFill="1" applyBorder="1" applyAlignment="1">
      <alignment horizontal="center" vertical="center"/>
    </xf>
    <xf numFmtId="0" fontId="18" fillId="11" borderId="41" xfId="0" applyFont="1" applyFill="1" applyBorder="1" applyAlignment="1">
      <alignment horizontal="center" vertical="center"/>
    </xf>
    <xf numFmtId="0" fontId="17" fillId="11" borderId="29" xfId="0" applyFont="1" applyFill="1" applyBorder="1" applyAlignment="1">
      <alignment horizontal="center" vertical="center" wrapText="1"/>
    </xf>
    <xf numFmtId="0" fontId="17" fillId="11" borderId="26" xfId="0" applyFont="1" applyFill="1" applyBorder="1" applyAlignment="1">
      <alignment horizontal="center" vertical="center"/>
    </xf>
    <xf numFmtId="0" fontId="17" fillId="11" borderId="30" xfId="0" applyFont="1" applyFill="1" applyBorder="1" applyAlignment="1">
      <alignment horizontal="center" vertical="center"/>
    </xf>
    <xf numFmtId="168" fontId="8" fillId="9" borderId="52" xfId="116" applyNumberFormat="1" applyFont="1" applyFill="1" applyBorder="1" applyAlignment="1" applyProtection="1">
      <alignment horizontal="center" vertical="center"/>
      <protection locked="0"/>
    </xf>
    <xf numFmtId="168" fontId="8" fillId="9" borderId="48" xfId="116" applyNumberFormat="1" applyFont="1" applyFill="1" applyBorder="1" applyAlignment="1" applyProtection="1">
      <alignment horizontal="center" vertical="center"/>
      <protection locked="0"/>
    </xf>
    <xf numFmtId="0" fontId="8" fillId="2" borderId="35" xfId="0" applyFont="1" applyFill="1" applyBorder="1"/>
    <xf numFmtId="0" fontId="16" fillId="11" borderId="16" xfId="0" applyFont="1" applyFill="1" applyBorder="1" applyAlignment="1">
      <alignment horizontal="center"/>
    </xf>
    <xf numFmtId="0" fontId="16" fillId="11" borderId="35" xfId="0" applyFont="1" applyFill="1" applyBorder="1" applyAlignment="1">
      <alignment horizontal="center"/>
    </xf>
    <xf numFmtId="0" fontId="16" fillId="11" borderId="17" xfId="0" applyFont="1" applyFill="1" applyBorder="1" applyAlignment="1">
      <alignment horizontal="center"/>
    </xf>
    <xf numFmtId="0" fontId="8" fillId="2" borderId="14" xfId="0" applyFont="1" applyFill="1" applyBorder="1"/>
    <xf numFmtId="0" fontId="8" fillId="2" borderId="18" xfId="0" applyFont="1" applyFill="1" applyBorder="1"/>
    <xf numFmtId="0" fontId="8" fillId="2" borderId="19" xfId="0" applyFont="1" applyFill="1" applyBorder="1"/>
    <xf numFmtId="168" fontId="8" fillId="9" borderId="34" xfId="116" applyNumberFormat="1" applyFont="1" applyFill="1" applyBorder="1" applyAlignment="1" applyProtection="1">
      <alignment horizontal="center" vertical="center"/>
      <protection locked="0"/>
    </xf>
    <xf numFmtId="168" fontId="8" fillId="9" borderId="47" xfId="116" applyNumberFormat="1" applyFont="1" applyFill="1" applyBorder="1" applyAlignment="1" applyProtection="1">
      <alignment horizontal="center" vertical="center"/>
      <protection locked="0"/>
    </xf>
    <xf numFmtId="49" fontId="8" fillId="9" borderId="34" xfId="116" applyNumberFormat="1" applyFont="1" applyFill="1" applyBorder="1" applyAlignment="1" applyProtection="1">
      <alignment horizontal="center" vertical="center"/>
      <protection locked="0"/>
    </xf>
    <xf numFmtId="49" fontId="8" fillId="9" borderId="47" xfId="116" applyNumberFormat="1" applyFont="1" applyFill="1" applyBorder="1" applyAlignment="1" applyProtection="1">
      <alignment horizontal="center" vertical="center"/>
      <protection locked="0"/>
    </xf>
    <xf numFmtId="0" fontId="8" fillId="2" borderId="14" xfId="0" applyFont="1" applyFill="1" applyBorder="1" applyAlignment="1">
      <alignment wrapText="1"/>
    </xf>
    <xf numFmtId="0" fontId="8" fillId="2" borderId="18" xfId="0" applyFont="1" applyFill="1" applyBorder="1" applyAlignment="1">
      <alignment wrapText="1"/>
    </xf>
    <xf numFmtId="0" fontId="8" fillId="2" borderId="19" xfId="0" applyFont="1" applyFill="1" applyBorder="1" applyAlignment="1">
      <alignment wrapText="1"/>
    </xf>
    <xf numFmtId="0" fontId="8" fillId="2" borderId="29" xfId="0" applyFont="1" applyFill="1" applyBorder="1" applyAlignment="1">
      <alignment horizontal="left" wrapText="1"/>
    </xf>
    <xf numFmtId="0" fontId="8" fillId="2" borderId="26" xfId="0" applyFont="1" applyFill="1" applyBorder="1" applyAlignment="1">
      <alignment horizontal="left" wrapText="1"/>
    </xf>
    <xf numFmtId="49" fontId="8" fillId="9" borderId="56" xfId="124" applyNumberFormat="1" applyFont="1" applyFill="1" applyBorder="1" applyAlignment="1" applyProtection="1">
      <alignment horizontal="center" vertical="center"/>
      <protection locked="0"/>
    </xf>
    <xf numFmtId="49" fontId="8" fillId="9" borderId="30" xfId="124" applyNumberFormat="1" applyFont="1" applyFill="1" applyBorder="1" applyAlignment="1" applyProtection="1">
      <alignment horizontal="center" vertical="center"/>
      <protection locked="0"/>
    </xf>
    <xf numFmtId="168" fontId="8" fillId="9" borderId="34" xfId="116" applyNumberFormat="1" applyFont="1" applyFill="1" applyBorder="1" applyAlignment="1" applyProtection="1">
      <alignment vertical="center"/>
      <protection locked="0"/>
    </xf>
    <xf numFmtId="168" fontId="8" fillId="9" borderId="47" xfId="116" applyNumberFormat="1" applyFont="1" applyFill="1" applyBorder="1" applyAlignment="1" applyProtection="1">
      <alignment vertical="center"/>
      <protection locked="0"/>
    </xf>
    <xf numFmtId="0" fontId="8" fillId="2" borderId="10" xfId="0" applyFont="1" applyFill="1" applyBorder="1" applyAlignment="1">
      <alignment horizontal="left" vertical="center" wrapText="1"/>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41" xfId="0" applyFont="1" applyFill="1" applyBorder="1" applyAlignment="1">
      <alignment horizontal="center" vertical="center"/>
    </xf>
    <xf numFmtId="0" fontId="8" fillId="2" borderId="14" xfId="0" applyFont="1" applyFill="1" applyBorder="1" applyAlignment="1">
      <alignment horizontal="left" wrapText="1"/>
    </xf>
    <xf numFmtId="0" fontId="8" fillId="2" borderId="18" xfId="0" applyFont="1" applyFill="1" applyBorder="1" applyAlignment="1">
      <alignment horizontal="left" wrapText="1"/>
    </xf>
    <xf numFmtId="0" fontId="8" fillId="2" borderId="19" xfId="0" applyFont="1" applyFill="1" applyBorder="1" applyAlignment="1">
      <alignment horizontal="left" wrapText="1"/>
    </xf>
    <xf numFmtId="49" fontId="8" fillId="9" borderId="34" xfId="124" applyNumberFormat="1" applyFont="1" applyFill="1" applyBorder="1" applyAlignment="1" applyProtection="1">
      <alignment horizontal="center" vertical="center"/>
      <protection locked="0"/>
    </xf>
    <xf numFmtId="49" fontId="8" fillId="9" borderId="47" xfId="124" applyNumberFormat="1" applyFont="1" applyFill="1" applyBorder="1" applyAlignment="1" applyProtection="1">
      <alignment horizontal="center" vertical="center"/>
      <protection locked="0"/>
    </xf>
    <xf numFmtId="0" fontId="8" fillId="2" borderId="19" xfId="0" applyFont="1" applyFill="1" applyBorder="1" applyAlignment="1">
      <alignment horizontal="left"/>
    </xf>
    <xf numFmtId="0" fontId="8" fillId="2" borderId="2" xfId="0" applyFont="1" applyFill="1" applyBorder="1" applyAlignment="1">
      <alignment horizontal="left" vertical="center" wrapText="1"/>
    </xf>
    <xf numFmtId="0" fontId="8" fillId="2" borderId="0" xfId="0" applyFont="1" applyFill="1" applyAlignment="1">
      <alignment horizontal="left" vertical="center"/>
    </xf>
    <xf numFmtId="0" fontId="8" fillId="2" borderId="58" xfId="0" applyFont="1" applyFill="1" applyBorder="1" applyAlignment="1">
      <alignment horizontal="left" vertical="center"/>
    </xf>
    <xf numFmtId="0" fontId="8" fillId="2" borderId="5" xfId="0" applyFont="1" applyFill="1" applyBorder="1" applyAlignment="1">
      <alignment horizontal="left" vertical="center"/>
    </xf>
    <xf numFmtId="0" fontId="8" fillId="2" borderId="11" xfId="0" applyFont="1" applyFill="1" applyBorder="1" applyAlignment="1">
      <alignment horizontal="left" vertical="center"/>
    </xf>
    <xf numFmtId="0" fontId="8" fillId="2" borderId="25" xfId="0" applyFont="1" applyFill="1" applyBorder="1" applyAlignment="1">
      <alignment horizontal="left" vertical="center"/>
    </xf>
    <xf numFmtId="168" fontId="8" fillId="9" borderId="56" xfId="116" applyNumberFormat="1" applyFont="1" applyFill="1" applyBorder="1" applyAlignment="1" applyProtection="1">
      <alignment vertical="center"/>
      <protection locked="0"/>
    </xf>
    <xf numFmtId="168" fontId="8" fillId="9" borderId="30" xfId="116" applyNumberFormat="1" applyFont="1" applyFill="1" applyBorder="1" applyAlignment="1" applyProtection="1">
      <alignment vertical="center"/>
      <protection locked="0"/>
    </xf>
    <xf numFmtId="49" fontId="8" fillId="2" borderId="14" xfId="0" applyNumberFormat="1" applyFont="1" applyFill="1" applyBorder="1" applyAlignment="1">
      <alignment horizontal="left"/>
    </xf>
    <xf numFmtId="49" fontId="8" fillId="2" borderId="18" xfId="0" applyNumberFormat="1" applyFont="1" applyFill="1" applyBorder="1" applyAlignment="1">
      <alignment horizontal="left"/>
    </xf>
    <xf numFmtId="49" fontId="8" fillId="2" borderId="19" xfId="0" applyNumberFormat="1" applyFont="1" applyFill="1" applyBorder="1" applyAlignment="1">
      <alignment horizontal="left"/>
    </xf>
    <xf numFmtId="0" fontId="0" fillId="11" borderId="35" xfId="0" applyFill="1" applyBorder="1" applyAlignment="1">
      <alignment horizontal="left"/>
    </xf>
    <xf numFmtId="10" fontId="14" fillId="9" borderId="69" xfId="124" applyNumberFormat="1" applyFont="1" applyFill="1" applyBorder="1" applyAlignment="1" applyProtection="1">
      <alignment vertical="center"/>
      <protection locked="0"/>
    </xf>
    <xf numFmtId="10" fontId="14" fillId="9" borderId="41" xfId="124" applyNumberFormat="1" applyFont="1" applyFill="1" applyBorder="1" applyAlignment="1" applyProtection="1">
      <alignment vertical="center"/>
      <protection locked="0"/>
    </xf>
    <xf numFmtId="0" fontId="8" fillId="2" borderId="42" xfId="0" applyFont="1" applyFill="1" applyBorder="1"/>
    <xf numFmtId="0" fontId="8" fillId="2" borderId="44" xfId="0" applyFont="1" applyFill="1" applyBorder="1"/>
    <xf numFmtId="0" fontId="8" fillId="2" borderId="29" xfId="0" applyFont="1" applyFill="1" applyBorder="1" applyAlignment="1">
      <alignment horizontal="left"/>
    </xf>
    <xf numFmtId="0" fontId="8" fillId="2" borderId="26" xfId="0" applyFont="1" applyFill="1" applyBorder="1" applyAlignment="1">
      <alignment horizontal="left"/>
    </xf>
    <xf numFmtId="0" fontId="8" fillId="2" borderId="31" xfId="0" applyFont="1" applyFill="1" applyBorder="1" applyAlignment="1">
      <alignment horizontal="left"/>
    </xf>
    <xf numFmtId="0" fontId="14" fillId="2" borderId="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26" xfId="0" applyFont="1" applyFill="1" applyBorder="1" applyAlignment="1">
      <alignment horizontal="left" vertical="center" wrapText="1"/>
    </xf>
    <xf numFmtId="10" fontId="14" fillId="9" borderId="56" xfId="124" applyNumberFormat="1" applyFont="1" applyFill="1" applyBorder="1" applyAlignment="1" applyProtection="1">
      <alignment vertical="center"/>
      <protection locked="0"/>
    </xf>
    <xf numFmtId="10" fontId="14" fillId="9" borderId="30" xfId="124" applyNumberFormat="1" applyFont="1" applyFill="1" applyBorder="1" applyAlignment="1" applyProtection="1">
      <alignment vertical="center"/>
      <protection locked="0"/>
    </xf>
    <xf numFmtId="0" fontId="0" fillId="11" borderId="35" xfId="0" applyFill="1" applyBorder="1"/>
    <xf numFmtId="0" fontId="19" fillId="5" borderId="8"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11" xfId="0" applyFont="1" applyFill="1" applyBorder="1" applyAlignment="1">
      <alignment horizontal="center" vertical="center"/>
    </xf>
    <xf numFmtId="0" fontId="19" fillId="5" borderId="6" xfId="0" applyFont="1" applyFill="1" applyBorder="1" applyAlignment="1">
      <alignment horizontal="center" vertical="center"/>
    </xf>
    <xf numFmtId="0" fontId="8" fillId="2" borderId="50" xfId="0" applyFont="1" applyFill="1" applyBorder="1" applyAlignment="1">
      <alignment horizontal="left" wrapText="1"/>
    </xf>
    <xf numFmtId="0" fontId="8" fillId="2" borderId="32" xfId="0" applyFont="1" applyFill="1" applyBorder="1" applyAlignment="1">
      <alignment horizontal="left" wrapText="1"/>
    </xf>
    <xf numFmtId="0" fontId="10" fillId="9" borderId="56" xfId="0" applyFont="1" applyFill="1" applyBorder="1" applyAlignment="1" applyProtection="1">
      <alignment horizontal="center" vertical="center"/>
      <protection locked="0"/>
    </xf>
    <xf numFmtId="0" fontId="10" fillId="9" borderId="26" xfId="0" applyFont="1" applyFill="1" applyBorder="1" applyAlignment="1" applyProtection="1">
      <alignment horizontal="center" vertical="center"/>
      <protection locked="0"/>
    </xf>
    <xf numFmtId="0" fontId="10" fillId="9" borderId="30" xfId="0" applyFont="1" applyFill="1" applyBorder="1" applyAlignment="1" applyProtection="1">
      <alignment horizontal="center" vertical="center"/>
      <protection locked="0"/>
    </xf>
    <xf numFmtId="0" fontId="12" fillId="5" borderId="8"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0" fillId="11" borderId="20" xfId="0" applyFill="1" applyBorder="1" applyAlignment="1">
      <alignment horizontal="left"/>
    </xf>
    <xf numFmtId="0" fontId="0" fillId="11" borderId="21" xfId="0" applyFill="1" applyBorder="1" applyAlignment="1">
      <alignment horizontal="left"/>
    </xf>
    <xf numFmtId="0" fontId="0" fillId="11" borderId="22" xfId="0" applyFill="1" applyBorder="1" applyAlignment="1">
      <alignment horizontal="left"/>
    </xf>
    <xf numFmtId="0" fontId="13" fillId="9" borderId="69"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0" fillId="11" borderId="14" xfId="0" applyFill="1" applyBorder="1" applyAlignment="1">
      <alignment horizontal="left"/>
    </xf>
    <xf numFmtId="0" fontId="0" fillId="11" borderId="18" xfId="0" applyFill="1" applyBorder="1" applyAlignment="1">
      <alignment horizontal="left"/>
    </xf>
    <xf numFmtId="0" fontId="0" fillId="11" borderId="19" xfId="0" applyFill="1" applyBorder="1" applyAlignment="1">
      <alignment horizontal="left"/>
    </xf>
    <xf numFmtId="174" fontId="8" fillId="2" borderId="34" xfId="0" applyNumberFormat="1" applyFont="1" applyFill="1" applyBorder="1" applyAlignment="1">
      <alignment horizontal="center" vertical="center" wrapText="1"/>
    </xf>
    <xf numFmtId="174" fontId="8" fillId="2" borderId="47" xfId="0" applyNumberFormat="1" applyFont="1" applyFill="1" applyBorder="1" applyAlignment="1">
      <alignment horizontal="center" vertical="center" wrapText="1"/>
    </xf>
    <xf numFmtId="0" fontId="0" fillId="11" borderId="5" xfId="0" applyFill="1" applyBorder="1"/>
    <xf numFmtId="0" fontId="0" fillId="11" borderId="11" xfId="0" applyFill="1" applyBorder="1"/>
    <xf numFmtId="0" fontId="0" fillId="11" borderId="6" xfId="0" applyFill="1" applyBorder="1"/>
    <xf numFmtId="166" fontId="6" fillId="0" borderId="21" xfId="114" applyNumberFormat="1" applyFont="1" applyBorder="1" applyAlignment="1">
      <alignment horizontal="right" vertical="center"/>
    </xf>
    <xf numFmtId="166" fontId="6" fillId="0" borderId="41" xfId="114" applyNumberFormat="1" applyFont="1" applyBorder="1" applyAlignment="1">
      <alignment horizontal="right" vertical="center"/>
    </xf>
    <xf numFmtId="166" fontId="6" fillId="0" borderId="20" xfId="114" applyNumberFormat="1" applyFont="1" applyBorder="1" applyAlignment="1">
      <alignment vertical="center"/>
    </xf>
    <xf numFmtId="166" fontId="6" fillId="0" borderId="21" xfId="114" applyNumberFormat="1" applyFont="1" applyBorder="1" applyAlignment="1">
      <alignment vertical="center"/>
    </xf>
    <xf numFmtId="0" fontId="6" fillId="0" borderId="16" xfId="114" applyFont="1" applyBorder="1" applyAlignment="1" applyProtection="1">
      <alignment vertical="center" wrapText="1"/>
      <protection hidden="1"/>
    </xf>
    <xf numFmtId="0" fontId="6" fillId="0" borderId="35" xfId="114" applyFont="1" applyBorder="1" applyAlignment="1" applyProtection="1">
      <alignment vertical="center" wrapText="1"/>
      <protection hidden="1"/>
    </xf>
    <xf numFmtId="0" fontId="6" fillId="0" borderId="61" xfId="114" applyFont="1" applyBorder="1" applyAlignment="1" applyProtection="1">
      <alignment vertical="center" wrapText="1"/>
      <protection hidden="1"/>
    </xf>
    <xf numFmtId="168" fontId="6" fillId="0" borderId="34" xfId="116" applyNumberFormat="1" applyFont="1" applyBorder="1" applyAlignment="1" applyProtection="1">
      <alignment vertical="center" wrapText="1"/>
      <protection hidden="1"/>
    </xf>
    <xf numFmtId="168" fontId="6" fillId="0" borderId="19" xfId="116" applyNumberFormat="1" applyFont="1" applyBorder="1" applyAlignment="1" applyProtection="1">
      <alignment vertical="center" wrapText="1"/>
      <protection hidden="1"/>
    </xf>
    <xf numFmtId="0" fontId="6" fillId="0" borderId="42" xfId="114" applyFont="1" applyBorder="1" applyAlignment="1" applyProtection="1">
      <alignment horizontal="left" vertical="center" wrapText="1"/>
      <protection hidden="1"/>
    </xf>
    <xf numFmtId="0" fontId="6" fillId="0" borderId="43" xfId="114" applyFont="1" applyBorder="1" applyAlignment="1" applyProtection="1">
      <alignment horizontal="left" vertical="center" wrapText="1"/>
      <protection hidden="1"/>
    </xf>
    <xf numFmtId="0" fontId="6" fillId="0" borderId="2" xfId="114" applyFont="1" applyBorder="1" applyAlignment="1" applyProtection="1">
      <alignment horizontal="left" vertical="center" wrapText="1"/>
      <protection hidden="1"/>
    </xf>
    <xf numFmtId="0" fontId="6" fillId="0" borderId="58" xfId="114" applyFont="1" applyBorder="1" applyAlignment="1" applyProtection="1">
      <alignment horizontal="left" vertical="center" wrapText="1"/>
      <protection hidden="1"/>
    </xf>
    <xf numFmtId="0" fontId="6" fillId="0" borderId="29" xfId="114" applyFont="1" applyBorder="1" applyAlignment="1" applyProtection="1">
      <alignment horizontal="left" vertical="center" wrapText="1"/>
      <protection hidden="1"/>
    </xf>
    <xf numFmtId="0" fontId="6" fillId="0" borderId="31" xfId="114" applyFont="1" applyBorder="1" applyAlignment="1" applyProtection="1">
      <alignment horizontal="left" vertical="center" wrapText="1"/>
      <protection hidden="1"/>
    </xf>
    <xf numFmtId="168" fontId="6" fillId="0" borderId="60" xfId="116" applyNumberFormat="1" applyFont="1" applyBorder="1" applyAlignment="1" applyProtection="1">
      <alignment vertical="center" wrapText="1"/>
      <protection hidden="1"/>
    </xf>
    <xf numFmtId="168" fontId="6" fillId="0" borderId="1" xfId="116" applyNumberFormat="1" applyFont="1" applyBorder="1" applyAlignment="1" applyProtection="1">
      <alignment vertical="center" wrapText="1"/>
      <protection hidden="1"/>
    </xf>
    <xf numFmtId="168" fontId="6" fillId="0" borderId="52" xfId="116" applyNumberFormat="1" applyFont="1" applyBorder="1" applyAlignment="1" applyProtection="1">
      <alignment vertical="center" wrapText="1"/>
      <protection hidden="1"/>
    </xf>
    <xf numFmtId="168" fontId="6" fillId="0" borderId="28" xfId="116" applyNumberFormat="1" applyFont="1" applyBorder="1" applyAlignment="1" applyProtection="1">
      <alignment vertical="center" wrapText="1"/>
      <protection hidden="1"/>
    </xf>
    <xf numFmtId="0" fontId="6" fillId="0" borderId="14" xfId="114" applyFont="1" applyBorder="1" applyAlignment="1" applyProtection="1">
      <alignment vertical="center" wrapText="1"/>
      <protection hidden="1"/>
    </xf>
    <xf numFmtId="0" fontId="6" fillId="0" borderId="18" xfId="114" applyFont="1" applyBorder="1" applyAlignment="1" applyProtection="1">
      <alignment vertical="center" wrapText="1"/>
      <protection hidden="1"/>
    </xf>
    <xf numFmtId="0" fontId="6" fillId="0" borderId="19" xfId="114" applyFont="1" applyBorder="1" applyAlignment="1" applyProtection="1">
      <alignment vertical="center" wrapText="1"/>
      <protection hidden="1"/>
    </xf>
    <xf numFmtId="0" fontId="6" fillId="0" borderId="27" xfId="114" applyFont="1" applyBorder="1" applyAlignment="1" applyProtection="1">
      <alignment vertical="center" wrapText="1"/>
      <protection hidden="1"/>
    </xf>
    <xf numFmtId="0" fontId="6" fillId="0" borderId="36" xfId="114" applyFont="1" applyBorder="1" applyAlignment="1" applyProtection="1">
      <alignment vertical="center" wrapText="1"/>
      <protection hidden="1"/>
    </xf>
    <xf numFmtId="0" fontId="6" fillId="0" borderId="28" xfId="114" applyFont="1" applyBorder="1" applyAlignment="1" applyProtection="1">
      <alignment vertical="center" wrapText="1"/>
      <protection hidden="1"/>
    </xf>
    <xf numFmtId="0" fontId="5" fillId="0" borderId="11" xfId="114" applyBorder="1"/>
    <xf numFmtId="0" fontId="8" fillId="3" borderId="20" xfId="114" applyFont="1" applyFill="1" applyBorder="1" applyAlignment="1" applyProtection="1">
      <alignment vertical="center" wrapText="1"/>
      <protection hidden="1"/>
    </xf>
    <xf numFmtId="0" fontId="8" fillId="3" borderId="21" xfId="114" applyFont="1" applyFill="1" applyBorder="1" applyAlignment="1" applyProtection="1">
      <alignment vertical="center" wrapText="1"/>
      <protection hidden="1"/>
    </xf>
    <xf numFmtId="0" fontId="8" fillId="3" borderId="22" xfId="114" applyFont="1" applyFill="1" applyBorder="1" applyAlignment="1" applyProtection="1">
      <alignment vertical="center" wrapText="1"/>
      <protection hidden="1"/>
    </xf>
    <xf numFmtId="0" fontId="10" fillId="5" borderId="16" xfId="114" applyFont="1" applyFill="1" applyBorder="1" applyAlignment="1" applyProtection="1">
      <alignment horizontal="center" vertical="center"/>
      <protection hidden="1"/>
    </xf>
    <xf numFmtId="0" fontId="10" fillId="5" borderId="35" xfId="114" applyFont="1" applyFill="1" applyBorder="1" applyAlignment="1" applyProtection="1">
      <alignment horizontal="center" vertical="center"/>
      <protection hidden="1"/>
    </xf>
    <xf numFmtId="0" fontId="10" fillId="5" borderId="17" xfId="114" applyFont="1" applyFill="1" applyBorder="1" applyAlignment="1" applyProtection="1">
      <alignment horizontal="center" vertical="center"/>
      <protection hidden="1"/>
    </xf>
    <xf numFmtId="0" fontId="10" fillId="5" borderId="16" xfId="114" applyFont="1" applyFill="1" applyBorder="1" applyAlignment="1">
      <alignment horizontal="center" vertical="center"/>
    </xf>
    <xf numFmtId="0" fontId="10" fillId="5" borderId="35" xfId="114" applyFont="1" applyFill="1" applyBorder="1" applyAlignment="1">
      <alignment horizontal="center" vertical="center"/>
    </xf>
    <xf numFmtId="0" fontId="10" fillId="5" borderId="17" xfId="114" applyFont="1" applyFill="1" applyBorder="1" applyAlignment="1">
      <alignment horizontal="center" vertical="center"/>
    </xf>
    <xf numFmtId="166" fontId="6" fillId="0" borderId="16" xfId="114" applyNumberFormat="1" applyFont="1" applyBorder="1" applyAlignment="1" applyProtection="1">
      <alignment vertical="center"/>
      <protection hidden="1"/>
    </xf>
    <xf numFmtId="166" fontId="6" fillId="0" borderId="35" xfId="114" applyNumberFormat="1" applyFont="1" applyBorder="1" applyAlignment="1" applyProtection="1">
      <alignment vertical="center"/>
      <protection hidden="1"/>
    </xf>
    <xf numFmtId="166" fontId="6" fillId="0" borderId="17" xfId="114" applyNumberFormat="1" applyFont="1" applyBorder="1" applyAlignment="1" applyProtection="1">
      <alignment vertical="center"/>
      <protection hidden="1"/>
    </xf>
    <xf numFmtId="0" fontId="8" fillId="5" borderId="69" xfId="114" applyFont="1" applyFill="1" applyBorder="1" applyAlignment="1" applyProtection="1">
      <alignment horizontal="center" vertical="center"/>
      <protection hidden="1"/>
    </xf>
    <xf numFmtId="0" fontId="8" fillId="5" borderId="22" xfId="114" applyFont="1" applyFill="1" applyBorder="1" applyAlignment="1" applyProtection="1">
      <alignment horizontal="center" vertical="center"/>
      <protection hidden="1"/>
    </xf>
    <xf numFmtId="0" fontId="6" fillId="0" borderId="14" xfId="114" applyFont="1" applyBorder="1" applyAlignment="1">
      <alignment vertical="center" wrapText="1"/>
    </xf>
    <xf numFmtId="0" fontId="6" fillId="0" borderId="18" xfId="114" applyFont="1" applyBorder="1" applyAlignment="1">
      <alignment vertical="center" wrapText="1"/>
    </xf>
    <xf numFmtId="0" fontId="6" fillId="0" borderId="19" xfId="114" applyFont="1" applyBorder="1" applyAlignment="1">
      <alignment vertical="center" wrapText="1"/>
    </xf>
    <xf numFmtId="0" fontId="6" fillId="0" borderId="14" xfId="114" applyFont="1" applyBorder="1" applyAlignment="1">
      <alignment horizontal="left" vertical="center" wrapText="1"/>
    </xf>
    <xf numFmtId="0" fontId="6" fillId="0" borderId="18" xfId="114" applyFont="1" applyBorder="1" applyAlignment="1">
      <alignment horizontal="left" vertical="center" wrapText="1"/>
    </xf>
    <xf numFmtId="0" fontId="6" fillId="0" borderId="19" xfId="114" applyFont="1" applyBorder="1" applyAlignment="1">
      <alignment horizontal="left" vertical="center" wrapText="1"/>
    </xf>
    <xf numFmtId="0" fontId="6" fillId="0" borderId="14" xfId="114" applyFont="1" applyBorder="1" applyAlignment="1">
      <alignment vertical="center"/>
    </xf>
    <xf numFmtId="0" fontId="6" fillId="0" borderId="18" xfId="114" applyFont="1" applyBorder="1" applyAlignment="1">
      <alignment vertical="center"/>
    </xf>
    <xf numFmtId="0" fontId="6" fillId="0" borderId="19" xfId="114" applyFont="1" applyBorder="1" applyAlignment="1">
      <alignment vertical="center"/>
    </xf>
    <xf numFmtId="0" fontId="8" fillId="3" borderId="14" xfId="114" applyFont="1" applyFill="1" applyBorder="1" applyAlignment="1">
      <alignment horizontal="left" vertical="center" wrapText="1"/>
    </xf>
    <xf numFmtId="0" fontId="8" fillId="3" borderId="18" xfId="114" applyFont="1" applyFill="1" applyBorder="1" applyAlignment="1">
      <alignment horizontal="left" vertical="center" wrapText="1"/>
    </xf>
    <xf numFmtId="0" fontId="8" fillId="3" borderId="19" xfId="114" applyFont="1" applyFill="1" applyBorder="1" applyAlignment="1">
      <alignment horizontal="left" vertical="center" wrapText="1"/>
    </xf>
    <xf numFmtId="0" fontId="8" fillId="3" borderId="16" xfId="114" applyFont="1" applyFill="1" applyBorder="1" applyAlignment="1">
      <alignment horizontal="left" vertical="center" wrapText="1"/>
    </xf>
    <xf numFmtId="0" fontId="8" fillId="3" borderId="35" xfId="114" applyFont="1" applyFill="1" applyBorder="1" applyAlignment="1">
      <alignment horizontal="left" vertical="center" wrapText="1"/>
    </xf>
    <xf numFmtId="0" fontId="8" fillId="3" borderId="17" xfId="114" applyFont="1" applyFill="1" applyBorder="1" applyAlignment="1">
      <alignment horizontal="left" vertical="center" wrapText="1"/>
    </xf>
    <xf numFmtId="0" fontId="6" fillId="0" borderId="20" xfId="114" applyFont="1" applyBorder="1" applyAlignment="1">
      <alignment horizontal="left" vertical="center" wrapText="1"/>
    </xf>
    <xf numFmtId="0" fontId="6" fillId="0" borderId="21" xfId="114" applyFont="1" applyBorder="1" applyAlignment="1">
      <alignment horizontal="left" vertical="center" wrapText="1"/>
    </xf>
    <xf numFmtId="0" fontId="6" fillId="0" borderId="22" xfId="114" applyFont="1" applyBorder="1" applyAlignment="1">
      <alignment horizontal="left" vertical="center" wrapText="1"/>
    </xf>
    <xf numFmtId="0" fontId="8" fillId="3" borderId="42" xfId="114" applyFont="1" applyFill="1" applyBorder="1" applyAlignment="1">
      <alignment horizontal="left" vertical="center" wrapText="1"/>
    </xf>
    <xf numFmtId="0" fontId="8" fillId="3" borderId="44" xfId="114" applyFont="1" applyFill="1" applyBorder="1" applyAlignment="1">
      <alignment horizontal="left" vertical="center" wrapText="1"/>
    </xf>
    <xf numFmtId="0" fontId="8" fillId="3" borderId="43" xfId="114" applyFont="1" applyFill="1" applyBorder="1" applyAlignment="1">
      <alignment horizontal="left" vertical="center" wrapText="1"/>
    </xf>
    <xf numFmtId="0" fontId="6" fillId="0" borderId="14" xfId="114" applyFont="1" applyBorder="1" applyAlignment="1">
      <alignment horizontal="left" vertical="center"/>
    </xf>
    <xf numFmtId="0" fontId="6" fillId="0" borderId="18" xfId="114" applyFont="1" applyBorder="1" applyAlignment="1">
      <alignment horizontal="left" vertical="center"/>
    </xf>
    <xf numFmtId="0" fontId="6" fillId="0" borderId="19" xfId="114" applyFont="1" applyBorder="1" applyAlignment="1">
      <alignment horizontal="left" vertical="center"/>
    </xf>
    <xf numFmtId="166" fontId="6" fillId="0" borderId="14" xfId="114" applyNumberFormat="1" applyFont="1" applyBorder="1" applyAlignment="1">
      <alignment vertical="center" wrapText="1"/>
    </xf>
    <xf numFmtId="166" fontId="6" fillId="0" borderId="18" xfId="114" applyNumberFormat="1" applyFont="1" applyBorder="1" applyAlignment="1">
      <alignment vertical="center" wrapText="1"/>
    </xf>
    <xf numFmtId="166" fontId="6" fillId="0" borderId="19" xfId="114" applyNumberFormat="1" applyFont="1" applyBorder="1" applyAlignment="1">
      <alignment vertical="center" wrapText="1"/>
    </xf>
    <xf numFmtId="0" fontId="6" fillId="0" borderId="42" xfId="114" applyFont="1" applyBorder="1" applyAlignment="1">
      <alignment horizontal="left" vertical="center" wrapText="1"/>
    </xf>
    <xf numFmtId="0" fontId="6" fillId="0" borderId="44" xfId="114" applyFont="1" applyBorder="1" applyAlignment="1">
      <alignment horizontal="left" vertical="center" wrapText="1"/>
    </xf>
    <xf numFmtId="0" fontId="6" fillId="0" borderId="43" xfId="114" applyFont="1" applyBorder="1" applyAlignment="1">
      <alignment horizontal="left" vertical="center" wrapText="1"/>
    </xf>
    <xf numFmtId="0" fontId="6" fillId="0" borderId="29" xfId="114" applyFont="1" applyBorder="1" applyAlignment="1">
      <alignment vertical="center" wrapText="1"/>
    </xf>
    <xf numFmtId="0" fontId="6" fillId="0" borderId="26" xfId="114" applyFont="1" applyBorder="1" applyAlignment="1">
      <alignment vertical="center" wrapText="1"/>
    </xf>
    <xf numFmtId="0" fontId="6" fillId="0" borderId="31" xfId="114" applyFont="1" applyBorder="1" applyAlignment="1">
      <alignment vertical="center" wrapText="1"/>
    </xf>
    <xf numFmtId="0" fontId="6" fillId="0" borderId="10" xfId="114" applyFont="1" applyBorder="1"/>
    <xf numFmtId="0" fontId="6" fillId="0" borderId="29" xfId="114" applyFont="1" applyBorder="1" applyAlignment="1">
      <alignment vertical="center"/>
    </xf>
    <xf numFmtId="0" fontId="6" fillId="0" borderId="26" xfId="114" applyFont="1" applyBorder="1" applyAlignment="1">
      <alignment vertical="center"/>
    </xf>
    <xf numFmtId="0" fontId="6" fillId="0" borderId="31" xfId="114" applyFont="1" applyBorder="1" applyAlignment="1">
      <alignment vertical="center"/>
    </xf>
    <xf numFmtId="0" fontId="6" fillId="0" borderId="42" xfId="114" applyFont="1" applyBorder="1" applyAlignment="1">
      <alignment vertical="center" wrapText="1"/>
    </xf>
    <xf numFmtId="0" fontId="6" fillId="0" borderId="44" xfId="114" applyFont="1" applyBorder="1" applyAlignment="1">
      <alignment vertical="center" wrapText="1"/>
    </xf>
    <xf numFmtId="0" fontId="6" fillId="0" borderId="43" xfId="114" applyFont="1" applyBorder="1" applyAlignment="1">
      <alignment vertical="center" wrapText="1"/>
    </xf>
    <xf numFmtId="0" fontId="6" fillId="0" borderId="27" xfId="114" applyFont="1" applyBorder="1" applyAlignment="1">
      <alignment horizontal="left" vertical="center" wrapText="1"/>
    </xf>
    <xf numFmtId="0" fontId="6" fillId="0" borderId="36" xfId="114" applyFont="1" applyBorder="1" applyAlignment="1">
      <alignment horizontal="left" vertical="center" wrapText="1"/>
    </xf>
    <xf numFmtId="0" fontId="6" fillId="0" borderId="28" xfId="114" applyFont="1" applyBorder="1" applyAlignment="1">
      <alignment horizontal="left" vertical="center" wrapText="1"/>
    </xf>
    <xf numFmtId="0" fontId="6" fillId="0" borderId="5" xfId="114" applyFont="1" applyBorder="1" applyAlignment="1">
      <alignment vertical="center" wrapText="1"/>
    </xf>
    <xf numFmtId="0" fontId="6" fillId="0" borderId="11" xfId="114" applyFont="1" applyBorder="1" applyAlignment="1">
      <alignment vertical="center" wrapText="1"/>
    </xf>
    <xf numFmtId="0" fontId="6" fillId="0" borderId="25" xfId="114" applyFont="1" applyBorder="1" applyAlignment="1">
      <alignment vertical="center" wrapText="1"/>
    </xf>
    <xf numFmtId="0" fontId="5" fillId="0" borderId="11" xfId="114" applyBorder="1" applyAlignment="1">
      <alignment horizontal="center"/>
    </xf>
    <xf numFmtId="0" fontId="8" fillId="3" borderId="13" xfId="114" applyFont="1" applyFill="1" applyBorder="1" applyAlignment="1">
      <alignment horizontal="left" vertical="center" wrapText="1"/>
    </xf>
    <xf numFmtId="0" fontId="8" fillId="3" borderId="1" xfId="114" applyFont="1" applyFill="1" applyBorder="1" applyAlignment="1">
      <alignment horizontal="left" vertical="center" wrapText="1"/>
    </xf>
    <xf numFmtId="0" fontId="6" fillId="0" borderId="27" xfId="114" applyFont="1" applyBorder="1" applyAlignment="1">
      <alignment vertical="center" wrapText="1"/>
    </xf>
    <xf numFmtId="0" fontId="6" fillId="0" borderId="36" xfId="114" applyFont="1" applyBorder="1" applyAlignment="1">
      <alignment vertical="center" wrapText="1"/>
    </xf>
    <xf numFmtId="0" fontId="6" fillId="0" borderId="28" xfId="114" applyFont="1" applyBorder="1" applyAlignment="1">
      <alignment vertical="center" wrapText="1"/>
    </xf>
    <xf numFmtId="0" fontId="6" fillId="7" borderId="8" xfId="114" applyFont="1" applyFill="1" applyBorder="1" applyAlignment="1">
      <alignment horizontal="left" vertical="center" wrapText="1"/>
    </xf>
    <xf numFmtId="0" fontId="6" fillId="7" borderId="10" xfId="114" applyFont="1" applyFill="1" applyBorder="1" applyAlignment="1">
      <alignment horizontal="left" vertical="center" wrapText="1"/>
    </xf>
    <xf numFmtId="0" fontId="6" fillId="2" borderId="71" xfId="114" applyFont="1" applyFill="1" applyBorder="1" applyAlignment="1">
      <alignment horizontal="left"/>
    </xf>
    <xf numFmtId="0" fontId="6" fillId="2" borderId="67" xfId="114" applyFont="1" applyFill="1" applyBorder="1" applyAlignment="1">
      <alignment horizontal="left"/>
    </xf>
    <xf numFmtId="0" fontId="6" fillId="9" borderId="14" xfId="114" applyFont="1" applyFill="1" applyBorder="1" applyAlignment="1" applyProtection="1">
      <alignment horizontal="left"/>
      <protection locked="0"/>
    </xf>
    <xf numFmtId="0" fontId="6" fillId="9" borderId="19" xfId="114" applyFont="1" applyFill="1" applyBorder="1" applyAlignment="1" applyProtection="1">
      <alignment horizontal="left"/>
      <protection locked="0"/>
    </xf>
    <xf numFmtId="0" fontId="6" fillId="0" borderId="11" xfId="114" applyFont="1" applyBorder="1"/>
    <xf numFmtId="0" fontId="8" fillId="0" borderId="14" xfId="114" applyFont="1" applyBorder="1" applyAlignment="1">
      <alignment horizontal="left"/>
    </xf>
    <xf numFmtId="0" fontId="8" fillId="0" borderId="19" xfId="114" applyFont="1" applyBorder="1" applyAlignment="1">
      <alignment horizontal="left"/>
    </xf>
    <xf numFmtId="169" fontId="8" fillId="5" borderId="8" xfId="114" applyNumberFormat="1" applyFont="1" applyFill="1" applyBorder="1" applyAlignment="1">
      <alignment horizontal="center" vertical="center" wrapText="1"/>
    </xf>
    <xf numFmtId="169" fontId="8" fillId="5" borderId="10" xfId="114" applyNumberFormat="1" applyFont="1" applyFill="1" applyBorder="1" applyAlignment="1">
      <alignment horizontal="center" vertical="center" wrapText="1"/>
    </xf>
    <xf numFmtId="169" fontId="8" fillId="5" borderId="9" xfId="114" applyNumberFormat="1" applyFont="1" applyFill="1" applyBorder="1" applyAlignment="1">
      <alignment horizontal="center" vertical="center" wrapText="1"/>
    </xf>
    <xf numFmtId="169" fontId="8" fillId="5" borderId="2" xfId="114" applyNumberFormat="1" applyFont="1" applyFill="1" applyBorder="1" applyAlignment="1">
      <alignment horizontal="center" vertical="top"/>
    </xf>
    <xf numFmtId="169" fontId="8" fillId="5" borderId="0" xfId="114" applyNumberFormat="1" applyFont="1" applyFill="1" applyAlignment="1">
      <alignment horizontal="center" vertical="top"/>
    </xf>
    <xf numFmtId="169" fontId="8" fillId="5" borderId="3" xfId="114" applyNumberFormat="1" applyFont="1" applyFill="1" applyBorder="1" applyAlignment="1">
      <alignment horizontal="center" vertical="top"/>
    </xf>
    <xf numFmtId="0" fontId="6" fillId="5" borderId="45" xfId="114" applyFont="1" applyFill="1" applyBorder="1" applyAlignment="1">
      <alignment horizontal="center" vertical="center" wrapText="1"/>
    </xf>
    <xf numFmtId="0" fontId="6" fillId="5" borderId="38" xfId="114" applyFont="1" applyFill="1" applyBorder="1" applyAlignment="1">
      <alignment horizontal="center" vertical="center" wrapText="1"/>
    </xf>
    <xf numFmtId="0" fontId="6" fillId="0" borderId="14" xfId="114" applyFont="1" applyBorder="1" applyAlignment="1">
      <alignment horizontal="left"/>
    </xf>
    <xf numFmtId="0" fontId="6" fillId="0" borderId="19" xfId="114" applyFont="1" applyBorder="1" applyAlignment="1">
      <alignment horizontal="left"/>
    </xf>
    <xf numFmtId="0" fontId="6" fillId="0" borderId="20" xfId="114" applyFont="1" applyBorder="1"/>
    <xf numFmtId="0" fontId="6" fillId="0" borderId="21" xfId="114" applyFont="1" applyBorder="1"/>
    <xf numFmtId="0" fontId="6" fillId="0" borderId="41" xfId="114" applyFont="1" applyBorder="1"/>
    <xf numFmtId="0" fontId="0" fillId="9" borderId="57" xfId="0" applyFill="1" applyBorder="1" applyAlignment="1" applyProtection="1">
      <alignment horizontal="center" vertical="center"/>
      <protection locked="0"/>
    </xf>
    <xf numFmtId="0" fontId="0" fillId="9" borderId="44" xfId="0" applyFill="1" applyBorder="1" applyAlignment="1" applyProtection="1">
      <alignment horizontal="center" vertical="center"/>
      <protection locked="0"/>
    </xf>
    <xf numFmtId="0" fontId="0" fillId="9" borderId="59" xfId="0" applyFill="1" applyBorder="1" applyAlignment="1" applyProtection="1">
      <alignment horizontal="center" vertical="center"/>
      <protection locked="0"/>
    </xf>
    <xf numFmtId="0" fontId="0" fillId="9" borderId="54" xfId="0" applyFill="1" applyBorder="1" applyAlignment="1" applyProtection="1">
      <alignment horizontal="center" vertical="center"/>
      <protection locked="0"/>
    </xf>
    <xf numFmtId="0" fontId="0" fillId="9" borderId="0" xfId="0" applyFill="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0" fillId="9" borderId="56" xfId="0" applyFill="1" applyBorder="1" applyAlignment="1" applyProtection="1">
      <alignment horizontal="center" vertical="center"/>
      <protection locked="0"/>
    </xf>
    <xf numFmtId="0" fontId="0" fillId="9" borderId="26" xfId="0" applyFill="1" applyBorder="1" applyAlignment="1" applyProtection="1">
      <alignment horizontal="center" vertical="center"/>
      <protection locked="0"/>
    </xf>
    <xf numFmtId="0" fontId="0" fillId="9" borderId="30" xfId="0" applyFill="1" applyBorder="1" applyAlignment="1" applyProtection="1">
      <alignment horizontal="center" vertical="center"/>
      <protection locked="0"/>
    </xf>
    <xf numFmtId="0" fontId="8" fillId="2" borderId="34" xfId="114" applyFont="1" applyFill="1" applyBorder="1" applyAlignment="1">
      <alignment horizontal="left"/>
    </xf>
    <xf numFmtId="0" fontId="8" fillId="2" borderId="18" xfId="114" applyFont="1" applyFill="1" applyBorder="1" applyAlignment="1">
      <alignment horizontal="left"/>
    </xf>
    <xf numFmtId="0" fontId="8" fillId="2" borderId="47" xfId="114" applyFont="1" applyFill="1" applyBorder="1" applyAlignment="1">
      <alignment horizontal="left"/>
    </xf>
    <xf numFmtId="0" fontId="8" fillId="2" borderId="14" xfId="114" applyFont="1" applyFill="1" applyBorder="1" applyAlignment="1">
      <alignment horizontal="left"/>
    </xf>
    <xf numFmtId="0" fontId="8" fillId="2" borderId="19" xfId="114" applyFont="1" applyFill="1" applyBorder="1" applyAlignment="1">
      <alignment horizontal="left"/>
    </xf>
    <xf numFmtId="0" fontId="6" fillId="9" borderId="29" xfId="114" applyFont="1" applyFill="1" applyBorder="1" applyAlignment="1" applyProtection="1">
      <alignment horizontal="center" wrapText="1"/>
      <protection locked="0"/>
    </xf>
    <xf numFmtId="0" fontId="6" fillId="9" borderId="26" xfId="114" applyFont="1" applyFill="1" applyBorder="1" applyAlignment="1" applyProtection="1">
      <alignment horizontal="center"/>
      <protection locked="0"/>
    </xf>
    <xf numFmtId="0" fontId="6" fillId="9" borderId="31" xfId="114" applyFont="1" applyFill="1" applyBorder="1" applyAlignment="1" applyProtection="1">
      <alignment horizontal="center"/>
      <protection locked="0"/>
    </xf>
    <xf numFmtId="170" fontId="6" fillId="9" borderId="46" xfId="114" applyNumberFormat="1" applyFont="1" applyFill="1" applyBorder="1" applyAlignment="1" applyProtection="1">
      <alignment horizontal="center" vertical="center" wrapText="1"/>
      <protection locked="0"/>
    </xf>
    <xf numFmtId="170" fontId="6" fillId="9" borderId="15" xfId="114" applyNumberFormat="1" applyFont="1" applyFill="1" applyBorder="1" applyAlignment="1" applyProtection="1">
      <alignment horizontal="center" vertical="center" wrapText="1"/>
      <protection locked="0"/>
    </xf>
    <xf numFmtId="0" fontId="8" fillId="2" borderId="34" xfId="114" applyFont="1" applyFill="1" applyBorder="1"/>
    <xf numFmtId="0" fontId="8" fillId="2" borderId="19" xfId="114" applyFont="1" applyFill="1" applyBorder="1"/>
    <xf numFmtId="0" fontId="6" fillId="9" borderId="2" xfId="114" applyFont="1" applyFill="1" applyBorder="1" applyAlignment="1" applyProtection="1">
      <alignment horizontal="center"/>
      <protection locked="0"/>
    </xf>
    <xf numFmtId="0" fontId="6" fillId="9" borderId="0" xfId="114" applyFont="1" applyFill="1" applyAlignment="1" applyProtection="1">
      <alignment horizontal="center"/>
      <protection locked="0"/>
    </xf>
    <xf numFmtId="0" fontId="6" fillId="9" borderId="58" xfId="114" applyFont="1" applyFill="1" applyBorder="1" applyAlignment="1" applyProtection="1">
      <alignment horizontal="center"/>
      <protection locked="0"/>
    </xf>
    <xf numFmtId="0" fontId="6" fillId="9" borderId="42" xfId="114" applyFont="1" applyFill="1" applyBorder="1" applyAlignment="1" applyProtection="1">
      <alignment horizontal="center" wrapText="1"/>
      <protection locked="0"/>
    </xf>
    <xf numFmtId="0" fontId="6" fillId="9" borderId="44" xfId="114" applyFont="1" applyFill="1" applyBorder="1" applyAlignment="1" applyProtection="1">
      <alignment horizontal="center" wrapText="1"/>
      <protection locked="0"/>
    </xf>
    <xf numFmtId="0" fontId="6" fillId="9" borderId="43" xfId="114" applyFont="1" applyFill="1" applyBorder="1" applyAlignment="1" applyProtection="1">
      <alignment horizontal="center" wrapText="1"/>
      <protection locked="0"/>
    </xf>
    <xf numFmtId="0" fontId="6" fillId="9" borderId="57" xfId="114" applyFont="1" applyFill="1" applyBorder="1" applyAlignment="1" applyProtection="1">
      <alignment horizontal="center" vertical="center" wrapText="1"/>
      <protection locked="0"/>
    </xf>
    <xf numFmtId="0" fontId="6" fillId="9" borderId="43" xfId="114" applyFont="1" applyFill="1" applyBorder="1" applyAlignment="1" applyProtection="1">
      <alignment horizontal="center" vertical="center" wrapText="1"/>
      <protection locked="0"/>
    </xf>
    <xf numFmtId="0" fontId="6" fillId="9" borderId="56" xfId="114" applyFont="1" applyFill="1" applyBorder="1" applyAlignment="1" applyProtection="1">
      <alignment horizontal="center" vertical="center" wrapText="1"/>
      <protection locked="0"/>
    </xf>
    <xf numFmtId="0" fontId="6" fillId="9" borderId="31" xfId="114" applyFont="1" applyFill="1" applyBorder="1" applyAlignment="1" applyProtection="1">
      <alignment horizontal="center" vertical="center" wrapText="1"/>
      <protection locked="0"/>
    </xf>
    <xf numFmtId="0" fontId="8" fillId="2" borderId="5" xfId="114" applyFont="1" applyFill="1" applyBorder="1" applyAlignment="1">
      <alignment horizontal="left"/>
    </xf>
    <xf numFmtId="0" fontId="8" fillId="2" borderId="25" xfId="114" applyFont="1" applyFill="1" applyBorder="1" applyAlignment="1">
      <alignment horizontal="left"/>
    </xf>
    <xf numFmtId="0" fontId="8" fillId="2" borderId="14" xfId="114" applyFont="1" applyFill="1" applyBorder="1"/>
    <xf numFmtId="0" fontId="6" fillId="9" borderId="44" xfId="114" applyFont="1" applyFill="1" applyBorder="1" applyAlignment="1" applyProtection="1">
      <alignment horizontal="center" vertical="center" wrapText="1"/>
      <protection locked="0"/>
    </xf>
    <xf numFmtId="0" fontId="6" fillId="9" borderId="26" xfId="114" applyFont="1" applyFill="1" applyBorder="1" applyAlignment="1" applyProtection="1">
      <alignment horizontal="center" vertical="center" wrapText="1"/>
      <protection locked="0"/>
    </xf>
    <xf numFmtId="0" fontId="6" fillId="9" borderId="42" xfId="114" applyFont="1" applyFill="1" applyBorder="1" applyAlignment="1" applyProtection="1">
      <alignment horizontal="center" vertical="center" wrapText="1"/>
      <protection locked="0"/>
    </xf>
    <xf numFmtId="0" fontId="6" fillId="9" borderId="29" xfId="114" applyFont="1" applyFill="1" applyBorder="1" applyAlignment="1" applyProtection="1">
      <alignment horizontal="center" vertical="center" wrapText="1"/>
      <protection locked="0"/>
    </xf>
    <xf numFmtId="0" fontId="8" fillId="2" borderId="16" xfId="114" applyFont="1" applyFill="1" applyBorder="1" applyAlignment="1">
      <alignment horizontal="left"/>
    </xf>
    <xf numFmtId="0" fontId="8" fillId="2" borderId="35" xfId="114" applyFont="1" applyFill="1" applyBorder="1" applyAlignment="1">
      <alignment horizontal="left"/>
    </xf>
    <xf numFmtId="0" fontId="8" fillId="5" borderId="5" xfId="114" applyFont="1" applyFill="1" applyBorder="1" applyAlignment="1">
      <alignment horizontal="center" vertical="center"/>
    </xf>
    <xf numFmtId="0" fontId="8" fillId="5" borderId="11" xfId="114" applyFont="1" applyFill="1" applyBorder="1" applyAlignment="1">
      <alignment horizontal="center" vertical="center"/>
    </xf>
    <xf numFmtId="0" fontId="8" fillId="5" borderId="6" xfId="114" applyFont="1" applyFill="1" applyBorder="1" applyAlignment="1">
      <alignment horizontal="center" vertical="center"/>
    </xf>
    <xf numFmtId="0" fontId="6" fillId="9" borderId="20" xfId="114" applyFont="1" applyFill="1" applyBorder="1" applyAlignment="1" applyProtection="1">
      <alignment horizontal="left"/>
      <protection locked="0"/>
    </xf>
    <xf numFmtId="0" fontId="6" fillId="9" borderId="22" xfId="114" applyFont="1" applyFill="1" applyBorder="1" applyAlignment="1" applyProtection="1">
      <alignment horizontal="left"/>
      <protection locked="0"/>
    </xf>
    <xf numFmtId="0" fontId="11" fillId="5" borderId="8" xfId="114" applyFont="1" applyFill="1" applyBorder="1" applyAlignment="1">
      <alignment horizontal="center"/>
    </xf>
    <xf numFmtId="0" fontId="11" fillId="5" borderId="10" xfId="114" applyFont="1" applyFill="1" applyBorder="1" applyAlignment="1">
      <alignment horizontal="center"/>
    </xf>
    <xf numFmtId="0" fontId="11" fillId="5" borderId="9" xfId="114" applyFont="1" applyFill="1" applyBorder="1" applyAlignment="1">
      <alignment horizontal="center"/>
    </xf>
    <xf numFmtId="0" fontId="10" fillId="0" borderId="35" xfId="114" applyFont="1" applyBorder="1" applyAlignment="1">
      <alignment horizontal="right"/>
    </xf>
    <xf numFmtId="0" fontId="6" fillId="0" borderId="27" xfId="114" applyFont="1" applyBorder="1" applyAlignment="1">
      <alignment horizontal="left"/>
    </xf>
    <xf numFmtId="0" fontId="6" fillId="0" borderId="28" xfId="114" applyFont="1" applyBorder="1" applyAlignment="1">
      <alignment horizontal="left"/>
    </xf>
    <xf numFmtId="0" fontId="6" fillId="5" borderId="46" xfId="114" applyFont="1" applyFill="1" applyBorder="1" applyAlignment="1">
      <alignment horizontal="center" vertical="center" wrapText="1"/>
    </xf>
    <xf numFmtId="0" fontId="6" fillId="5" borderId="39" xfId="114" applyFont="1" applyFill="1" applyBorder="1" applyAlignment="1">
      <alignment horizontal="center" vertical="center" wrapText="1"/>
    </xf>
    <xf numFmtId="0" fontId="6" fillId="5" borderId="42" xfId="114" applyFont="1" applyFill="1" applyBorder="1" applyAlignment="1">
      <alignment horizontal="center" vertical="center" wrapText="1"/>
    </xf>
    <xf numFmtId="0" fontId="6" fillId="5" borderId="43" xfId="114" applyFont="1" applyFill="1" applyBorder="1" applyAlignment="1">
      <alignment horizontal="center" vertical="center" wrapText="1"/>
    </xf>
    <xf numFmtId="0" fontId="6" fillId="5" borderId="2" xfId="114" applyFont="1" applyFill="1" applyBorder="1" applyAlignment="1">
      <alignment horizontal="center" vertical="center" wrapText="1"/>
    </xf>
    <xf numFmtId="0" fontId="6" fillId="5" borderId="58" xfId="114" applyFont="1" applyFill="1" applyBorder="1" applyAlignment="1">
      <alignment horizontal="center" vertical="center" wrapText="1"/>
    </xf>
    <xf numFmtId="0" fontId="6" fillId="5" borderId="29" xfId="114" applyFont="1" applyFill="1" applyBorder="1" applyAlignment="1">
      <alignment horizontal="center" vertical="center" wrapText="1"/>
    </xf>
    <xf numFmtId="0" fontId="6" fillId="5" borderId="31" xfId="114" applyFont="1" applyFill="1" applyBorder="1" applyAlignment="1">
      <alignment horizontal="center" vertical="center" wrapText="1"/>
    </xf>
    <xf numFmtId="0" fontId="6" fillId="2" borderId="14" xfId="114" applyFont="1" applyFill="1" applyBorder="1" applyAlignment="1">
      <alignment horizontal="center"/>
    </xf>
    <xf numFmtId="0" fontId="6" fillId="2" borderId="19" xfId="114" applyFont="1" applyFill="1" applyBorder="1" applyAlignment="1">
      <alignment horizontal="center"/>
    </xf>
    <xf numFmtId="0" fontId="6" fillId="7" borderId="0" xfId="114" applyFont="1" applyFill="1" applyAlignment="1">
      <alignment vertical="center"/>
    </xf>
    <xf numFmtId="0" fontId="6" fillId="0" borderId="0" xfId="114" applyFont="1"/>
    <xf numFmtId="0" fontId="6" fillId="7" borderId="2" xfId="114" applyFont="1" applyFill="1" applyBorder="1" applyAlignment="1">
      <alignment horizontal="left" vertical="center" wrapText="1"/>
    </xf>
    <xf numFmtId="0" fontId="6" fillId="7" borderId="0" xfId="114" applyFont="1" applyFill="1" applyAlignment="1">
      <alignment horizontal="left" vertical="center" wrapText="1"/>
    </xf>
    <xf numFmtId="0" fontId="6" fillId="7" borderId="3" xfId="114" applyFont="1" applyFill="1" applyBorder="1" applyAlignment="1">
      <alignment horizontal="left" vertical="center" wrapText="1"/>
    </xf>
    <xf numFmtId="0" fontId="6" fillId="9" borderId="14" xfId="114" applyFont="1" applyFill="1" applyBorder="1" applyAlignment="1" applyProtection="1">
      <alignment horizontal="center"/>
      <protection locked="0"/>
    </xf>
    <xf numFmtId="0" fontId="6" fillId="9" borderId="18" xfId="114" applyFont="1" applyFill="1" applyBorder="1" applyAlignment="1" applyProtection="1">
      <alignment horizontal="center"/>
      <protection locked="0"/>
    </xf>
    <xf numFmtId="0" fontId="6" fillId="9" borderId="19" xfId="114" applyFont="1" applyFill="1" applyBorder="1" applyAlignment="1" applyProtection="1">
      <alignment horizontal="center"/>
      <protection locked="0"/>
    </xf>
    <xf numFmtId="0" fontId="8" fillId="2" borderId="52" xfId="114" applyFont="1" applyFill="1" applyBorder="1" applyAlignment="1">
      <alignment horizontal="left"/>
    </xf>
    <xf numFmtId="0" fontId="8" fillId="2" borderId="36" xfId="114" applyFont="1" applyFill="1" applyBorder="1" applyAlignment="1">
      <alignment horizontal="left"/>
    </xf>
    <xf numFmtId="0" fontId="8" fillId="2" borderId="48" xfId="114" applyFont="1" applyFill="1" applyBorder="1" applyAlignment="1">
      <alignment horizontal="left"/>
    </xf>
    <xf numFmtId="0" fontId="8" fillId="2" borderId="11" xfId="114" applyFont="1" applyFill="1" applyBorder="1" applyAlignment="1">
      <alignment horizontal="left"/>
    </xf>
    <xf numFmtId="0" fontId="6" fillId="9" borderId="34" xfId="114" applyFont="1" applyFill="1" applyBorder="1" applyAlignment="1" applyProtection="1">
      <alignment horizontal="center"/>
      <protection locked="0"/>
    </xf>
    <xf numFmtId="0" fontId="6" fillId="9" borderId="47" xfId="114" applyFont="1" applyFill="1" applyBorder="1" applyAlignment="1" applyProtection="1">
      <alignment horizontal="center"/>
      <protection locked="0"/>
    </xf>
    <xf numFmtId="0" fontId="6" fillId="0" borderId="8" xfId="114" applyFont="1" applyBorder="1" applyAlignment="1">
      <alignment horizontal="left" vertical="center" wrapText="1"/>
    </xf>
    <xf numFmtId="0" fontId="6" fillId="0" borderId="10" xfId="114" applyFont="1" applyBorder="1" applyAlignment="1">
      <alignment horizontal="left" vertical="center" wrapText="1"/>
    </xf>
    <xf numFmtId="0" fontId="6" fillId="0" borderId="9" xfId="114" applyFont="1" applyBorder="1" applyAlignment="1">
      <alignment horizontal="left" vertical="center" wrapText="1"/>
    </xf>
    <xf numFmtId="0" fontId="6" fillId="0" borderId="29" xfId="114" applyFont="1" applyBorder="1" applyAlignment="1">
      <alignment horizontal="left" vertical="center" wrapText="1"/>
    </xf>
    <xf numFmtId="0" fontId="6" fillId="0" borderId="26" xfId="114" applyFont="1" applyBorder="1" applyAlignment="1">
      <alignment horizontal="left" vertical="center" wrapText="1"/>
    </xf>
    <xf numFmtId="0" fontId="6" fillId="0" borderId="30" xfId="114" applyFont="1" applyBorder="1" applyAlignment="1">
      <alignment horizontal="left" vertical="center" wrapText="1"/>
    </xf>
    <xf numFmtId="0" fontId="6" fillId="7" borderId="5" xfId="114" applyFont="1" applyFill="1" applyBorder="1" applyAlignment="1">
      <alignment horizontal="left" vertical="center" wrapText="1"/>
    </xf>
    <xf numFmtId="0" fontId="6" fillId="7" borderId="11" xfId="114" applyFont="1" applyFill="1" applyBorder="1" applyAlignment="1">
      <alignment horizontal="left" vertical="center" wrapText="1"/>
    </xf>
    <xf numFmtId="164" fontId="6" fillId="9" borderId="34" xfId="116" applyNumberFormat="1" applyFont="1" applyFill="1" applyBorder="1" applyAlignment="1" applyProtection="1">
      <alignment horizontal="right"/>
      <protection locked="0"/>
    </xf>
    <xf numFmtId="164" fontId="6" fillId="9" borderId="19" xfId="116" applyNumberFormat="1" applyFont="1" applyFill="1" applyBorder="1" applyAlignment="1" applyProtection="1">
      <alignment horizontal="right"/>
      <protection locked="0"/>
    </xf>
    <xf numFmtId="0" fontId="6" fillId="0" borderId="33" xfId="120" applyFont="1" applyBorder="1" applyAlignment="1">
      <alignment horizontal="center" vertical="center" wrapText="1"/>
    </xf>
    <xf numFmtId="0" fontId="6" fillId="0" borderId="11" xfId="120" applyFont="1" applyBorder="1" applyAlignment="1">
      <alignment horizontal="center" vertical="center" wrapText="1"/>
    </xf>
    <xf numFmtId="0" fontId="6" fillId="0" borderId="6" xfId="120" applyFont="1" applyBorder="1" applyAlignment="1">
      <alignment horizontal="center" vertical="center" wrapText="1"/>
    </xf>
    <xf numFmtId="0" fontId="8" fillId="2" borderId="61" xfId="114" applyFont="1" applyFill="1" applyBorder="1" applyAlignment="1">
      <alignment horizontal="left"/>
    </xf>
    <xf numFmtId="0" fontId="8" fillId="2" borderId="78" xfId="114" applyFont="1" applyFill="1" applyBorder="1" applyAlignment="1">
      <alignment horizontal="center"/>
    </xf>
    <xf numFmtId="0" fontId="8" fillId="2" borderId="35" xfId="114" applyFont="1" applyFill="1" applyBorder="1" applyAlignment="1">
      <alignment horizontal="center"/>
    </xf>
    <xf numFmtId="0" fontId="8" fillId="2" borderId="17" xfId="114" applyFont="1" applyFill="1" applyBorder="1" applyAlignment="1">
      <alignment horizontal="center"/>
    </xf>
    <xf numFmtId="0" fontId="8" fillId="3" borderId="45" xfId="120" applyFont="1" applyFill="1" applyBorder="1" applyAlignment="1">
      <alignment horizontal="center" vertical="center" wrapText="1"/>
    </xf>
    <xf numFmtId="0" fontId="8" fillId="3" borderId="38" xfId="120" applyFont="1" applyFill="1" applyBorder="1" applyAlignment="1">
      <alignment horizontal="center" vertical="center" wrapText="1"/>
    </xf>
    <xf numFmtId="0" fontId="8" fillId="3" borderId="32" xfId="120" applyFont="1" applyFill="1" applyBorder="1" applyAlignment="1">
      <alignment horizontal="center" vertical="center" wrapText="1"/>
    </xf>
    <xf numFmtId="164" fontId="6" fillId="9" borderId="77" xfId="116" applyNumberFormat="1" applyFont="1" applyFill="1" applyBorder="1" applyAlignment="1" applyProtection="1">
      <alignment horizontal="right"/>
      <protection locked="0"/>
    </xf>
    <xf numFmtId="164" fontId="6" fillId="9" borderId="67" xfId="116" applyNumberFormat="1" applyFont="1" applyFill="1" applyBorder="1" applyAlignment="1" applyProtection="1">
      <alignment horizontal="right"/>
      <protection locked="0"/>
    </xf>
    <xf numFmtId="164" fontId="6" fillId="9" borderId="1" xfId="114" applyNumberFormat="1" applyFont="1" applyFill="1" applyBorder="1" applyAlignment="1" applyProtection="1">
      <alignment horizontal="right"/>
      <protection locked="0"/>
    </xf>
    <xf numFmtId="0" fontId="10" fillId="5" borderId="8" xfId="114" applyFont="1" applyFill="1" applyBorder="1" applyAlignment="1">
      <alignment horizontal="center" vertical="center" wrapText="1"/>
    </xf>
    <xf numFmtId="0" fontId="10" fillId="5" borderId="10" xfId="114" applyFont="1" applyFill="1" applyBorder="1" applyAlignment="1">
      <alignment horizontal="center" vertical="center" wrapText="1"/>
    </xf>
    <xf numFmtId="0" fontId="10" fillId="5" borderId="9" xfId="114" applyFont="1" applyFill="1" applyBorder="1" applyAlignment="1">
      <alignment horizontal="center" vertical="center" wrapText="1"/>
    </xf>
    <xf numFmtId="0" fontId="10" fillId="5" borderId="5" xfId="114" applyFont="1" applyFill="1" applyBorder="1" applyAlignment="1">
      <alignment horizontal="center" vertical="center" wrapText="1"/>
    </xf>
    <xf numFmtId="0" fontId="10" fillId="5" borderId="11" xfId="114" applyFont="1" applyFill="1" applyBorder="1" applyAlignment="1">
      <alignment horizontal="center" vertical="center" wrapText="1"/>
    </xf>
    <xf numFmtId="0" fontId="10" fillId="5" borderId="6" xfId="114" applyFont="1" applyFill="1" applyBorder="1" applyAlignment="1">
      <alignment horizontal="center" vertical="center" wrapText="1"/>
    </xf>
    <xf numFmtId="0" fontId="8" fillId="3" borderId="62" xfId="120" applyFont="1" applyFill="1" applyBorder="1" applyAlignment="1">
      <alignment horizontal="center" vertical="center"/>
    </xf>
    <xf numFmtId="0" fontId="8" fillId="3" borderId="63" xfId="120" applyFont="1" applyFill="1" applyBorder="1" applyAlignment="1">
      <alignment horizontal="center" vertical="center"/>
    </xf>
    <xf numFmtId="164" fontId="6" fillId="9" borderId="1" xfId="116" applyNumberFormat="1" applyFont="1" applyFill="1" applyBorder="1" applyAlignment="1" applyProtection="1">
      <alignment horizontal="right"/>
      <protection locked="0"/>
    </xf>
    <xf numFmtId="0" fontId="8" fillId="5" borderId="40" xfId="114" applyFont="1" applyFill="1" applyBorder="1" applyAlignment="1">
      <alignment horizontal="center" wrapText="1"/>
    </xf>
    <xf numFmtId="0" fontId="6" fillId="0" borderId="8" xfId="120" applyFont="1" applyBorder="1" applyAlignment="1">
      <alignment horizontal="left" vertical="center" wrapText="1"/>
    </xf>
    <xf numFmtId="0" fontId="6" fillId="0" borderId="10" xfId="120" applyFont="1" applyBorder="1" applyAlignment="1">
      <alignment horizontal="left" vertical="center" wrapText="1"/>
    </xf>
    <xf numFmtId="0" fontId="6" fillId="0" borderId="9" xfId="120" applyFont="1" applyBorder="1" applyAlignment="1">
      <alignment horizontal="left" vertical="center" wrapText="1"/>
    </xf>
    <xf numFmtId="0" fontId="6" fillId="0" borderId="2" xfId="120" applyFont="1" applyBorder="1" applyAlignment="1">
      <alignment horizontal="left" vertical="center" wrapText="1"/>
    </xf>
    <xf numFmtId="0" fontId="6" fillId="0" borderId="0" xfId="120" applyFont="1" applyAlignment="1">
      <alignment horizontal="left" vertical="center" wrapText="1"/>
    </xf>
    <xf numFmtId="0" fontId="6" fillId="0" borderId="3" xfId="120" applyFont="1" applyBorder="1" applyAlignment="1">
      <alignment horizontal="left" vertical="center" wrapText="1"/>
    </xf>
    <xf numFmtId="0" fontId="6" fillId="0" borderId="29" xfId="120" applyFont="1" applyBorder="1" applyAlignment="1">
      <alignment horizontal="left" vertical="center" wrapText="1"/>
    </xf>
    <xf numFmtId="0" fontId="6" fillId="0" borderId="26" xfId="120" applyFont="1" applyBorder="1" applyAlignment="1">
      <alignment horizontal="left" vertical="center" wrapText="1"/>
    </xf>
    <xf numFmtId="0" fontId="6" fillId="0" borderId="30" xfId="120" applyFont="1" applyBorder="1" applyAlignment="1">
      <alignment horizontal="left" vertical="center" wrapText="1"/>
    </xf>
    <xf numFmtId="0" fontId="6" fillId="0" borderId="35" xfId="114" applyFont="1" applyBorder="1" applyAlignment="1">
      <alignment horizontal="left"/>
    </xf>
    <xf numFmtId="0" fontId="6" fillId="0" borderId="17" xfId="114" applyFont="1" applyBorder="1" applyAlignment="1">
      <alignment horizontal="left"/>
    </xf>
    <xf numFmtId="0" fontId="8" fillId="5" borderId="16" xfId="114" applyFont="1" applyFill="1" applyBorder="1" applyAlignment="1">
      <alignment horizontal="center"/>
    </xf>
    <xf numFmtId="0" fontId="8" fillId="5" borderId="35" xfId="114" applyFont="1" applyFill="1" applyBorder="1" applyAlignment="1">
      <alignment horizontal="center"/>
    </xf>
    <xf numFmtId="0" fontId="8" fillId="5" borderId="17" xfId="114" applyFont="1" applyFill="1" applyBorder="1" applyAlignment="1">
      <alignment horizontal="center"/>
    </xf>
    <xf numFmtId="0" fontId="6" fillId="0" borderId="54" xfId="120" applyFont="1" applyBorder="1" applyAlignment="1">
      <alignment horizontal="center" vertical="center" wrapText="1"/>
    </xf>
    <xf numFmtId="0" fontId="6" fillId="0" borderId="0" xfId="120" applyFont="1" applyAlignment="1">
      <alignment horizontal="center" vertical="center" wrapText="1"/>
    </xf>
    <xf numFmtId="0" fontId="6" fillId="0" borderId="3" xfId="120" applyFont="1" applyBorder="1" applyAlignment="1">
      <alignment horizontal="center" vertical="center" wrapText="1"/>
    </xf>
    <xf numFmtId="0" fontId="6" fillId="0" borderId="35" xfId="114" applyFont="1" applyBorder="1" applyAlignment="1">
      <alignment horizontal="center"/>
    </xf>
    <xf numFmtId="0" fontId="8" fillId="8" borderId="33" xfId="114" applyFont="1" applyFill="1" applyBorder="1" applyAlignment="1">
      <alignment horizontal="center"/>
    </xf>
    <xf numFmtId="0" fontId="8" fillId="8" borderId="6" xfId="114" applyFont="1" applyFill="1" applyBorder="1" applyAlignment="1">
      <alignment horizontal="center"/>
    </xf>
    <xf numFmtId="37" fontId="8" fillId="8" borderId="33" xfId="65" applyNumberFormat="1" applyFont="1" applyFill="1" applyBorder="1" applyAlignment="1" applyProtection="1">
      <alignment horizontal="center"/>
    </xf>
    <xf numFmtId="37" fontId="8" fillId="8" borderId="25" xfId="65" applyNumberFormat="1" applyFont="1" applyFill="1" applyBorder="1" applyAlignment="1" applyProtection="1">
      <alignment horizontal="center"/>
    </xf>
    <xf numFmtId="37" fontId="6" fillId="8" borderId="33" xfId="65" applyNumberFormat="1" applyFont="1" applyFill="1" applyBorder="1" applyAlignment="1" applyProtection="1">
      <alignment horizontal="center"/>
    </xf>
    <xf numFmtId="37" fontId="6" fillId="8" borderId="25" xfId="65" applyNumberFormat="1" applyFont="1" applyFill="1" applyBorder="1" applyAlignment="1" applyProtection="1">
      <alignment horizontal="center"/>
    </xf>
    <xf numFmtId="0" fontId="6" fillId="8" borderId="33" xfId="114" applyFont="1" applyFill="1" applyBorder="1" applyAlignment="1">
      <alignment horizontal="center"/>
    </xf>
    <xf numFmtId="0" fontId="6" fillId="8" borderId="6" xfId="114" applyFont="1" applyFill="1" applyBorder="1" applyAlignment="1">
      <alignment horizontal="center"/>
    </xf>
    <xf numFmtId="0" fontId="6" fillId="8" borderId="68" xfId="114" applyFont="1" applyFill="1" applyBorder="1" applyAlignment="1">
      <alignment horizontal="center"/>
    </xf>
    <xf numFmtId="0" fontId="6" fillId="8" borderId="70" xfId="114" applyFont="1" applyFill="1" applyBorder="1" applyAlignment="1">
      <alignment horizontal="center"/>
    </xf>
    <xf numFmtId="164" fontId="6" fillId="9" borderId="32" xfId="114" applyNumberFormat="1" applyFont="1" applyFill="1" applyBorder="1" applyAlignment="1" applyProtection="1">
      <alignment horizontal="right"/>
      <protection locked="0"/>
    </xf>
    <xf numFmtId="164" fontId="6" fillId="9" borderId="56" xfId="114" applyNumberFormat="1" applyFont="1" applyFill="1" applyBorder="1" applyAlignment="1" applyProtection="1">
      <alignment horizontal="right"/>
      <protection locked="0"/>
    </xf>
    <xf numFmtId="164" fontId="6" fillId="9" borderId="31" xfId="114" applyNumberFormat="1" applyFont="1" applyFill="1" applyBorder="1" applyAlignment="1" applyProtection="1">
      <alignment horizontal="right"/>
      <protection locked="0"/>
    </xf>
    <xf numFmtId="164" fontId="6" fillId="9" borderId="74" xfId="114" applyNumberFormat="1" applyFont="1" applyFill="1" applyBorder="1" applyAlignment="1" applyProtection="1">
      <alignment horizontal="right"/>
      <protection locked="0"/>
    </xf>
    <xf numFmtId="164" fontId="6" fillId="9" borderId="75" xfId="114" applyNumberFormat="1" applyFont="1" applyFill="1" applyBorder="1" applyAlignment="1" applyProtection="1">
      <alignment horizontal="right"/>
      <protection locked="0"/>
    </xf>
    <xf numFmtId="0" fontId="8" fillId="5" borderId="54" xfId="120" applyFont="1" applyFill="1" applyBorder="1" applyAlignment="1">
      <alignment horizontal="center" vertical="center" wrapText="1"/>
    </xf>
    <xf numFmtId="0" fontId="8" fillId="5" borderId="0" xfId="120" applyFont="1" applyFill="1" applyAlignment="1">
      <alignment horizontal="center" vertical="center" wrapText="1"/>
    </xf>
    <xf numFmtId="0" fontId="8" fillId="5" borderId="3" xfId="120" applyFont="1" applyFill="1" applyBorder="1" applyAlignment="1">
      <alignment horizontal="center" vertical="center" wrapText="1"/>
    </xf>
    <xf numFmtId="0" fontId="8" fillId="5" borderId="56" xfId="120" applyFont="1" applyFill="1" applyBorder="1" applyAlignment="1">
      <alignment horizontal="center" vertical="center" wrapText="1"/>
    </xf>
    <xf numFmtId="0" fontId="8" fillId="5" borderId="26" xfId="120" applyFont="1" applyFill="1" applyBorder="1" applyAlignment="1">
      <alignment horizontal="center" vertical="center" wrapText="1"/>
    </xf>
    <xf numFmtId="0" fontId="8" fillId="5" borderId="30" xfId="120" applyFont="1" applyFill="1" applyBorder="1" applyAlignment="1">
      <alignment horizontal="center" vertical="center" wrapText="1"/>
    </xf>
    <xf numFmtId="0" fontId="4" fillId="5" borderId="40" xfId="114" applyFont="1" applyFill="1" applyBorder="1" applyAlignment="1">
      <alignment horizontal="center" vertical="center" wrapText="1"/>
    </xf>
    <xf numFmtId="0" fontId="4" fillId="5" borderId="1" xfId="114" applyFont="1" applyFill="1" applyBorder="1" applyAlignment="1">
      <alignment horizontal="center" vertical="center" wrapText="1"/>
    </xf>
    <xf numFmtId="0" fontId="4" fillId="5" borderId="8" xfId="114" applyFont="1" applyFill="1" applyBorder="1" applyAlignment="1">
      <alignment horizontal="center" wrapText="1"/>
    </xf>
    <xf numFmtId="0" fontId="4" fillId="5" borderId="10" xfId="114" applyFont="1" applyFill="1" applyBorder="1" applyAlignment="1">
      <alignment horizontal="center" wrapText="1"/>
    </xf>
    <xf numFmtId="0" fontId="4" fillId="5" borderId="9" xfId="114" applyFont="1" applyFill="1" applyBorder="1" applyAlignment="1">
      <alignment horizontal="center" wrapText="1"/>
    </xf>
    <xf numFmtId="0" fontId="4" fillId="5" borderId="5" xfId="114" applyFont="1" applyFill="1" applyBorder="1" applyAlignment="1">
      <alignment horizontal="center" wrapText="1"/>
    </xf>
    <xf numFmtId="0" fontId="4" fillId="5" borderId="11" xfId="114" applyFont="1" applyFill="1" applyBorder="1" applyAlignment="1">
      <alignment horizontal="center" wrapText="1"/>
    </xf>
    <xf numFmtId="0" fontId="4" fillId="5" borderId="6" xfId="114" applyFont="1" applyFill="1" applyBorder="1" applyAlignment="1">
      <alignment horizontal="center" wrapText="1"/>
    </xf>
    <xf numFmtId="0" fontId="4" fillId="5" borderId="42" xfId="114" applyFont="1" applyFill="1" applyBorder="1" applyAlignment="1">
      <alignment horizontal="center" vertical="center"/>
    </xf>
    <xf numFmtId="0" fontId="4" fillId="5" borderId="44" xfId="114" applyFont="1" applyFill="1" applyBorder="1" applyAlignment="1">
      <alignment horizontal="center" vertical="center"/>
    </xf>
    <xf numFmtId="0" fontId="4" fillId="5" borderId="43" xfId="114" applyFont="1" applyFill="1" applyBorder="1" applyAlignment="1">
      <alignment horizontal="center" vertical="center"/>
    </xf>
    <xf numFmtId="0" fontId="4" fillId="5" borderId="2" xfId="114" applyFont="1" applyFill="1" applyBorder="1" applyAlignment="1">
      <alignment horizontal="center" vertical="center"/>
    </xf>
    <xf numFmtId="0" fontId="4" fillId="5" borderId="0" xfId="114" applyFont="1" applyFill="1" applyAlignment="1">
      <alignment horizontal="center" vertical="center"/>
    </xf>
    <xf numFmtId="0" fontId="4" fillId="5" borderId="58" xfId="114" applyFont="1" applyFill="1" applyBorder="1" applyAlignment="1">
      <alignment horizontal="center" vertical="center"/>
    </xf>
    <xf numFmtId="0" fontId="4" fillId="5" borderId="5" xfId="114" applyFont="1" applyFill="1" applyBorder="1" applyAlignment="1">
      <alignment horizontal="center" vertical="center"/>
    </xf>
    <xf numFmtId="0" fontId="4" fillId="5" borderId="11" xfId="114" applyFont="1" applyFill="1" applyBorder="1" applyAlignment="1">
      <alignment horizontal="center" vertical="center"/>
    </xf>
    <xf numFmtId="0" fontId="4" fillId="5" borderId="25" xfId="114" applyFont="1" applyFill="1" applyBorder="1" applyAlignment="1">
      <alignment horizontal="center" vertical="center"/>
    </xf>
    <xf numFmtId="0" fontId="4" fillId="5" borderId="16" xfId="114" applyFont="1" applyFill="1" applyBorder="1" applyAlignment="1">
      <alignment horizontal="center"/>
    </xf>
    <xf numFmtId="0" fontId="4" fillId="5" borderId="35" xfId="114" applyFont="1" applyFill="1" applyBorder="1" applyAlignment="1">
      <alignment horizontal="center"/>
    </xf>
    <xf numFmtId="0" fontId="4" fillId="5" borderId="17" xfId="114" applyFont="1" applyFill="1" applyBorder="1" applyAlignment="1">
      <alignment horizontal="center"/>
    </xf>
    <xf numFmtId="0" fontId="6" fillId="0" borderId="55" xfId="114" applyFont="1" applyBorder="1" applyAlignment="1">
      <alignment horizontal="left" wrapText="1"/>
    </xf>
    <xf numFmtId="0" fontId="6" fillId="0" borderId="37" xfId="114" applyFont="1" applyBorder="1" applyAlignment="1">
      <alignment horizontal="left" wrapText="1"/>
    </xf>
    <xf numFmtId="0" fontId="6" fillId="0" borderId="49" xfId="114" applyFont="1" applyBorder="1" applyAlignment="1">
      <alignment horizontal="left" wrapText="1"/>
    </xf>
    <xf numFmtId="0" fontId="6" fillId="0" borderId="40" xfId="114" applyFont="1" applyBorder="1" applyAlignment="1">
      <alignment horizontal="left" wrapText="1"/>
    </xf>
    <xf numFmtId="0" fontId="4" fillId="5" borderId="38" xfId="114" applyFont="1" applyFill="1" applyBorder="1" applyAlignment="1">
      <alignment horizontal="center" vertical="top" wrapText="1"/>
    </xf>
    <xf numFmtId="0" fontId="4" fillId="5" borderId="24" xfId="114" applyFont="1" applyFill="1" applyBorder="1" applyAlignment="1">
      <alignment horizontal="center" vertical="top" wrapText="1"/>
    </xf>
    <xf numFmtId="0" fontId="4" fillId="5" borderId="46" xfId="114" applyFont="1" applyFill="1" applyBorder="1" applyAlignment="1">
      <alignment horizontal="center" vertical="center" wrapText="1"/>
    </xf>
    <xf numFmtId="0" fontId="4" fillId="5" borderId="39" xfId="114" applyFont="1" applyFill="1" applyBorder="1" applyAlignment="1">
      <alignment horizontal="center" vertical="center" wrapText="1"/>
    </xf>
    <xf numFmtId="0" fontId="4" fillId="5" borderId="23" xfId="114" applyFont="1" applyFill="1" applyBorder="1" applyAlignment="1">
      <alignment horizontal="center" vertical="center" wrapText="1"/>
    </xf>
    <xf numFmtId="0" fontId="4" fillId="5" borderId="45" xfId="114" applyFont="1" applyFill="1" applyBorder="1" applyAlignment="1">
      <alignment horizontal="center" vertical="center" wrapText="1"/>
    </xf>
    <xf numFmtId="0" fontId="4" fillId="5" borderId="38" xfId="114" applyFont="1" applyFill="1" applyBorder="1" applyAlignment="1">
      <alignment horizontal="center" vertical="center" wrapText="1"/>
    </xf>
    <xf numFmtId="0" fontId="4" fillId="5" borderId="24" xfId="114" applyFont="1" applyFill="1" applyBorder="1" applyAlignment="1">
      <alignment horizontal="center" vertical="center" wrapText="1"/>
    </xf>
    <xf numFmtId="0" fontId="4" fillId="5" borderId="12" xfId="114" applyFont="1" applyFill="1" applyBorder="1" applyAlignment="1">
      <alignment horizontal="center" vertical="center" wrapText="1"/>
    </xf>
    <xf numFmtId="0" fontId="4" fillId="5" borderId="4" xfId="114" applyFont="1" applyFill="1" applyBorder="1" applyAlignment="1">
      <alignment horizontal="center" vertical="center" wrapText="1"/>
    </xf>
    <xf numFmtId="9" fontId="6" fillId="8" borderId="24" xfId="117" applyFont="1" applyFill="1" applyBorder="1" applyAlignment="1">
      <alignment horizontal="center"/>
    </xf>
    <xf numFmtId="9" fontId="6" fillId="8" borderId="23" xfId="117" applyFont="1" applyFill="1" applyBorder="1" applyAlignment="1">
      <alignment horizontal="center"/>
    </xf>
    <xf numFmtId="0" fontId="6" fillId="0" borderId="0" xfId="114" applyFont="1" applyAlignment="1">
      <alignment horizontal="center"/>
    </xf>
    <xf numFmtId="0" fontId="6" fillId="0" borderId="0" xfId="114" applyFont="1" applyAlignment="1">
      <alignment horizontal="left"/>
    </xf>
    <xf numFmtId="0" fontId="6" fillId="0" borderId="44" xfId="114" applyFont="1" applyBorder="1" applyAlignment="1">
      <alignment horizontal="right"/>
    </xf>
    <xf numFmtId="0" fontId="6" fillId="9" borderId="56" xfId="114" applyFont="1" applyFill="1" applyBorder="1" applyAlignment="1" applyProtection="1">
      <alignment horizontal="left" vertical="top" wrapText="1"/>
      <protection locked="0"/>
    </xf>
    <xf numFmtId="0" fontId="6" fillId="9" borderId="26" xfId="114" applyFont="1" applyFill="1" applyBorder="1" applyAlignment="1" applyProtection="1">
      <alignment horizontal="left" vertical="top" wrapText="1"/>
      <protection locked="0"/>
    </xf>
    <xf numFmtId="0" fontId="6" fillId="9" borderId="31" xfId="114" applyFont="1" applyFill="1" applyBorder="1" applyAlignment="1" applyProtection="1">
      <alignment horizontal="left" vertical="top" wrapText="1"/>
      <protection locked="0"/>
    </xf>
    <xf numFmtId="0" fontId="6" fillId="9" borderId="54" xfId="114" applyFont="1" applyFill="1" applyBorder="1" applyAlignment="1" applyProtection="1">
      <alignment horizontal="left" vertical="top" wrapText="1"/>
      <protection locked="0"/>
    </xf>
    <xf numFmtId="0" fontId="6" fillId="9" borderId="0" xfId="114" applyFont="1" applyFill="1" applyAlignment="1" applyProtection="1">
      <alignment horizontal="left" vertical="top" wrapText="1"/>
      <protection locked="0"/>
    </xf>
    <xf numFmtId="0" fontId="6" fillId="9" borderId="58" xfId="114" applyFont="1" applyFill="1" applyBorder="1" applyAlignment="1" applyProtection="1">
      <alignment horizontal="left" vertical="top" wrapText="1"/>
      <protection locked="0"/>
    </xf>
    <xf numFmtId="0" fontId="6" fillId="9" borderId="57" xfId="114" applyFont="1" applyFill="1" applyBorder="1" applyAlignment="1" applyProtection="1">
      <alignment horizontal="left" vertical="top" wrapText="1"/>
      <protection locked="0"/>
    </xf>
    <xf numFmtId="0" fontId="6" fillId="9" borderId="44" xfId="114" applyFont="1" applyFill="1" applyBorder="1" applyAlignment="1" applyProtection="1">
      <alignment horizontal="left" vertical="top" wrapText="1"/>
      <protection locked="0"/>
    </xf>
    <xf numFmtId="0" fontId="6" fillId="9" borderId="43" xfId="114" applyFont="1" applyFill="1" applyBorder="1" applyAlignment="1" applyProtection="1">
      <alignment horizontal="left" vertical="top" wrapText="1"/>
      <protection locked="0"/>
    </xf>
    <xf numFmtId="0" fontId="6" fillId="2" borderId="51" xfId="114" applyFont="1" applyFill="1" applyBorder="1" applyAlignment="1">
      <alignment horizontal="right" wrapText="1"/>
    </xf>
    <xf numFmtId="0" fontId="6" fillId="2" borderId="24" xfId="114" applyFont="1" applyFill="1" applyBorder="1" applyAlignment="1">
      <alignment horizontal="right" wrapText="1"/>
    </xf>
    <xf numFmtId="0" fontId="6" fillId="2" borderId="24" xfId="114" applyFont="1" applyFill="1" applyBorder="1" applyAlignment="1">
      <alignment horizontal="right"/>
    </xf>
    <xf numFmtId="0" fontId="4" fillId="5" borderId="49" xfId="114" applyFont="1" applyFill="1" applyBorder="1" applyAlignment="1">
      <alignment horizontal="center" vertical="center" wrapText="1"/>
    </xf>
    <xf numFmtId="0" fontId="4" fillId="5" borderId="13" xfId="114" applyFont="1" applyFill="1" applyBorder="1" applyAlignment="1">
      <alignment horizontal="center" vertical="center" wrapText="1"/>
    </xf>
  </cellXfs>
  <cellStyles count="125">
    <cellStyle name="Comma" xfId="123" builtinId="3"/>
    <cellStyle name="Comma 2" xfId="65" xr:uid="{00000000-0005-0000-0000-000000000000}"/>
    <cellStyle name="Comma 4 2 2" xfId="115" xr:uid="{90B53A6F-0A06-F74A-ACF8-BE580DE2478C}"/>
    <cellStyle name="Comma 5" xfId="122" xr:uid="{1FF493CB-A9E7-D648-A8C2-D2BAEDE04D89}"/>
    <cellStyle name="Currency" xfId="116" builtinId="4"/>
    <cellStyle name="Currency 2" xfId="119" xr:uid="{316EB3B6-9BE6-B841-B1CF-00C7C34A6AA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Normal" xfId="0" builtinId="0"/>
    <cellStyle name="Normal 2" xfId="114" xr:uid="{44466CC3-824E-2E42-8EE6-CF69FBEED035}"/>
    <cellStyle name="Normal 3 2 2" xfId="120" xr:uid="{194BDBCE-BA1B-C046-9F7F-EB2F344A9385}"/>
    <cellStyle name="Normal 4" xfId="118" xr:uid="{7F057FDD-08E9-344C-A80D-91787657AE6F}"/>
    <cellStyle name="Normal 4 2 2" xfId="121" xr:uid="{1AAD1CBE-1EA5-6B4A-87D9-4F59E898606B}"/>
    <cellStyle name="Percent" xfId="124" builtinId="5"/>
    <cellStyle name="Percent 2" xfId="117" xr:uid="{06A1D79A-64DA-DE40-8121-CD8064733871}"/>
  </cellStyles>
  <dxfs count="66">
    <dxf>
      <font>
        <color rgb="FF9C0006"/>
      </font>
      <fill>
        <patternFill>
          <bgColor rgb="FFFFC7CE"/>
        </patternFill>
      </fill>
    </dxf>
    <dxf>
      <font>
        <color rgb="FF9C0006"/>
      </font>
      <fill>
        <patternFill>
          <bgColor rgb="FFFFC7CE"/>
        </patternFill>
      </fill>
    </dxf>
    <dxf>
      <font>
        <color theme="0"/>
      </font>
      <fill>
        <patternFill>
          <bgColor theme="0"/>
        </patternFill>
      </fill>
    </dxf>
    <dxf>
      <font>
        <color theme="0"/>
      </font>
      <fill>
        <patternFill>
          <bgColor theme="0"/>
        </patternFill>
      </fill>
      <border>
        <bottom/>
      </border>
    </dxf>
    <dxf>
      <font>
        <color rgb="FFFF0000"/>
      </font>
      <fill>
        <patternFill>
          <bgColor theme="0"/>
        </patternFill>
      </fill>
    </dxf>
    <dxf>
      <font>
        <color theme="0"/>
      </font>
      <fill>
        <patternFill>
          <bgColor theme="0"/>
        </patternFill>
      </fill>
      <border>
        <right/>
        <top/>
      </border>
    </dxf>
    <dxf>
      <font>
        <color theme="0"/>
      </font>
      <fill>
        <patternFill>
          <bgColor theme="0"/>
        </patternFill>
      </fill>
      <border>
        <right/>
        <bottom/>
      </border>
    </dxf>
    <dxf>
      <font>
        <color theme="0"/>
      </font>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b/>
        <i val="0"/>
        <color rgb="FFFF0000"/>
      </font>
    </dxf>
    <dxf>
      <font>
        <b/>
        <i val="0"/>
        <color rgb="FFFF0000"/>
      </font>
    </dxf>
    <dxf>
      <font>
        <color theme="0"/>
      </font>
    </dxf>
    <dxf>
      <font>
        <color rgb="FF9C5700"/>
      </font>
      <fill>
        <patternFill>
          <bgColor rgb="FFFFEB9C"/>
        </patternFill>
      </fill>
    </dxf>
    <dxf>
      <font>
        <b val="0"/>
        <i val="0"/>
        <color theme="1"/>
      </font>
      <fill>
        <patternFill>
          <bgColor theme="0"/>
        </patternFill>
      </fill>
      <border>
        <vertical/>
        <horizontal/>
      </border>
    </dxf>
    <dxf>
      <font>
        <color theme="0"/>
      </font>
    </dxf>
    <dxf>
      <font>
        <strike val="0"/>
      </font>
    </dxf>
    <dxf>
      <font>
        <strike val="0"/>
      </font>
    </dxf>
    <dxf>
      <font>
        <strike val="0"/>
      </font>
    </dxf>
    <dxf>
      <font>
        <strike val="0"/>
      </font>
    </dxf>
    <dxf>
      <font>
        <color rgb="FFFF0000"/>
      </font>
      <fill>
        <patternFill>
          <bgColor theme="0"/>
        </patternFill>
      </fill>
    </dxf>
    <dxf>
      <font>
        <color rgb="FFFF0000"/>
      </font>
      <fill>
        <patternFill>
          <bgColor theme="0"/>
        </patternFill>
      </fill>
    </dxf>
    <dxf>
      <font>
        <color rgb="FFFF0000"/>
      </font>
    </dxf>
    <dxf>
      <font>
        <color rgb="FFFF0000"/>
      </font>
      <fill>
        <patternFill>
          <bgColor theme="0"/>
        </patternFill>
      </fill>
    </dxf>
    <dxf>
      <font>
        <color rgb="FFFF0000"/>
      </font>
    </dxf>
    <dxf>
      <font>
        <color rgb="FFFF0000"/>
      </font>
      <fill>
        <patternFill>
          <bgColor theme="0"/>
        </patternFill>
      </fill>
    </dxf>
    <dxf>
      <font>
        <color rgb="FFFF0000"/>
      </font>
      <fill>
        <patternFill>
          <bgColor theme="0"/>
        </patternFill>
      </fill>
    </dxf>
    <dxf>
      <font>
        <color rgb="FFFF0000"/>
      </font>
      <fill>
        <patternFill>
          <bgColor theme="0"/>
        </patternFill>
      </fill>
      <border>
        <vertical/>
        <horizontal/>
      </border>
    </dxf>
    <dxf>
      <font>
        <color rgb="FFFF000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0"/>
        </patternFill>
      </fill>
    </dxf>
    <dxf>
      <font>
        <color theme="0"/>
      </font>
    </dxf>
    <dxf>
      <font>
        <color theme="0"/>
      </font>
    </dxf>
    <dxf>
      <font>
        <color rgb="FFFF0000"/>
      </font>
      <fill>
        <patternFill>
          <bgColor theme="0"/>
        </patternFill>
      </fill>
    </dxf>
    <dxf>
      <font>
        <color rgb="FFFF0000"/>
      </font>
      <fill>
        <patternFill>
          <bgColor theme="0"/>
        </patternFill>
      </fill>
    </dxf>
    <dxf>
      <font>
        <color rgb="FFFF0000"/>
      </font>
      <fill>
        <patternFill>
          <bgColor theme="0"/>
        </patternFill>
      </fill>
    </dxf>
    <dxf>
      <font>
        <color rgb="FFFF0000"/>
      </font>
      <fill>
        <patternFill>
          <bgColor theme="0"/>
        </patternFill>
      </fill>
      <border>
        <vertical/>
        <horizontal/>
      </border>
    </dxf>
    <dxf>
      <font>
        <color rgb="FFFF0000"/>
      </font>
      <fill>
        <patternFill>
          <fgColor theme="0"/>
          <bgColor theme="0"/>
        </patternFill>
      </fill>
    </dxf>
    <dxf>
      <font>
        <color rgb="FFFF000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vertical/>
        <horizontal/>
      </border>
    </dxf>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dxf>
    <dxf>
      <font>
        <color rgb="FF9C5700"/>
      </font>
      <fill>
        <patternFill>
          <bgColor rgb="FFFFEB9C"/>
        </patternFill>
      </fill>
      <border>
        <left style="thin">
          <color theme="0" tint="-0.14996795556505021"/>
        </left>
        <right style="thin">
          <color theme="0" tint="-0.14996795556505021"/>
        </right>
        <top style="thin">
          <color theme="0" tint="-0.14996795556505021"/>
        </top>
        <bottom style="thin">
          <color theme="0" tint="-0.14996795556505021"/>
        </bottom>
      </border>
    </dxf>
  </dxfs>
  <tableStyles count="0" defaultTableStyle="TableStyleMedium2" defaultPivotStyle="PivotStyleLight16"/>
  <colors>
    <mruColors>
      <color rgb="FFFFC7CE"/>
      <color rgb="FFFCE4D6"/>
      <color rgb="FFEFBAC0"/>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581025</xdr:colOff>
      <xdr:row>13</xdr:row>
      <xdr:rowOff>28575</xdr:rowOff>
    </xdr:from>
    <xdr:to>
      <xdr:col>18</xdr:col>
      <xdr:colOff>550545</xdr:colOff>
      <xdr:row>14</xdr:row>
      <xdr:rowOff>57882</xdr:rowOff>
    </xdr:to>
    <xdr:pic>
      <xdr:nvPicPr>
        <xdr:cNvPr id="2" name="Picture 1">
          <a:extLst>
            <a:ext uri="{FF2B5EF4-FFF2-40B4-BE49-F238E27FC236}">
              <a16:creationId xmlns:a16="http://schemas.microsoft.com/office/drawing/2014/main" id="{71AC31EC-A3B8-4F25-B946-40AE45EED1EB}"/>
            </a:ext>
          </a:extLst>
        </xdr:cNvPr>
        <xdr:cNvPicPr>
          <a:picLocks noChangeAspect="1"/>
        </xdr:cNvPicPr>
      </xdr:nvPicPr>
      <xdr:blipFill>
        <a:blip xmlns:r="http://schemas.openxmlformats.org/officeDocument/2006/relationships" r:embed="rId1"/>
        <a:stretch>
          <a:fillRect/>
        </a:stretch>
      </xdr:blipFill>
      <xdr:spPr>
        <a:xfrm>
          <a:off x="6189345" y="2611755"/>
          <a:ext cx="6650355" cy="4807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n Seloske" id="{4C56F39F-21B0-42D4-B3A7-5AA65911BEB8}" userId="S::bseloske@ics.idaho.gov::323a4393-0192-4f0a-bd81-77746bdb0b7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1-31T18:09:24.05" personId="{4C56F39F-21B0-42D4-B3A7-5AA65911BEB8}" id="{3E94F99E-BBF6-4BBB-8D7F-A9385964CBF8}">
    <text>For the formulas to match values correctly, BearLake, NezPerce, and TwinFalls counties cannot have spaces in their names.</text>
  </threadedComment>
  <threadedComment ref="C1" dT="2022-01-03T22:30:22.81" personId="{4C56F39F-21B0-42D4-B3A7-5AA65911BEB8}" id="{887874F3-6649-4294-83E8-26D277E7E1B8}">
    <text>For the L-2 to fill data correctly, this tab must remain sorted alphabetically by DistName.</text>
  </threadedComment>
  <threadedComment ref="C1" dT="2023-12-12T21:29:54.72" personId="{4C56F39F-21B0-42D4-B3A7-5AA65911BEB8}" id="{E5B10DD1-957E-4C59-AAB5-AB09CBF6A41D}" parentId="{887874F3-6649-4294-83E8-26D277E7E1B8}">
    <text>Highlighted counties MUST use this form. The other listed counties may use this form but it shouldn't be different from the "General" form.</text>
  </threadedComment>
  <threadedComment ref="G1" dT="2023-03-20T21:39:36.82" personId="{4C56F39F-21B0-42D4-B3A7-5AA65911BEB8}" id="{F003EF1D-C3F4-4A2D-808F-63C5302D5124}">
    <text>Updated to 2024 OP values on 1/3/2025</text>
  </threadedComment>
  <threadedComment ref="H1" dT="2023-03-20T21:36:21.79" personId="{4C56F39F-21B0-42D4-B3A7-5AA65911BEB8}" id="{E8401FBE-EC75-4DD5-A3AC-63305CF5B155}">
    <text>Updated to 2024 OP values on 1/3/2025</text>
  </threadedComment>
  <threadedComment ref="K1" dT="2023-03-20T21:57:40.59" personId="{4C56F39F-21B0-42D4-B3A7-5AA65911BEB8}" id="{C552397B-2BFE-48B5-888D-0FAFCBB5D609}">
    <text>Updated 3/20/23 with figures that include the R&amp;B</text>
  </threadedComment>
  <threadedComment ref="S1" dT="2025-01-03T20:17:20.76" personId="{4C56F39F-21B0-42D4-B3A7-5AA65911BEB8}" id="{CD6054E0-AF96-4E71-A433-C4BA9C57312C}">
    <text>We didn’t use this method in 2022</text>
  </threadedComment>
  <threadedComment ref="U1" dT="2025-01-03T20:18:01.77" personId="{4C56F39F-21B0-42D4-B3A7-5AA65911BEB8}" id="{7EB1B5C1-48CC-43F2-9337-4054738B594F}">
    <text>If an error was determined to be a budget error where the budget grew incorrectly and was corrected with a reduction in the following year, those reductions are NOT treated as replacements. 
If an error was a valuation error that resulted in too much revenue for the district (but budget was set correctly), then the reduction in the following year would be treated as replacements.</text>
  </threadedComment>
  <threadedComment ref="Y1" dT="2022-04-25T18:01:02.06" personId="{4C56F39F-21B0-42D4-B3A7-5AA65911BEB8}" id="{5DCE5089-F8CF-4D3B-A705-DF6872294F2C}">
    <text>2025 Forgone amounts updated - 1/3/2025</text>
  </threadedComment>
  <threadedComment ref="C12" dT="2022-07-22T17:09:55.54" personId="{4C56F39F-21B0-42D4-B3A7-5AA65911BEB8}" id="{BEBF6E3D-09CA-4694-A6E2-B25DF6FE817C}">
    <text>Hasn't levied for R&amp;B for over 3 yrs</text>
  </threadedComment>
  <threadedComment ref="C22" dT="2022-08-01T17:06:25.83" personId="{4C56F39F-21B0-42D4-B3A7-5AA65911BEB8}" id="{D48CB916-4521-4D0D-A290-2AB3BEDF063E}">
    <text>Did not levy for R&amp;B in 2021</text>
  </threadedComment>
</ThreadedComments>
</file>

<file path=xl/threadedComments/threadedComment2.xml><?xml version="1.0" encoding="utf-8"?>
<ThreadedComments xmlns="http://schemas.microsoft.com/office/spreadsheetml/2018/threadedcomments" xmlns:x="http://schemas.openxmlformats.org/spreadsheetml/2006/main">
  <threadedComment ref="H12" dT="2022-05-13T21:45:23.54" personId="{4C56F39F-21B0-42D4-B3A7-5AA65911BEB8}" id="{50D2A384-A6A2-44C2-865B-69A641B7D144}">
    <text>Change this value if you would like to calculate a maximum using less than 3% base budget growth.
The default is set to 3% because that is the maximum value and the purpose of the form is to calculate the legal maximum.</text>
  </threadedComment>
  <threadedComment ref="B39" dT="2022-07-13T16:57:21.25" personId="{4C56F39F-21B0-42D4-B3A7-5AA65911BEB8}" id="{CA58D89E-B1D5-4B19-BA9B-9D399917ADC8}">
    <text>Once all the above boxes are completed, you can look at the L-2 Worksheet tab to review what the maximum property tax budget would be without using forgone amounts. This information can be used to guide your decision in this box.</text>
  </threadedComment>
  <threadedComment ref="H57" dT="2024-01-29T23:26:45.18" personId="{4C56F39F-21B0-42D4-B3A7-5AA65911BEB8}" id="{1E3FF760-EB62-42E4-97A1-F019FA214901}">
    <text>If forgone amounts have been recovered into the budget, then this figure will not equal the sum of the above percentages because forgone recovery percentages (1% &amp; 3%) are based on the budget after the initial increases have been allowed.</text>
  </threadedComment>
</ThreadedComments>
</file>

<file path=xl/threadedComments/threadedComment3.xml><?xml version="1.0" encoding="utf-8"?>
<ThreadedComments xmlns="http://schemas.microsoft.com/office/spreadsheetml/2018/threadedcomments" xmlns:x="http://schemas.openxmlformats.org/spreadsheetml/2006/main">
  <threadedComment ref="H48" dT="2021-09-09T16:36:47.40" personId="{4C56F39F-21B0-42D4-B3A7-5AA65911BEB8}" id="{690176EA-5F06-4F30-B8A6-206AB8A10730}">
    <text>This amount should be the sum of the growth from: 3%, new construction, annexations, and expiring urban renewal minus the amount of growth being taken.</text>
  </threadedComment>
  <threadedComment ref="H49" dT="2022-04-04T19:48:53.02" personId="{4C56F39F-21B0-42D4-B3A7-5AA65911BEB8}" id="{A4425859-192B-478C-A2AA-BFB58207FFC6}">
    <text>If there is an amount in the box below, this box should be blank (the box below expands your budget growth this year and this amount reserves excess growth for the future; there should not be excess growth to reserve for the future if extra budget growth is needed via recovering forgone).</text>
  </threadedComment>
</ThreadedComments>
</file>

<file path=xl/threadedComments/threadedComment4.xml><?xml version="1.0" encoding="utf-8"?>
<ThreadedComments xmlns="http://schemas.microsoft.com/office/spreadsheetml/2018/threadedcomments" xmlns:x="http://schemas.openxmlformats.org/spreadsheetml/2006/main">
  <threadedComment ref="C11" dT="2025-05-09T21:48:18.42" personId="{4C56F39F-21B0-42D4-B3A7-5AA65911BEB8}" id="{D2BAE6D6-0F23-46D6-8ABB-B25CF97CA56D}">
    <text>This needs to include Operating Property Value from current year.</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974D-69B8-4542-AF22-0B3C5DB7196B}">
  <dimension ref="A1:AQ5"/>
  <sheetViews>
    <sheetView workbookViewId="0">
      <pane xSplit="2" ySplit="1" topLeftCell="C2" activePane="bottomRight" state="frozen"/>
      <selection pane="topRight" activeCell="B1" sqref="B1"/>
      <selection pane="bottomLeft" activeCell="A2" sqref="A2"/>
      <selection pane="bottomRight" activeCell="C2" sqref="C2"/>
    </sheetView>
  </sheetViews>
  <sheetFormatPr defaultRowHeight="15.75" x14ac:dyDescent="0.25"/>
  <cols>
    <col min="1" max="1" width="7.375" customWidth="1"/>
    <col min="2" max="2" width="30.125" customWidth="1"/>
    <col min="3" max="3" width="13.375" customWidth="1"/>
    <col min="4" max="5" width="27.875" bestFit="1" customWidth="1"/>
    <col min="6" max="6" width="31" customWidth="1"/>
    <col min="7" max="7" width="17.125" bestFit="1" customWidth="1"/>
    <col min="8" max="8" width="14.875" bestFit="1" customWidth="1"/>
    <col min="9" max="9" width="13.375" customWidth="1"/>
    <col min="10" max="10" width="23.75" customWidth="1"/>
    <col min="11" max="13" width="5" customWidth="1"/>
    <col min="14" max="14" width="12.875" customWidth="1"/>
    <col min="15" max="15" width="10.75" bestFit="1" customWidth="1"/>
    <col min="16" max="16" width="17.875" bestFit="1" customWidth="1"/>
    <col min="17" max="18" width="18.625" bestFit="1" customWidth="1"/>
    <col min="19" max="19" width="18.625" customWidth="1"/>
    <col min="20" max="20" width="23.75" bestFit="1" customWidth="1"/>
    <col min="21" max="21" width="17.625" bestFit="1" customWidth="1"/>
    <col min="25" max="25" width="23.375" bestFit="1" customWidth="1"/>
    <col min="26" max="26" width="25.5" customWidth="1"/>
    <col min="27" max="27" width="17.5" bestFit="1" customWidth="1"/>
    <col min="28" max="28" width="22.625" bestFit="1" customWidth="1"/>
    <col min="29" max="29" width="18.625" bestFit="1" customWidth="1"/>
    <col min="30" max="30" width="13.125" bestFit="1" customWidth="1"/>
    <col min="31" max="31" width="18" bestFit="1" customWidth="1"/>
    <col min="32" max="32" width="20.125" bestFit="1" customWidth="1"/>
    <col min="33" max="33" width="16.625" bestFit="1" customWidth="1"/>
    <col min="34" max="34" width="19.125" bestFit="1" customWidth="1"/>
    <col min="35" max="35" width="26.875" customWidth="1"/>
    <col min="36" max="36" width="11.5" customWidth="1"/>
    <col min="37" max="37" width="19.125" customWidth="1"/>
    <col min="38" max="38" width="15.125" bestFit="1" customWidth="1"/>
    <col min="39" max="39" width="17.25" customWidth="1"/>
    <col min="40" max="40" width="14.375" bestFit="1" customWidth="1"/>
    <col min="41" max="41" width="12.625" bestFit="1" customWidth="1"/>
    <col min="42" max="42" width="4.75" customWidth="1"/>
    <col min="43" max="43" width="20.75" customWidth="1"/>
  </cols>
  <sheetData>
    <row r="1" spans="1:43" s="112" customFormat="1" x14ac:dyDescent="0.25">
      <c r="A1" s="112" t="s">
        <v>36</v>
      </c>
      <c r="B1" s="112" t="s">
        <v>74</v>
      </c>
      <c r="C1" s="112" t="s">
        <v>321</v>
      </c>
      <c r="D1" s="112" t="s">
        <v>176</v>
      </c>
      <c r="E1" s="112" t="s">
        <v>258</v>
      </c>
      <c r="F1" s="112" t="s">
        <v>259</v>
      </c>
      <c r="G1" s="112" t="s">
        <v>142</v>
      </c>
      <c r="H1" s="112" t="s">
        <v>126</v>
      </c>
      <c r="I1" s="112" t="s">
        <v>143</v>
      </c>
      <c r="J1" s="112" t="s">
        <v>132</v>
      </c>
      <c r="N1" s="112" t="s">
        <v>272</v>
      </c>
      <c r="O1" s="112" t="s">
        <v>133</v>
      </c>
      <c r="P1" s="112" t="s">
        <v>134</v>
      </c>
      <c r="Q1" s="112" t="s">
        <v>309</v>
      </c>
      <c r="R1" s="112" t="s">
        <v>310</v>
      </c>
      <c r="S1" s="112" t="s">
        <v>312</v>
      </c>
      <c r="T1" s="112" t="s">
        <v>311</v>
      </c>
      <c r="U1" s="112" t="s">
        <v>127</v>
      </c>
      <c r="V1" s="112" t="s">
        <v>128</v>
      </c>
      <c r="W1" s="112" t="s">
        <v>273</v>
      </c>
      <c r="X1" s="112" t="s">
        <v>129</v>
      </c>
      <c r="Y1" s="112" t="s">
        <v>130</v>
      </c>
      <c r="Z1" s="112" t="s">
        <v>131</v>
      </c>
      <c r="AA1" s="112" t="s">
        <v>135</v>
      </c>
      <c r="AB1" s="112" t="s">
        <v>136</v>
      </c>
      <c r="AC1" s="112" t="s">
        <v>137</v>
      </c>
      <c r="AD1" s="112" t="s">
        <v>138</v>
      </c>
      <c r="AE1" s="112" t="s">
        <v>139</v>
      </c>
      <c r="AF1" s="112" t="str">
        <f>LEFT('1. Dashboard'!B8,4)&amp;"RecoveredForgone"</f>
        <v>2025RecoveredForgone</v>
      </c>
      <c r="AG1" s="112" t="str">
        <f>LEFT('1. Dashboard'!B8,4)&amp;"ActualForgone"</f>
        <v>2025ActualForgone</v>
      </c>
      <c r="AH1" s="112" t="str">
        <f>LEFT('1. Dashboard'!B8,4)&amp;"ReservedForgone"</f>
        <v>2025ReservedForgone</v>
      </c>
      <c r="AI1" s="112" t="s">
        <v>147</v>
      </c>
      <c r="AJ1" s="112" t="s">
        <v>148</v>
      </c>
      <c r="AK1" s="112" t="s">
        <v>149</v>
      </c>
      <c r="AL1" s="112" t="s">
        <v>319</v>
      </c>
      <c r="AM1" s="112" t="s">
        <v>150</v>
      </c>
      <c r="AN1" s="112" t="s">
        <v>151</v>
      </c>
      <c r="AO1" s="112" t="s">
        <v>152</v>
      </c>
      <c r="AP1" s="112" t="s">
        <v>274</v>
      </c>
      <c r="AQ1" s="112" t="s">
        <v>275</v>
      </c>
    </row>
    <row r="2" spans="1:43" s="71" customFormat="1" x14ac:dyDescent="0.25">
      <c r="B2" s="71">
        <f>DistrictName</f>
        <v>0</v>
      </c>
      <c r="C2" s="71" t="e">
        <f>INDEX(DataDump!E2:E25,MATCH(DistrictName,DataDump!C2:C25,0))</f>
        <v>#N/A</v>
      </c>
      <c r="D2" s="71">
        <f>'2. L-2 Worksheet'!G29</f>
        <v>0</v>
      </c>
      <c r="E2" s="136" t="b">
        <f>IF(MAX('2. L-2 Worksheet'!E13:I13)='2. L-2 Worksheet'!I13,LEFT('2. L-2 Worksheet'!B17,4)-1,
 IF(MAX('2. L-2 Worksheet'!E13:I13)='2. L-2 Worksheet'!G13,LEFT('2. L-2 Worksheet'!B17,4)-2,
 IF(MAX('2. L-2 Worksheet'!E13:I13)='2. L-2 Worksheet'!E13,LEFT('2. L-2 Worksheet'!B17,4)-3)))</f>
        <v>0</v>
      </c>
      <c r="F2" s="71" t="e">
        <f>'2. L-2 Worksheet'!I20-'2. L-2 Worksheet'!I21</f>
        <v>#VALUE!</v>
      </c>
      <c r="G2" s="71" t="str">
        <f>'2. L-2 Worksheet'!I22</f>
        <v/>
      </c>
      <c r="H2" s="71">
        <f>'2. L-2 Worksheet'!G32</f>
        <v>0</v>
      </c>
      <c r="I2" s="113" t="str">
        <f>'2. L-2 Worksheet'!G35</f>
        <v/>
      </c>
      <c r="J2" s="71" t="str">
        <f>'2. L-2 Worksheet'!G37</f>
        <v/>
      </c>
      <c r="K2" s="71">
        <v>0</v>
      </c>
      <c r="L2" s="71">
        <v>0</v>
      </c>
      <c r="M2" s="71">
        <v>0</v>
      </c>
      <c r="N2" s="71" t="str">
        <f>'2. L-2 Worksheet'!G53</f>
        <v/>
      </c>
      <c r="O2" s="71" t="str">
        <f>IF(DistrictName&lt;&gt;0,IF('2. L-2 Worksheet'!$G$53&lt;'2. L-2 Worksheet'!$G$52,"Yes","No"),"")</f>
        <v/>
      </c>
      <c r="P2" s="71">
        <f>IF(O2="Yes",'2. L-2 Worksheet'!G52-'2. L-2 Worksheet'!G53,0)</f>
        <v>0</v>
      </c>
      <c r="Q2" s="71">
        <f>'2. L-2 Worksheet'!G41</f>
        <v>0</v>
      </c>
      <c r="R2" s="71">
        <f>'2. L-2 Worksheet'!G42</f>
        <v>0</v>
      </c>
      <c r="S2" s="71" t="str">
        <f>'2. L-2 Worksheet'!G49</f>
        <v/>
      </c>
      <c r="T2" s="71" t="str">
        <f>'2. L-2 Worksheet'!G47</f>
        <v/>
      </c>
      <c r="U2" s="71">
        <f>'2. L-2 Worksheet'!G70</f>
        <v>0</v>
      </c>
      <c r="V2" s="71">
        <f>'2. L-2 Worksheet'!G65</f>
        <v>0</v>
      </c>
      <c r="W2" s="71">
        <f>'2. L-2 Worksheet'!G66</f>
        <v>0</v>
      </c>
      <c r="X2" s="71">
        <f>'2. L-2 Worksheet'!G69</f>
        <v>0</v>
      </c>
      <c r="Y2" s="71">
        <f>'2. L-2 Worksheet'!G57</f>
        <v>0</v>
      </c>
      <c r="Z2" s="71">
        <f>'2. L-2 Worksheet'!G58</f>
        <v>0</v>
      </c>
      <c r="AA2" s="71" t="str">
        <f>'2. L-2 Worksheet'!I73</f>
        <v/>
      </c>
      <c r="AB2" s="71">
        <f>SUM('3. L-2 Dollar Certification'!H9:H26)</f>
        <v>0</v>
      </c>
      <c r="AC2" s="71">
        <f>'3. L-2 Dollar Certification'!H45</f>
        <v>0</v>
      </c>
      <c r="AD2" s="71">
        <f>'3. L-2 Dollar Certification'!F46</f>
        <v>0</v>
      </c>
      <c r="AE2" s="71">
        <f>'3. L-2 Dollar Certification'!G46</f>
        <v>0</v>
      </c>
      <c r="AF2" s="71">
        <f>'3. L-2 Dollar Certification'!H50</f>
        <v>0</v>
      </c>
      <c r="AG2" s="71" t="str">
        <f>'3. L-2 Dollar Certification'!H48</f>
        <v/>
      </c>
      <c r="AH2" s="71">
        <f>'3. L-2 Dollar Certification'!H49</f>
        <v>0</v>
      </c>
      <c r="AI2" s="71">
        <f>'4. Levy Rate Calculation'!C15</f>
        <v>0</v>
      </c>
      <c r="AJ2" s="71">
        <f>'4. Levy Rate Calculation'!D15</f>
        <v>0</v>
      </c>
      <c r="AK2" s="71">
        <f>'4. Levy Rate Calculation'!E15</f>
        <v>0</v>
      </c>
      <c r="AL2" s="71" t="str">
        <f>IF(SUM('4. Levy Rate Calculation'!D20:E40,'4. Levy Rate Calculation'!D43:E52)&lt;&gt;0,"YES","NO")</f>
        <v>NO</v>
      </c>
      <c r="AM2" s="113">
        <f>'4. Levy Rate Calculation'!F41-(SUM('4. Levy Rate Calculation'!F38:F40))</f>
        <v>0</v>
      </c>
      <c r="AN2" s="113">
        <f>'4. Levy Rate Calculation'!F53</f>
        <v>0</v>
      </c>
      <c r="AO2" s="113">
        <f>'4. Levy Rate Calculation'!F41+'4. Levy Rate Calculation'!F53-(SUM('4. Levy Rate Calculation'!F38:F40))</f>
        <v>0</v>
      </c>
      <c r="AP2" s="71">
        <v>0</v>
      </c>
      <c r="AQ2" s="71">
        <f>SUM('3. L-2 Dollar Certification'!$H$9:$H$26,'2. L-2 Worksheet'!I67)</f>
        <v>0</v>
      </c>
    </row>
    <row r="3" spans="1:43" x14ac:dyDescent="0.25">
      <c r="B3" s="71">
        <f>IF(DistrictName&lt;&gt;0,B2&amp;" Road &amp; Bridge",B2)</f>
        <v>0</v>
      </c>
      <c r="C3" s="71" t="e">
        <f>INDEX(DataDump!F2:F25,MATCH(DistrictName,DataDump!C2:C25,0))</f>
        <v>#N/A</v>
      </c>
      <c r="D3" s="71">
        <f>'2. L-2 Worksheet'!G30</f>
        <v>0</v>
      </c>
      <c r="E3" s="136" t="b">
        <f>E2</f>
        <v>0</v>
      </c>
      <c r="F3" s="71" t="str">
        <f>'2. L-2 Worksheet'!I21</f>
        <v/>
      </c>
      <c r="G3" s="71" t="str">
        <f>'2. L-2 Worksheet'!I23</f>
        <v/>
      </c>
      <c r="H3" s="71">
        <f>'2. L-2 Worksheet'!G33</f>
        <v>0</v>
      </c>
      <c r="I3" s="113" t="str">
        <f>'2. L-2 Worksheet'!G36</f>
        <v/>
      </c>
      <c r="J3" s="71" t="str">
        <f>'2. L-2 Worksheet'!G38</f>
        <v/>
      </c>
      <c r="K3" s="71">
        <v>0</v>
      </c>
      <c r="L3" s="71">
        <v>0</v>
      </c>
      <c r="M3" s="71">
        <v>0</v>
      </c>
      <c r="N3" s="71">
        <v>0</v>
      </c>
      <c r="O3" s="71" t="str">
        <f>O2</f>
        <v/>
      </c>
      <c r="P3" s="71">
        <v>0</v>
      </c>
      <c r="Q3" s="71">
        <f>'2. L-2 Worksheet'!G43</f>
        <v>0</v>
      </c>
      <c r="R3" s="71">
        <f>'2. L-2 Worksheet'!G44</f>
        <v>0</v>
      </c>
      <c r="S3" s="71">
        <v>0</v>
      </c>
      <c r="T3" s="71" t="str">
        <f>'2. L-2 Worksheet'!G48</f>
        <v/>
      </c>
      <c r="U3" s="71">
        <v>0</v>
      </c>
      <c r="V3" s="71">
        <v>0</v>
      </c>
      <c r="W3" s="71">
        <v>0</v>
      </c>
      <c r="X3" s="71">
        <v>0</v>
      </c>
      <c r="Y3" s="71">
        <v>0</v>
      </c>
      <c r="Z3" s="71">
        <v>0</v>
      </c>
      <c r="AA3" s="71">
        <v>0</v>
      </c>
      <c r="AB3" s="71">
        <f>SUM('3. L-2 Dollar Certification'!H27:H29)</f>
        <v>0</v>
      </c>
      <c r="AC3" s="71">
        <v>0</v>
      </c>
      <c r="AD3" s="71">
        <v>0</v>
      </c>
      <c r="AE3" s="71">
        <v>0</v>
      </c>
      <c r="AF3" s="71">
        <v>0</v>
      </c>
      <c r="AG3" s="71">
        <v>0</v>
      </c>
      <c r="AH3" s="71">
        <v>0</v>
      </c>
      <c r="AI3" s="71">
        <f>'4. Levy Rate Calculation'!C16</f>
        <v>0</v>
      </c>
      <c r="AJ3" s="71">
        <f>'4. Levy Rate Calculation'!D16</f>
        <v>0</v>
      </c>
      <c r="AK3" s="71">
        <f>'4. Levy Rate Calculation'!E16</f>
        <v>0</v>
      </c>
      <c r="AL3" s="71" t="str">
        <f>AL2</f>
        <v>NO</v>
      </c>
      <c r="AM3" s="113">
        <f>SUM('4. Levy Rate Calculation'!F38:F40)</f>
        <v>0</v>
      </c>
      <c r="AN3" s="113">
        <v>0</v>
      </c>
      <c r="AO3" s="113">
        <f>SUM('4. Levy Rate Calculation'!F38:F40)</f>
        <v>0</v>
      </c>
      <c r="AP3" s="71">
        <v>0</v>
      </c>
      <c r="AQ3" s="71">
        <f>SUM('3. L-2 Dollar Certification'!$H$27:$H$29)</f>
        <v>0</v>
      </c>
    </row>
    <row r="4" spans="1:43" x14ac:dyDescent="0.25">
      <c r="F4" s="71"/>
      <c r="AM4" s="113"/>
      <c r="AN4" s="113"/>
      <c r="AO4" s="113"/>
    </row>
    <row r="5" spans="1:43" x14ac:dyDescent="0.25">
      <c r="AM5" s="113"/>
      <c r="AN5" s="113"/>
      <c r="AO5" s="113"/>
    </row>
  </sheetData>
  <sheetProtection algorithmName="SHA-512" hashValue="0svAhApJrO1a6fmRYaNBz2/FkmF+lkbHGE0R4s08+amlVo2cJXxES2KujDtnKesANfu6R6b/PwI0WC2u8QS2nw==" saltValue="WKbOpUJI6Sj3/BiHRnu8r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9A29-5E5E-43AB-BCF2-5F746508E22C}">
  <sheetPr codeName="Sheet6"/>
  <dimension ref="A1:AG25"/>
  <sheetViews>
    <sheetView topLeftCell="C1" zoomScale="90" zoomScaleNormal="90" workbookViewId="0">
      <pane xSplit="1" ySplit="1" topLeftCell="D2" activePane="bottomRight" state="frozen"/>
      <selection activeCell="C1" sqref="C1"/>
      <selection pane="topRight" activeCell="D1" sqref="D1"/>
      <selection pane="bottomLeft" activeCell="C2" sqref="C2"/>
      <selection pane="bottomRight" activeCell="D2" sqref="D2"/>
    </sheetView>
  </sheetViews>
  <sheetFormatPr defaultRowHeight="15.75" x14ac:dyDescent="0.25"/>
  <cols>
    <col min="1" max="1" width="12.5" hidden="1" customWidth="1"/>
    <col min="2" max="2" width="21.875" hidden="1" customWidth="1"/>
    <col min="3" max="3" width="18.875" customWidth="1"/>
    <col min="4" max="4" width="19" customWidth="1"/>
    <col min="5" max="5" width="13.75" bestFit="1" customWidth="1"/>
    <col min="6" max="6" width="17.75" customWidth="1"/>
    <col min="7" max="7" width="27.5" bestFit="1" customWidth="1"/>
    <col min="8" max="8" width="32.75" customWidth="1"/>
    <col min="9" max="9" width="16.125" customWidth="1"/>
    <col min="10" max="11" width="19" customWidth="1"/>
    <col min="12" max="12" width="26.625" customWidth="1"/>
    <col min="13" max="15" width="12.75" customWidth="1"/>
    <col min="16" max="18" width="11.875" customWidth="1"/>
    <col min="19" max="21" width="19.875" customWidth="1"/>
    <col min="22" max="24" width="18" customWidth="1"/>
    <col min="25" max="25" width="13.25" style="71" bestFit="1" customWidth="1"/>
    <col min="26" max="28" width="27.375" style="71" customWidth="1"/>
    <col min="29" max="31" width="30.875" style="71" customWidth="1"/>
    <col min="33" max="33" width="10.875" style="135" customWidth="1"/>
  </cols>
  <sheetData>
    <row r="1" spans="1:33" x14ac:dyDescent="0.25">
      <c r="A1" s="71" t="s">
        <v>97</v>
      </c>
      <c r="B1" s="71" t="s">
        <v>98</v>
      </c>
      <c r="C1" s="71" t="s">
        <v>74</v>
      </c>
      <c r="D1" s="155" t="s">
        <v>373</v>
      </c>
      <c r="E1" s="111" t="s">
        <v>321</v>
      </c>
      <c r="F1" s="111" t="s">
        <v>322</v>
      </c>
      <c r="G1" s="71" t="s">
        <v>177</v>
      </c>
      <c r="H1" s="71" t="s">
        <v>178</v>
      </c>
      <c r="I1" s="71" t="s">
        <v>99</v>
      </c>
      <c r="J1" s="71" t="s">
        <v>140</v>
      </c>
      <c r="K1" s="71" t="s">
        <v>141</v>
      </c>
      <c r="L1" s="135" t="s">
        <v>236</v>
      </c>
      <c r="M1" s="71" t="s">
        <v>237</v>
      </c>
      <c r="N1" s="71" t="s">
        <v>238</v>
      </c>
      <c r="O1" s="71" t="s">
        <v>239</v>
      </c>
      <c r="P1" s="71" t="s">
        <v>180</v>
      </c>
      <c r="Q1" s="71" t="s">
        <v>165</v>
      </c>
      <c r="R1" s="71" t="s">
        <v>181</v>
      </c>
      <c r="S1" s="71" t="s">
        <v>243</v>
      </c>
      <c r="T1" s="71" t="s">
        <v>244</v>
      </c>
      <c r="U1" s="71" t="s">
        <v>245</v>
      </c>
      <c r="V1" s="71" t="s">
        <v>240</v>
      </c>
      <c r="W1" s="71" t="s">
        <v>241</v>
      </c>
      <c r="X1" s="71" t="s">
        <v>242</v>
      </c>
      <c r="Y1" s="71" t="s">
        <v>179</v>
      </c>
      <c r="Z1" s="71" t="s">
        <v>229</v>
      </c>
      <c r="AA1" s="71" t="s">
        <v>230</v>
      </c>
      <c r="AB1" s="71" t="s">
        <v>231</v>
      </c>
      <c r="AC1" s="71" t="s">
        <v>232</v>
      </c>
      <c r="AD1" s="71" t="s">
        <v>233</v>
      </c>
      <c r="AE1" s="71" t="s">
        <v>234</v>
      </c>
      <c r="AG1" s="135" t="s">
        <v>295</v>
      </c>
    </row>
    <row r="2" spans="1:33" x14ac:dyDescent="0.25">
      <c r="A2" s="71" t="s">
        <v>75</v>
      </c>
      <c r="B2" s="71" t="s">
        <v>36</v>
      </c>
      <c r="C2" s="106" t="s">
        <v>52</v>
      </c>
      <c r="D2" s="106">
        <v>1</v>
      </c>
      <c r="E2" s="111" t="s">
        <v>323</v>
      </c>
      <c r="F2" s="111" t="s">
        <v>324</v>
      </c>
      <c r="G2" s="71">
        <v>534314729</v>
      </c>
      <c r="H2" s="71">
        <v>418706020</v>
      </c>
      <c r="I2" s="71">
        <v>66253</v>
      </c>
      <c r="J2" s="71">
        <v>267568</v>
      </c>
      <c r="K2" s="71">
        <v>88984</v>
      </c>
      <c r="L2" s="71">
        <v>86393</v>
      </c>
      <c r="M2" s="71">
        <v>0</v>
      </c>
      <c r="N2" s="71">
        <v>0</v>
      </c>
      <c r="O2" s="71">
        <v>0</v>
      </c>
      <c r="P2" s="71">
        <v>0</v>
      </c>
      <c r="Q2" s="71">
        <v>0</v>
      </c>
      <c r="R2" s="71">
        <v>0</v>
      </c>
      <c r="S2" s="71">
        <v>0</v>
      </c>
      <c r="T2" s="71">
        <v>0</v>
      </c>
      <c r="U2" s="71">
        <v>0</v>
      </c>
      <c r="V2" s="71">
        <v>0</v>
      </c>
      <c r="W2" s="71">
        <v>0</v>
      </c>
      <c r="X2" s="71">
        <v>0</v>
      </c>
      <c r="Y2" s="71">
        <v>3112141</v>
      </c>
      <c r="Z2" s="71">
        <v>26818296</v>
      </c>
      <c r="AA2" s="71">
        <v>26618178</v>
      </c>
      <c r="AB2" s="71">
        <v>27629033</v>
      </c>
      <c r="AC2" s="71">
        <v>2516329</v>
      </c>
      <c r="AD2" s="71">
        <v>2557709</v>
      </c>
      <c r="AE2" s="71">
        <v>2299242</v>
      </c>
      <c r="AG2" s="135">
        <f>46862+4742</f>
        <v>51604</v>
      </c>
    </row>
    <row r="3" spans="1:33" x14ac:dyDescent="0.25">
      <c r="A3" s="71" t="s">
        <v>96</v>
      </c>
      <c r="B3" s="71" t="s">
        <v>36</v>
      </c>
      <c r="C3" s="71" t="s">
        <v>53</v>
      </c>
      <c r="D3" s="71" t="s">
        <v>166</v>
      </c>
      <c r="E3" s="111" t="s">
        <v>325</v>
      </c>
      <c r="F3" s="111" t="s">
        <v>326</v>
      </c>
      <c r="G3" s="71">
        <v>191238537</v>
      </c>
      <c r="H3" s="71">
        <v>191238537</v>
      </c>
      <c r="I3" s="71">
        <v>30856</v>
      </c>
      <c r="J3" s="71">
        <v>25165</v>
      </c>
      <c r="K3" s="71">
        <v>8974</v>
      </c>
      <c r="L3" s="71">
        <v>8835</v>
      </c>
      <c r="M3" s="71">
        <v>0</v>
      </c>
      <c r="N3" s="71">
        <v>0</v>
      </c>
      <c r="O3" s="71">
        <v>0</v>
      </c>
      <c r="P3" s="71">
        <v>0</v>
      </c>
      <c r="Q3" s="71">
        <v>0</v>
      </c>
      <c r="R3" s="71">
        <v>0</v>
      </c>
      <c r="S3" s="71">
        <v>0</v>
      </c>
      <c r="T3" s="71">
        <v>0</v>
      </c>
      <c r="U3" s="71">
        <v>0</v>
      </c>
      <c r="V3" s="71">
        <v>0</v>
      </c>
      <c r="W3" s="71">
        <v>0</v>
      </c>
      <c r="X3" s="71">
        <v>0</v>
      </c>
      <c r="Y3" s="71">
        <v>0</v>
      </c>
      <c r="Z3" s="71">
        <v>3288778</v>
      </c>
      <c r="AA3" s="71">
        <v>3380804</v>
      </c>
      <c r="AB3" s="71">
        <v>3317172</v>
      </c>
      <c r="AC3" s="71">
        <v>647863</v>
      </c>
      <c r="AD3" s="71">
        <v>708265</v>
      </c>
      <c r="AE3" s="71">
        <v>994015</v>
      </c>
    </row>
    <row r="4" spans="1:33" x14ac:dyDescent="0.25">
      <c r="A4" s="71" t="s">
        <v>76</v>
      </c>
      <c r="B4" s="71" t="s">
        <v>36</v>
      </c>
      <c r="C4" s="106" t="s">
        <v>54</v>
      </c>
      <c r="D4" s="106">
        <v>1</v>
      </c>
      <c r="E4" s="111" t="s">
        <v>327</v>
      </c>
      <c r="F4" s="111" t="s">
        <v>328</v>
      </c>
      <c r="G4" s="71">
        <v>31807533</v>
      </c>
      <c r="H4" s="71">
        <v>20022459</v>
      </c>
      <c r="I4" s="71">
        <v>30958</v>
      </c>
      <c r="J4" s="71">
        <v>64059</v>
      </c>
      <c r="K4" s="71">
        <v>11009</v>
      </c>
      <c r="L4" s="71">
        <v>10601</v>
      </c>
      <c r="M4" s="71">
        <v>0</v>
      </c>
      <c r="N4" s="71">
        <v>0</v>
      </c>
      <c r="O4" s="71">
        <v>0</v>
      </c>
      <c r="P4" s="71">
        <v>0</v>
      </c>
      <c r="Q4" s="71">
        <v>0</v>
      </c>
      <c r="R4" s="71">
        <v>0</v>
      </c>
      <c r="S4" s="71">
        <v>0</v>
      </c>
      <c r="T4" s="71">
        <v>0</v>
      </c>
      <c r="U4" s="71">
        <v>0</v>
      </c>
      <c r="V4" s="71">
        <v>0</v>
      </c>
      <c r="W4" s="71">
        <v>0</v>
      </c>
      <c r="X4" s="71">
        <v>0</v>
      </c>
      <c r="Y4" s="71">
        <v>0</v>
      </c>
      <c r="Z4" s="71">
        <v>3571593</v>
      </c>
      <c r="AA4" s="71">
        <v>3890021</v>
      </c>
      <c r="AB4" s="71">
        <v>4482146</v>
      </c>
      <c r="AC4" s="71">
        <v>930970</v>
      </c>
      <c r="AD4" s="71">
        <v>669200</v>
      </c>
      <c r="AE4" s="71">
        <v>311000</v>
      </c>
    </row>
    <row r="5" spans="1:33" x14ac:dyDescent="0.25">
      <c r="A5" s="71" t="s">
        <v>77</v>
      </c>
      <c r="B5" s="71" t="s">
        <v>36</v>
      </c>
      <c r="C5" s="71" t="s">
        <v>55</v>
      </c>
      <c r="D5" s="71" t="s">
        <v>166</v>
      </c>
      <c r="E5" s="111" t="s">
        <v>329</v>
      </c>
      <c r="F5" s="111" t="s">
        <v>330</v>
      </c>
      <c r="G5" s="71">
        <v>199712537</v>
      </c>
      <c r="H5" s="71">
        <v>199712537</v>
      </c>
      <c r="I5" s="71">
        <v>413387</v>
      </c>
      <c r="J5" s="71">
        <v>149458</v>
      </c>
      <c r="K5" s="71">
        <v>43818</v>
      </c>
      <c r="L5" s="71">
        <v>43602</v>
      </c>
      <c r="M5" s="71">
        <v>0</v>
      </c>
      <c r="N5" s="71">
        <v>0</v>
      </c>
      <c r="O5" s="71">
        <v>0</v>
      </c>
      <c r="P5" s="71">
        <v>0</v>
      </c>
      <c r="Q5" s="71">
        <v>0</v>
      </c>
      <c r="R5" s="71">
        <v>0</v>
      </c>
      <c r="S5" s="71">
        <v>0</v>
      </c>
      <c r="T5" s="71">
        <v>0</v>
      </c>
      <c r="U5" s="71">
        <v>0</v>
      </c>
      <c r="V5" s="71">
        <v>0</v>
      </c>
      <c r="W5" s="71">
        <v>0</v>
      </c>
      <c r="X5" s="71">
        <v>0</v>
      </c>
      <c r="Y5" s="71">
        <v>2649210</v>
      </c>
      <c r="Z5" s="71">
        <v>12629173</v>
      </c>
      <c r="AA5" s="71">
        <v>13283620</v>
      </c>
      <c r="AB5" s="71">
        <v>14189719</v>
      </c>
      <c r="AC5" s="71">
        <v>792296</v>
      </c>
      <c r="AD5" s="71">
        <v>611394</v>
      </c>
      <c r="AE5" s="71">
        <v>420500</v>
      </c>
    </row>
    <row r="6" spans="1:33" x14ac:dyDescent="0.25">
      <c r="A6" s="71" t="s">
        <v>78</v>
      </c>
      <c r="B6" s="71" t="s">
        <v>36</v>
      </c>
      <c r="C6" s="71" t="s">
        <v>56</v>
      </c>
      <c r="D6" s="71" t="s">
        <v>166</v>
      </c>
      <c r="E6" s="111" t="s">
        <v>331</v>
      </c>
      <c r="F6" s="111" t="s">
        <v>332</v>
      </c>
      <c r="G6" s="71">
        <v>26476367</v>
      </c>
      <c r="H6" s="71">
        <v>26476367</v>
      </c>
      <c r="I6" s="71">
        <v>2528</v>
      </c>
      <c r="J6" s="71">
        <v>49641</v>
      </c>
      <c r="K6" s="71">
        <v>4823</v>
      </c>
      <c r="L6" s="71">
        <v>4823</v>
      </c>
      <c r="M6" s="71">
        <v>0</v>
      </c>
      <c r="N6" s="71">
        <v>0</v>
      </c>
      <c r="O6" s="71">
        <v>0</v>
      </c>
      <c r="P6" s="71">
        <v>0</v>
      </c>
      <c r="Q6" s="71">
        <v>0</v>
      </c>
      <c r="R6" s="71">
        <v>0</v>
      </c>
      <c r="S6" s="71">
        <v>0</v>
      </c>
      <c r="T6" s="71">
        <v>0</v>
      </c>
      <c r="U6" s="71">
        <v>0</v>
      </c>
      <c r="V6" s="71">
        <v>0</v>
      </c>
      <c r="W6" s="71">
        <v>0</v>
      </c>
      <c r="X6" s="71">
        <v>0</v>
      </c>
      <c r="Y6" s="71">
        <v>0</v>
      </c>
      <c r="Z6" s="71">
        <v>5456555</v>
      </c>
      <c r="AA6" s="71">
        <v>5594420</v>
      </c>
      <c r="AB6" s="71">
        <v>5928553</v>
      </c>
      <c r="AC6" s="71">
        <v>0</v>
      </c>
      <c r="AD6" s="71">
        <v>0</v>
      </c>
      <c r="AE6" s="71">
        <v>0</v>
      </c>
    </row>
    <row r="7" spans="1:33" x14ac:dyDescent="0.25">
      <c r="A7" s="71" t="s">
        <v>79</v>
      </c>
      <c r="B7" s="71" t="s">
        <v>36</v>
      </c>
      <c r="C7" s="106" t="s">
        <v>57</v>
      </c>
      <c r="D7" s="106">
        <v>1</v>
      </c>
      <c r="E7" s="111" t="s">
        <v>333</v>
      </c>
      <c r="F7" s="111" t="s">
        <v>334</v>
      </c>
      <c r="G7" s="71">
        <v>465746779</v>
      </c>
      <c r="H7" s="71">
        <v>425373518</v>
      </c>
      <c r="I7" s="71">
        <v>35223</v>
      </c>
      <c r="J7" s="71">
        <v>213786</v>
      </c>
      <c r="K7" s="71">
        <v>41099</v>
      </c>
      <c r="L7" s="71">
        <v>40556</v>
      </c>
      <c r="M7" s="71">
        <v>4013</v>
      </c>
      <c r="N7" s="71">
        <v>5186</v>
      </c>
      <c r="O7" s="71">
        <v>5197</v>
      </c>
      <c r="P7" s="71">
        <v>0</v>
      </c>
      <c r="Q7" s="71">
        <v>0</v>
      </c>
      <c r="R7" s="71">
        <v>0</v>
      </c>
      <c r="S7" s="71">
        <v>0</v>
      </c>
      <c r="T7" s="71">
        <v>0</v>
      </c>
      <c r="U7" s="71">
        <v>0</v>
      </c>
      <c r="V7" s="71">
        <v>0</v>
      </c>
      <c r="W7" s="71">
        <v>0</v>
      </c>
      <c r="X7" s="71">
        <v>0</v>
      </c>
      <c r="Y7" s="71">
        <v>24181</v>
      </c>
      <c r="Z7" s="71">
        <v>26370764</v>
      </c>
      <c r="AA7" s="71">
        <v>27394841</v>
      </c>
      <c r="AB7" s="71">
        <v>28714154</v>
      </c>
      <c r="AC7" s="71">
        <v>5822314</v>
      </c>
      <c r="AD7" s="71">
        <v>6312133</v>
      </c>
      <c r="AE7" s="71">
        <v>6734158</v>
      </c>
    </row>
    <row r="8" spans="1:33" x14ac:dyDescent="0.25">
      <c r="A8" s="71" t="s">
        <v>80</v>
      </c>
      <c r="B8" s="71" t="s">
        <v>36</v>
      </c>
      <c r="C8" s="71" t="s">
        <v>58</v>
      </c>
      <c r="D8" s="71" t="s">
        <v>166</v>
      </c>
      <c r="E8" s="111" t="s">
        <v>335</v>
      </c>
      <c r="F8" s="111" t="s">
        <v>336</v>
      </c>
      <c r="G8" s="71">
        <v>130027263</v>
      </c>
      <c r="H8" s="71">
        <v>130027263</v>
      </c>
      <c r="I8" s="71">
        <v>191843</v>
      </c>
      <c r="J8" s="71">
        <v>337284</v>
      </c>
      <c r="K8" s="71">
        <v>116573</v>
      </c>
      <c r="L8" s="71">
        <v>116573</v>
      </c>
      <c r="M8" s="71">
        <v>5723</v>
      </c>
      <c r="N8" s="71">
        <v>10717</v>
      </c>
      <c r="O8" s="71">
        <v>659</v>
      </c>
      <c r="P8" s="71">
        <v>0</v>
      </c>
      <c r="Q8" s="71">
        <v>0</v>
      </c>
      <c r="R8" s="71">
        <v>0</v>
      </c>
      <c r="S8" s="71">
        <v>0</v>
      </c>
      <c r="T8" s="71">
        <v>0</v>
      </c>
      <c r="U8" s="71">
        <v>0</v>
      </c>
      <c r="V8" s="71">
        <v>0</v>
      </c>
      <c r="W8" s="71">
        <v>0</v>
      </c>
      <c r="X8" s="71">
        <v>0</v>
      </c>
      <c r="Y8" s="71">
        <v>4141817</v>
      </c>
      <c r="Z8" s="71">
        <v>37013908</v>
      </c>
      <c r="AA8" s="71">
        <v>39116031</v>
      </c>
      <c r="AB8" s="71">
        <v>41183077</v>
      </c>
      <c r="AC8" s="71">
        <v>700000</v>
      </c>
      <c r="AD8" s="71">
        <v>600000</v>
      </c>
      <c r="AE8" s="71">
        <v>625000</v>
      </c>
      <c r="AG8" s="135">
        <v>51</v>
      </c>
    </row>
    <row r="9" spans="1:33" x14ac:dyDescent="0.25">
      <c r="A9" s="71" t="s">
        <v>81</v>
      </c>
      <c r="B9" s="71" t="s">
        <v>36</v>
      </c>
      <c r="C9" s="71" t="s">
        <v>59</v>
      </c>
      <c r="D9" s="71" t="s">
        <v>166</v>
      </c>
      <c r="E9" s="111" t="s">
        <v>337</v>
      </c>
      <c r="F9" s="111" t="s">
        <v>338</v>
      </c>
      <c r="G9" s="71">
        <v>229867040</v>
      </c>
      <c r="H9" s="71">
        <v>229867040</v>
      </c>
      <c r="I9" s="71">
        <v>48772</v>
      </c>
      <c r="J9" s="71">
        <v>76880</v>
      </c>
      <c r="K9" s="71">
        <v>16596</v>
      </c>
      <c r="L9" s="71">
        <v>16596</v>
      </c>
      <c r="M9" s="71">
        <v>0</v>
      </c>
      <c r="N9" s="71">
        <v>0</v>
      </c>
      <c r="O9" s="71">
        <v>0</v>
      </c>
      <c r="P9" s="71">
        <v>0</v>
      </c>
      <c r="Q9" s="71">
        <v>0</v>
      </c>
      <c r="R9" s="71">
        <v>0</v>
      </c>
      <c r="S9" s="71">
        <v>0</v>
      </c>
      <c r="T9" s="71">
        <v>0</v>
      </c>
      <c r="U9" s="71">
        <v>0</v>
      </c>
      <c r="V9" s="71">
        <v>0</v>
      </c>
      <c r="W9" s="71">
        <v>0</v>
      </c>
      <c r="X9" s="71">
        <v>190282</v>
      </c>
      <c r="Y9" s="71">
        <v>501543</v>
      </c>
      <c r="Z9" s="71">
        <v>5513257</v>
      </c>
      <c r="AA9" s="71">
        <v>5237058</v>
      </c>
      <c r="AB9" s="71">
        <v>6083716</v>
      </c>
      <c r="AC9" s="71">
        <v>202173</v>
      </c>
      <c r="AD9" s="71">
        <v>678859</v>
      </c>
      <c r="AE9" s="71">
        <v>370491</v>
      </c>
    </row>
    <row r="10" spans="1:33" x14ac:dyDescent="0.25">
      <c r="A10" s="71" t="s">
        <v>82</v>
      </c>
      <c r="B10" s="71" t="s">
        <v>36</v>
      </c>
      <c r="C10" s="71" t="s">
        <v>60</v>
      </c>
      <c r="D10" s="71" t="s">
        <v>166</v>
      </c>
      <c r="E10" s="111" t="s">
        <v>339</v>
      </c>
      <c r="F10" s="111" t="s">
        <v>340</v>
      </c>
      <c r="G10" s="71">
        <v>200176700</v>
      </c>
      <c r="H10" s="71">
        <v>200176700</v>
      </c>
      <c r="I10" s="71">
        <v>87626</v>
      </c>
      <c r="J10" s="71">
        <v>65223</v>
      </c>
      <c r="K10" s="71">
        <v>27408</v>
      </c>
      <c r="L10" s="71">
        <v>27258</v>
      </c>
      <c r="M10" s="71">
        <v>0</v>
      </c>
      <c r="N10" s="71">
        <v>0</v>
      </c>
      <c r="O10" s="71">
        <v>0</v>
      </c>
      <c r="P10" s="71">
        <v>0</v>
      </c>
      <c r="Q10" s="71">
        <v>0</v>
      </c>
      <c r="R10" s="71">
        <v>0</v>
      </c>
      <c r="S10" s="71">
        <v>0</v>
      </c>
      <c r="T10" s="71">
        <v>0</v>
      </c>
      <c r="U10" s="71">
        <v>0</v>
      </c>
      <c r="V10" s="71">
        <v>0</v>
      </c>
      <c r="W10" s="71">
        <v>0</v>
      </c>
      <c r="X10" s="71">
        <v>0</v>
      </c>
      <c r="Y10" s="71">
        <v>617355</v>
      </c>
      <c r="Z10" s="71">
        <v>6006514</v>
      </c>
      <c r="AA10" s="71">
        <v>6144547</v>
      </c>
      <c r="AB10" s="71">
        <v>6208653</v>
      </c>
      <c r="AC10" s="71">
        <v>707036</v>
      </c>
      <c r="AD10" s="71">
        <v>790547</v>
      </c>
      <c r="AE10" s="71">
        <v>804362</v>
      </c>
    </row>
    <row r="11" spans="1:33" x14ac:dyDescent="0.25">
      <c r="A11" s="71" t="s">
        <v>83</v>
      </c>
      <c r="B11" s="71" t="s">
        <v>36</v>
      </c>
      <c r="C11" s="106" t="s">
        <v>61</v>
      </c>
      <c r="D11" s="106">
        <v>1</v>
      </c>
      <c r="E11" s="111" t="s">
        <v>341</v>
      </c>
      <c r="F11" s="111" t="s">
        <v>342</v>
      </c>
      <c r="G11" s="71">
        <v>86075630</v>
      </c>
      <c r="H11" s="71">
        <v>1169386</v>
      </c>
      <c r="I11" s="71">
        <v>207941</v>
      </c>
      <c r="J11" s="71">
        <v>69909</v>
      </c>
      <c r="K11" s="71">
        <v>24524</v>
      </c>
      <c r="L11" s="71">
        <v>24524</v>
      </c>
      <c r="M11" s="71">
        <v>0</v>
      </c>
      <c r="N11" s="71">
        <v>0</v>
      </c>
      <c r="O11" s="71">
        <v>0</v>
      </c>
      <c r="P11" s="71">
        <v>0</v>
      </c>
      <c r="Q11" s="71">
        <v>0</v>
      </c>
      <c r="R11" s="71">
        <v>0</v>
      </c>
      <c r="S11" s="71">
        <v>0</v>
      </c>
      <c r="T11" s="71">
        <v>0</v>
      </c>
      <c r="U11" s="71">
        <v>0</v>
      </c>
      <c r="V11" s="71">
        <v>0</v>
      </c>
      <c r="W11" s="71">
        <v>0</v>
      </c>
      <c r="X11" s="71">
        <v>0</v>
      </c>
      <c r="Y11" s="71">
        <v>15</v>
      </c>
      <c r="Z11" s="71">
        <v>6831830</v>
      </c>
      <c r="AA11" s="71">
        <v>6724377</v>
      </c>
      <c r="AB11" s="71">
        <v>6978766</v>
      </c>
      <c r="AC11" s="71">
        <v>59998</v>
      </c>
      <c r="AD11" s="71">
        <v>64003</v>
      </c>
      <c r="AE11" s="71">
        <v>65920</v>
      </c>
      <c r="AG11" s="135">
        <v>47220</v>
      </c>
    </row>
    <row r="12" spans="1:33" x14ac:dyDescent="0.25">
      <c r="A12" s="71" t="s">
        <v>371</v>
      </c>
      <c r="B12" s="71" t="s">
        <v>36</v>
      </c>
      <c r="C12" s="111" t="s">
        <v>122</v>
      </c>
      <c r="D12" s="106">
        <v>1</v>
      </c>
      <c r="E12" s="111" t="s">
        <v>343</v>
      </c>
      <c r="F12" s="111" t="s">
        <v>344</v>
      </c>
      <c r="G12" s="71">
        <v>19811153</v>
      </c>
      <c r="H12" s="71">
        <v>12282098</v>
      </c>
      <c r="I12" s="71">
        <v>13194</v>
      </c>
      <c r="J12" s="71">
        <v>65569</v>
      </c>
      <c r="K12" s="71">
        <v>7898</v>
      </c>
      <c r="L12" s="71">
        <v>7898</v>
      </c>
      <c r="M12" s="71">
        <v>129</v>
      </c>
      <c r="N12" s="71">
        <v>0</v>
      </c>
      <c r="O12" s="71">
        <v>0</v>
      </c>
      <c r="P12" s="71">
        <v>0</v>
      </c>
      <c r="Q12" s="71">
        <v>0</v>
      </c>
      <c r="R12" s="71">
        <v>0</v>
      </c>
      <c r="S12" s="71">
        <v>0</v>
      </c>
      <c r="T12" s="71">
        <v>0</v>
      </c>
      <c r="U12" s="71">
        <v>0</v>
      </c>
      <c r="V12" s="71">
        <v>0</v>
      </c>
      <c r="W12" s="71">
        <v>0</v>
      </c>
      <c r="X12" s="71">
        <v>0</v>
      </c>
      <c r="Y12" s="71">
        <v>0</v>
      </c>
      <c r="Z12" s="71">
        <v>3842381</v>
      </c>
      <c r="AA12" s="71">
        <v>3977216</v>
      </c>
      <c r="AB12" s="71">
        <v>4135266</v>
      </c>
      <c r="AC12" s="71">
        <v>0</v>
      </c>
      <c r="AD12" s="71">
        <v>0</v>
      </c>
      <c r="AE12" s="71">
        <v>0</v>
      </c>
    </row>
    <row r="13" spans="1:33" x14ac:dyDescent="0.25">
      <c r="A13" s="71" t="s">
        <v>84</v>
      </c>
      <c r="B13" s="71" t="s">
        <v>36</v>
      </c>
      <c r="C13" s="106" t="s">
        <v>62</v>
      </c>
      <c r="D13" s="106">
        <v>1</v>
      </c>
      <c r="E13" s="111" t="s">
        <v>345</v>
      </c>
      <c r="F13" s="111" t="s">
        <v>346</v>
      </c>
      <c r="G13" s="71">
        <v>148009521</v>
      </c>
      <c r="H13" s="71">
        <v>147404009</v>
      </c>
      <c r="I13" s="71">
        <v>85471</v>
      </c>
      <c r="J13" s="71">
        <v>46215</v>
      </c>
      <c r="K13" s="71">
        <v>19071</v>
      </c>
      <c r="L13" s="71">
        <v>18317</v>
      </c>
      <c r="M13" s="71">
        <v>0</v>
      </c>
      <c r="N13" s="71">
        <v>0</v>
      </c>
      <c r="O13" s="71">
        <v>0</v>
      </c>
      <c r="P13" s="71">
        <v>0</v>
      </c>
      <c r="Q13" s="71">
        <v>0</v>
      </c>
      <c r="R13" s="71">
        <v>0</v>
      </c>
      <c r="S13" s="71">
        <v>0</v>
      </c>
      <c r="T13" s="71">
        <v>0</v>
      </c>
      <c r="U13" s="71">
        <v>0</v>
      </c>
      <c r="V13" s="71">
        <v>0</v>
      </c>
      <c r="W13" s="71">
        <v>0</v>
      </c>
      <c r="X13" s="71">
        <v>0</v>
      </c>
      <c r="Y13" s="71">
        <v>0</v>
      </c>
      <c r="Z13" s="71">
        <v>4511812</v>
      </c>
      <c r="AA13" s="71">
        <v>4469527</v>
      </c>
      <c r="AB13" s="71">
        <v>4815463</v>
      </c>
      <c r="AC13" s="71">
        <v>681989</v>
      </c>
      <c r="AD13" s="71">
        <v>802027</v>
      </c>
      <c r="AE13" s="71">
        <v>761999</v>
      </c>
    </row>
    <row r="14" spans="1:33" x14ac:dyDescent="0.25">
      <c r="A14" s="71" t="s">
        <v>85</v>
      </c>
      <c r="B14" s="71" t="s">
        <v>36</v>
      </c>
      <c r="C14" s="71" t="s">
        <v>63</v>
      </c>
      <c r="D14" s="71" t="s">
        <v>166</v>
      </c>
      <c r="E14" s="111" t="s">
        <v>347</v>
      </c>
      <c r="F14" s="111" t="s">
        <v>348</v>
      </c>
      <c r="G14" s="71">
        <v>57935173</v>
      </c>
      <c r="H14" s="71">
        <v>57935173</v>
      </c>
      <c r="I14" s="71">
        <v>114306</v>
      </c>
      <c r="J14" s="71">
        <v>44920</v>
      </c>
      <c r="K14" s="71">
        <v>8441</v>
      </c>
      <c r="L14" s="71">
        <v>8259</v>
      </c>
      <c r="M14" s="71">
        <v>586</v>
      </c>
      <c r="N14" s="71">
        <v>0</v>
      </c>
      <c r="O14" s="71">
        <v>0</v>
      </c>
      <c r="P14" s="71">
        <v>0</v>
      </c>
      <c r="Q14" s="71">
        <v>0</v>
      </c>
      <c r="R14" s="71">
        <v>0</v>
      </c>
      <c r="S14" s="71">
        <v>0</v>
      </c>
      <c r="T14" s="71">
        <v>0</v>
      </c>
      <c r="U14" s="71">
        <v>0</v>
      </c>
      <c r="V14" s="71">
        <v>0</v>
      </c>
      <c r="W14" s="71">
        <v>0</v>
      </c>
      <c r="X14" s="71">
        <v>0</v>
      </c>
      <c r="Y14" s="71">
        <v>2</v>
      </c>
      <c r="Z14" s="71">
        <v>8613740</v>
      </c>
      <c r="AA14" s="71">
        <v>9158380</v>
      </c>
      <c r="AB14" s="71">
        <v>9090046</v>
      </c>
      <c r="AC14" s="71">
        <v>1870127</v>
      </c>
      <c r="AD14" s="71">
        <v>1802093</v>
      </c>
      <c r="AE14" s="71">
        <v>2492563</v>
      </c>
    </row>
    <row r="15" spans="1:33" x14ac:dyDescent="0.25">
      <c r="A15" s="71" t="s">
        <v>86</v>
      </c>
      <c r="B15" s="71" t="s">
        <v>36</v>
      </c>
      <c r="C15" s="71" t="s">
        <v>64</v>
      </c>
      <c r="D15" s="71" t="s">
        <v>166</v>
      </c>
      <c r="E15" s="111" t="s">
        <v>349</v>
      </c>
      <c r="F15" s="111" t="s">
        <v>350</v>
      </c>
      <c r="G15" s="71">
        <v>34875363</v>
      </c>
      <c r="H15" s="71">
        <v>34875363</v>
      </c>
      <c r="I15" s="71">
        <v>44618</v>
      </c>
      <c r="J15" s="71">
        <v>69247</v>
      </c>
      <c r="K15" s="71">
        <v>6703</v>
      </c>
      <c r="L15" s="71">
        <v>6624</v>
      </c>
      <c r="M15" s="71">
        <v>0</v>
      </c>
      <c r="N15" s="71">
        <v>0</v>
      </c>
      <c r="O15" s="71">
        <v>0</v>
      </c>
      <c r="P15" s="71">
        <v>0</v>
      </c>
      <c r="Q15" s="71">
        <v>0</v>
      </c>
      <c r="R15" s="71">
        <v>0</v>
      </c>
      <c r="S15" s="71">
        <v>0</v>
      </c>
      <c r="T15" s="71">
        <v>0</v>
      </c>
      <c r="U15" s="71">
        <v>0</v>
      </c>
      <c r="V15" s="71">
        <v>0</v>
      </c>
      <c r="W15" s="71">
        <v>0</v>
      </c>
      <c r="X15" s="71">
        <v>0</v>
      </c>
      <c r="Y15" s="71">
        <v>0</v>
      </c>
      <c r="Z15" s="71">
        <v>5710367</v>
      </c>
      <c r="AA15" s="71">
        <v>6168952</v>
      </c>
      <c r="AB15" s="71">
        <v>6588594</v>
      </c>
      <c r="AC15" s="71">
        <v>472743</v>
      </c>
      <c r="AD15" s="71">
        <v>434892</v>
      </c>
      <c r="AE15" s="71">
        <v>350000</v>
      </c>
    </row>
    <row r="16" spans="1:33" x14ac:dyDescent="0.25">
      <c r="A16" s="71" t="s">
        <v>87</v>
      </c>
      <c r="B16" s="71" t="s">
        <v>36</v>
      </c>
      <c r="C16" s="106" t="s">
        <v>65</v>
      </c>
      <c r="D16" s="106">
        <v>1</v>
      </c>
      <c r="E16" s="111" t="s">
        <v>351</v>
      </c>
      <c r="F16" s="111" t="s">
        <v>352</v>
      </c>
      <c r="G16" s="71">
        <v>43455059</v>
      </c>
      <c r="H16" s="71">
        <v>22454551</v>
      </c>
      <c r="I16" s="71">
        <v>56559</v>
      </c>
      <c r="J16" s="71">
        <v>45651</v>
      </c>
      <c r="K16" s="71">
        <v>5673</v>
      </c>
      <c r="L16" s="71">
        <v>5673</v>
      </c>
      <c r="M16" s="71">
        <v>0</v>
      </c>
      <c r="N16" s="71">
        <v>0</v>
      </c>
      <c r="O16" s="71">
        <v>0</v>
      </c>
      <c r="P16" s="71">
        <v>0</v>
      </c>
      <c r="Q16" s="71">
        <v>0</v>
      </c>
      <c r="R16" s="71">
        <v>0</v>
      </c>
      <c r="S16" s="71">
        <v>0</v>
      </c>
      <c r="T16" s="71">
        <v>0</v>
      </c>
      <c r="U16" s="71">
        <v>0</v>
      </c>
      <c r="V16" s="71">
        <v>0</v>
      </c>
      <c r="W16" s="71">
        <v>0</v>
      </c>
      <c r="X16" s="71">
        <v>0</v>
      </c>
      <c r="Y16" s="71">
        <v>0</v>
      </c>
      <c r="Z16" s="71">
        <v>3618453</v>
      </c>
      <c r="AA16" s="71">
        <v>3054634</v>
      </c>
      <c r="AB16" s="71">
        <v>3831942</v>
      </c>
      <c r="AC16" s="71">
        <v>112781</v>
      </c>
      <c r="AD16" s="71">
        <v>816923</v>
      </c>
      <c r="AE16" s="71">
        <v>194705</v>
      </c>
    </row>
    <row r="17" spans="1:33" x14ac:dyDescent="0.25">
      <c r="A17" s="71" t="s">
        <v>88</v>
      </c>
      <c r="B17" s="71" t="s">
        <v>36</v>
      </c>
      <c r="C17" s="71" t="s">
        <v>66</v>
      </c>
      <c r="D17" s="71" t="s">
        <v>166</v>
      </c>
      <c r="E17" s="111" t="s">
        <v>353</v>
      </c>
      <c r="F17" s="111" t="s">
        <v>354</v>
      </c>
      <c r="G17" s="71">
        <v>107453853</v>
      </c>
      <c r="H17" s="71">
        <v>107453853</v>
      </c>
      <c r="I17" s="71">
        <v>148557</v>
      </c>
      <c r="J17" s="71">
        <v>66213</v>
      </c>
      <c r="K17" s="71">
        <v>18735</v>
      </c>
      <c r="L17" s="71">
        <v>18735</v>
      </c>
      <c r="M17" s="71">
        <v>0</v>
      </c>
      <c r="N17" s="71">
        <v>0</v>
      </c>
      <c r="O17" s="71">
        <v>0</v>
      </c>
      <c r="P17" s="71">
        <v>0</v>
      </c>
      <c r="Q17" s="71">
        <v>0</v>
      </c>
      <c r="R17" s="71">
        <v>0</v>
      </c>
      <c r="S17" s="71">
        <v>0</v>
      </c>
      <c r="T17" s="71">
        <v>0</v>
      </c>
      <c r="U17" s="71">
        <v>0</v>
      </c>
      <c r="V17" s="71">
        <v>0</v>
      </c>
      <c r="W17" s="71">
        <v>0</v>
      </c>
      <c r="X17" s="71">
        <v>0</v>
      </c>
      <c r="Y17" s="71">
        <v>228830</v>
      </c>
      <c r="Z17" s="71">
        <v>7716319</v>
      </c>
      <c r="AA17" s="71">
        <v>7539312</v>
      </c>
      <c r="AB17" s="71">
        <v>7760547</v>
      </c>
      <c r="AC17" s="71">
        <v>552826</v>
      </c>
      <c r="AD17" s="71">
        <v>935000</v>
      </c>
      <c r="AE17" s="71">
        <v>975000</v>
      </c>
    </row>
    <row r="18" spans="1:33" x14ac:dyDescent="0.25">
      <c r="A18" s="71" t="s">
        <v>89</v>
      </c>
      <c r="B18" s="71" t="s">
        <v>36</v>
      </c>
      <c r="C18" s="71" t="s">
        <v>67</v>
      </c>
      <c r="D18" s="71" t="s">
        <v>166</v>
      </c>
      <c r="E18" s="111" t="s">
        <v>355</v>
      </c>
      <c r="F18" s="111" t="s">
        <v>356</v>
      </c>
      <c r="G18" s="71">
        <v>47492359</v>
      </c>
      <c r="H18" s="71">
        <v>47492359</v>
      </c>
      <c r="I18" s="71">
        <v>168291</v>
      </c>
      <c r="J18" s="71">
        <v>114412</v>
      </c>
      <c r="K18" s="71">
        <v>40154</v>
      </c>
      <c r="L18" s="71">
        <v>38737</v>
      </c>
      <c r="M18" s="71">
        <v>0</v>
      </c>
      <c r="N18" s="71">
        <v>0</v>
      </c>
      <c r="O18" s="71">
        <v>0</v>
      </c>
      <c r="P18" s="71">
        <v>0</v>
      </c>
      <c r="Q18" s="71">
        <v>0</v>
      </c>
      <c r="R18" s="71">
        <v>0</v>
      </c>
      <c r="S18" s="71">
        <v>0</v>
      </c>
      <c r="T18" s="71">
        <v>0</v>
      </c>
      <c r="U18" s="71">
        <v>0</v>
      </c>
      <c r="V18" s="71">
        <v>0</v>
      </c>
      <c r="W18" s="71">
        <v>231401</v>
      </c>
      <c r="X18" s="71">
        <v>0</v>
      </c>
      <c r="Y18" s="71">
        <v>0</v>
      </c>
      <c r="Z18" s="71">
        <v>13365027</v>
      </c>
      <c r="AA18" s="71">
        <v>14166802</v>
      </c>
      <c r="AB18" s="71">
        <v>14363500</v>
      </c>
      <c r="AC18" s="71">
        <v>1348553</v>
      </c>
      <c r="AD18" s="71">
        <v>1516543</v>
      </c>
      <c r="AE18" s="71">
        <v>1851524</v>
      </c>
      <c r="AG18" s="135">
        <f>12474+1953</f>
        <v>14427</v>
      </c>
    </row>
    <row r="19" spans="1:33" x14ac:dyDescent="0.25">
      <c r="A19" s="71" t="s">
        <v>95</v>
      </c>
      <c r="B19" s="71" t="s">
        <v>36</v>
      </c>
      <c r="C19" s="106" t="s">
        <v>68</v>
      </c>
      <c r="D19" s="106">
        <v>1</v>
      </c>
      <c r="E19" s="111" t="s">
        <v>357</v>
      </c>
      <c r="F19" s="111" t="s">
        <v>358</v>
      </c>
      <c r="G19" s="71">
        <v>102792643</v>
      </c>
      <c r="H19" s="71">
        <v>101240627</v>
      </c>
      <c r="I19" s="71">
        <v>74040</v>
      </c>
      <c r="J19" s="71">
        <v>171918</v>
      </c>
      <c r="K19" s="71">
        <v>66713</v>
      </c>
      <c r="L19" s="71">
        <v>66445</v>
      </c>
      <c r="M19" s="71">
        <v>4175</v>
      </c>
      <c r="N19" s="71">
        <v>4925</v>
      </c>
      <c r="O19" s="71">
        <v>6487</v>
      </c>
      <c r="P19" s="71">
        <v>0</v>
      </c>
      <c r="Q19" s="71">
        <v>0</v>
      </c>
      <c r="R19" s="71">
        <v>0</v>
      </c>
      <c r="S19" s="71">
        <v>0</v>
      </c>
      <c r="T19" s="71">
        <v>0</v>
      </c>
      <c r="U19" s="71">
        <v>0</v>
      </c>
      <c r="V19" s="71">
        <v>0</v>
      </c>
      <c r="W19" s="71">
        <v>0</v>
      </c>
      <c r="X19" s="71">
        <v>0</v>
      </c>
      <c r="Y19" s="71">
        <v>1379515</v>
      </c>
      <c r="Z19" s="71">
        <v>19002263</v>
      </c>
      <c r="AA19" s="71">
        <v>19996522</v>
      </c>
      <c r="AB19" s="71">
        <v>20354307</v>
      </c>
      <c r="AC19" s="71">
        <v>506050</v>
      </c>
      <c r="AD19" s="71">
        <v>50000</v>
      </c>
      <c r="AE19" s="71">
        <v>600000</v>
      </c>
    </row>
    <row r="20" spans="1:33" x14ac:dyDescent="0.25">
      <c r="A20" s="71" t="s">
        <v>90</v>
      </c>
      <c r="B20" s="71" t="s">
        <v>36</v>
      </c>
      <c r="C20" s="106" t="s">
        <v>69</v>
      </c>
      <c r="D20" s="106">
        <v>1</v>
      </c>
      <c r="E20" s="111" t="s">
        <v>359</v>
      </c>
      <c r="F20" s="111" t="s">
        <v>360</v>
      </c>
      <c r="G20" s="71">
        <v>155291526</v>
      </c>
      <c r="H20" s="71">
        <v>102439459</v>
      </c>
      <c r="I20" s="71">
        <v>134304</v>
      </c>
      <c r="J20" s="71">
        <v>33020</v>
      </c>
      <c r="K20" s="71">
        <v>8407</v>
      </c>
      <c r="L20" s="71">
        <v>8407</v>
      </c>
      <c r="M20" s="71">
        <v>0</v>
      </c>
      <c r="N20" s="71">
        <v>0</v>
      </c>
      <c r="O20" s="71">
        <v>0</v>
      </c>
      <c r="P20" s="71">
        <f>20729+9843</f>
        <v>30572</v>
      </c>
      <c r="Q20" s="71">
        <v>0</v>
      </c>
      <c r="R20" s="71">
        <v>97447</v>
      </c>
      <c r="S20" s="71">
        <v>0</v>
      </c>
      <c r="T20" s="71">
        <v>0</v>
      </c>
      <c r="U20" s="71">
        <v>0</v>
      </c>
      <c r="V20" s="71">
        <v>0</v>
      </c>
      <c r="W20" s="71">
        <v>0</v>
      </c>
      <c r="X20" s="71">
        <v>0</v>
      </c>
      <c r="Y20" s="71">
        <v>535</v>
      </c>
      <c r="Z20" s="71">
        <v>3427049</v>
      </c>
      <c r="AA20" s="71">
        <v>3372550</v>
      </c>
      <c r="AB20" s="71">
        <v>3760511</v>
      </c>
      <c r="AC20" s="71">
        <v>0</v>
      </c>
      <c r="AD20" s="71">
        <v>262859</v>
      </c>
      <c r="AE20" s="71">
        <v>0</v>
      </c>
    </row>
    <row r="21" spans="1:33" x14ac:dyDescent="0.25">
      <c r="A21" s="71" t="s">
        <v>91</v>
      </c>
      <c r="B21" s="71" t="s">
        <v>36</v>
      </c>
      <c r="C21" s="106" t="s">
        <v>70</v>
      </c>
      <c r="D21" s="106">
        <v>1</v>
      </c>
      <c r="E21" s="111" t="s">
        <v>361</v>
      </c>
      <c r="F21" s="111" t="s">
        <v>362</v>
      </c>
      <c r="G21" s="71">
        <v>249020187</v>
      </c>
      <c r="H21" s="71">
        <v>204746354</v>
      </c>
      <c r="I21" s="71">
        <v>85382</v>
      </c>
      <c r="J21" s="71">
        <v>86481</v>
      </c>
      <c r="K21" s="71">
        <v>18847</v>
      </c>
      <c r="L21" s="71">
        <v>18762</v>
      </c>
      <c r="M21" s="71">
        <v>0</v>
      </c>
      <c r="N21" s="71">
        <v>0</v>
      </c>
      <c r="O21" s="71">
        <v>0</v>
      </c>
      <c r="P21" s="71">
        <v>0</v>
      </c>
      <c r="Q21" s="71">
        <v>0</v>
      </c>
      <c r="R21" s="71">
        <v>0</v>
      </c>
      <c r="S21" s="71">
        <v>0</v>
      </c>
      <c r="T21" s="71">
        <v>0</v>
      </c>
      <c r="U21" s="71">
        <v>0</v>
      </c>
      <c r="V21" s="71">
        <v>0</v>
      </c>
      <c r="W21" s="71">
        <v>0</v>
      </c>
      <c r="X21" s="71">
        <v>0</v>
      </c>
      <c r="Y21" s="71">
        <v>797238</v>
      </c>
      <c r="Z21" s="71">
        <v>7146122</v>
      </c>
      <c r="AA21" s="71">
        <v>7209503</v>
      </c>
      <c r="AB21" s="71">
        <v>7806118.1899999995</v>
      </c>
      <c r="AC21" s="71">
        <v>140000</v>
      </c>
      <c r="AD21" s="71">
        <v>398596</v>
      </c>
      <c r="AE21" s="71">
        <v>264917</v>
      </c>
    </row>
    <row r="22" spans="1:33" x14ac:dyDescent="0.25">
      <c r="A22" s="71" t="s">
        <v>372</v>
      </c>
      <c r="B22" s="71" t="s">
        <v>36</v>
      </c>
      <c r="C22" s="106" t="s">
        <v>123</v>
      </c>
      <c r="D22" s="106">
        <v>1</v>
      </c>
      <c r="E22" s="111" t="s">
        <v>363</v>
      </c>
      <c r="F22" s="111" t="s">
        <v>364</v>
      </c>
      <c r="G22" s="71">
        <v>105402884</v>
      </c>
      <c r="H22" s="111">
        <v>104978852</v>
      </c>
      <c r="I22" s="71">
        <v>819</v>
      </c>
      <c r="J22" s="71">
        <v>69398</v>
      </c>
      <c r="K22" s="71">
        <v>13307</v>
      </c>
      <c r="L22" s="71">
        <v>13307</v>
      </c>
      <c r="M22" s="71">
        <v>4045</v>
      </c>
      <c r="N22" s="71">
        <v>995.24</v>
      </c>
      <c r="O22" s="71">
        <v>0</v>
      </c>
      <c r="P22" s="71">
        <v>0</v>
      </c>
      <c r="Q22" s="71">
        <v>0</v>
      </c>
      <c r="R22" s="71">
        <v>0</v>
      </c>
      <c r="S22" s="71">
        <v>0</v>
      </c>
      <c r="T22" s="71">
        <v>0</v>
      </c>
      <c r="U22" s="71">
        <v>0</v>
      </c>
      <c r="V22" s="71">
        <v>0</v>
      </c>
      <c r="W22" s="71">
        <v>0</v>
      </c>
      <c r="X22" s="71">
        <v>0</v>
      </c>
      <c r="Y22" s="71">
        <v>510382</v>
      </c>
      <c r="Z22" s="71">
        <v>5183691</v>
      </c>
      <c r="AA22" s="71">
        <v>5274331</v>
      </c>
      <c r="AB22" s="71">
        <v>5449200</v>
      </c>
      <c r="AC22" s="71">
        <v>0</v>
      </c>
      <c r="AD22" s="71">
        <v>0</v>
      </c>
      <c r="AE22" s="71">
        <v>0</v>
      </c>
    </row>
    <row r="23" spans="1:33" x14ac:dyDescent="0.25">
      <c r="A23" s="71" t="s">
        <v>92</v>
      </c>
      <c r="B23" s="71" t="s">
        <v>36</v>
      </c>
      <c r="C23" s="71" t="s">
        <v>71</v>
      </c>
      <c r="D23" s="71" t="s">
        <v>166</v>
      </c>
      <c r="E23" s="111" t="s">
        <v>365</v>
      </c>
      <c r="F23" s="111" t="s">
        <v>366</v>
      </c>
      <c r="G23" s="71">
        <v>16813658</v>
      </c>
      <c r="H23" s="71">
        <v>16813658</v>
      </c>
      <c r="I23" s="71">
        <v>24943</v>
      </c>
      <c r="J23" s="71">
        <v>26933</v>
      </c>
      <c r="K23" s="71">
        <v>2733</v>
      </c>
      <c r="L23" s="71">
        <v>2683</v>
      </c>
      <c r="M23" s="71">
        <v>0</v>
      </c>
      <c r="N23" s="71">
        <v>187</v>
      </c>
      <c r="O23" s="71">
        <v>0</v>
      </c>
      <c r="P23" s="71">
        <v>0</v>
      </c>
      <c r="Q23" s="71">
        <v>0</v>
      </c>
      <c r="R23" s="71">
        <v>0</v>
      </c>
      <c r="S23" s="71">
        <v>0</v>
      </c>
      <c r="T23" s="71">
        <v>0</v>
      </c>
      <c r="U23" s="71">
        <v>0</v>
      </c>
      <c r="V23" s="71">
        <v>0</v>
      </c>
      <c r="W23" s="71">
        <v>0</v>
      </c>
      <c r="X23" s="71">
        <v>0</v>
      </c>
      <c r="Y23" s="71">
        <v>0</v>
      </c>
      <c r="Z23" s="71">
        <v>5314720</v>
      </c>
      <c r="AA23" s="71">
        <v>6068796</v>
      </c>
      <c r="AB23" s="71">
        <v>6483981</v>
      </c>
      <c r="AC23" s="71">
        <v>406055</v>
      </c>
      <c r="AD23" s="71">
        <v>0</v>
      </c>
      <c r="AE23" s="71">
        <v>0</v>
      </c>
    </row>
    <row r="24" spans="1:33" x14ac:dyDescent="0.25">
      <c r="A24" s="71" t="s">
        <v>93</v>
      </c>
      <c r="B24" s="71" t="s">
        <v>36</v>
      </c>
      <c r="C24" s="71" t="s">
        <v>72</v>
      </c>
      <c r="D24" s="71" t="s">
        <v>166</v>
      </c>
      <c r="E24" s="111" t="s">
        <v>367</v>
      </c>
      <c r="F24" s="111" t="s">
        <v>368</v>
      </c>
      <c r="G24" s="71">
        <v>60098224</v>
      </c>
      <c r="H24" s="71">
        <v>60098224</v>
      </c>
      <c r="I24" s="71">
        <v>3486</v>
      </c>
      <c r="J24" s="71">
        <v>25777</v>
      </c>
      <c r="K24" s="71">
        <v>4009</v>
      </c>
      <c r="L24" s="71">
        <v>4009</v>
      </c>
      <c r="M24" s="71">
        <v>0</v>
      </c>
      <c r="N24" s="71">
        <v>0</v>
      </c>
      <c r="O24" s="71">
        <v>0</v>
      </c>
      <c r="P24" s="71">
        <v>0</v>
      </c>
      <c r="Q24" s="71">
        <v>0</v>
      </c>
      <c r="R24" s="71">
        <v>0</v>
      </c>
      <c r="S24" s="71">
        <v>0</v>
      </c>
      <c r="T24" s="71">
        <v>0</v>
      </c>
      <c r="U24" s="71">
        <v>0</v>
      </c>
      <c r="V24" s="71">
        <v>0</v>
      </c>
      <c r="W24" s="71">
        <v>0</v>
      </c>
      <c r="X24" s="71">
        <v>0</v>
      </c>
      <c r="Y24" s="71">
        <v>0</v>
      </c>
      <c r="Z24" s="71">
        <v>9077757</v>
      </c>
      <c r="AA24" s="71">
        <v>9516865</v>
      </c>
      <c r="AB24" s="71">
        <v>10005706</v>
      </c>
      <c r="AC24" s="71">
        <v>0</v>
      </c>
      <c r="AD24" s="71">
        <v>0</v>
      </c>
      <c r="AE24" s="71">
        <v>0</v>
      </c>
      <c r="AG24" s="135">
        <v>0</v>
      </c>
    </row>
    <row r="25" spans="1:33" x14ac:dyDescent="0.25">
      <c r="A25" s="71" t="s">
        <v>94</v>
      </c>
      <c r="B25" s="71" t="s">
        <v>36</v>
      </c>
      <c r="C25" s="106" t="s">
        <v>73</v>
      </c>
      <c r="D25" s="106">
        <v>1</v>
      </c>
      <c r="E25" s="111" t="s">
        <v>369</v>
      </c>
      <c r="F25" s="111" t="s">
        <v>370</v>
      </c>
      <c r="G25" s="71">
        <v>314725032</v>
      </c>
      <c r="H25" s="71">
        <v>257181274</v>
      </c>
      <c r="I25" s="71">
        <v>83948</v>
      </c>
      <c r="J25" s="71">
        <v>50663</v>
      </c>
      <c r="K25" s="71">
        <v>22486</v>
      </c>
      <c r="L25" s="71">
        <v>22047</v>
      </c>
      <c r="M25" s="71">
        <v>0</v>
      </c>
      <c r="N25" s="71">
        <v>164</v>
      </c>
      <c r="O25" s="71">
        <v>309</v>
      </c>
      <c r="P25" s="71">
        <v>0</v>
      </c>
      <c r="Q25" s="71">
        <v>0</v>
      </c>
      <c r="R25" s="71">
        <v>0</v>
      </c>
      <c r="S25" s="71">
        <v>0</v>
      </c>
      <c r="T25" s="71">
        <v>0</v>
      </c>
      <c r="U25" s="71">
        <v>0</v>
      </c>
      <c r="V25" s="71">
        <v>0</v>
      </c>
      <c r="W25" s="71">
        <v>0</v>
      </c>
      <c r="X25" s="71">
        <v>0</v>
      </c>
      <c r="Y25" s="71">
        <v>80911</v>
      </c>
      <c r="Z25" s="71">
        <v>5195692</v>
      </c>
      <c r="AA25" s="71">
        <v>5241123</v>
      </c>
      <c r="AB25" s="71">
        <v>5677372</v>
      </c>
      <c r="AC25" s="71">
        <v>870213</v>
      </c>
      <c r="AD25" s="71">
        <v>1044913</v>
      </c>
      <c r="AE25" s="71">
        <v>851129</v>
      </c>
    </row>
  </sheetData>
  <sheetProtection algorithmName="SHA-512" hashValue="utefRePeaVrlzvhX69XGPPWkbW0eQUmz2B9MBBwbaPayd16CF/zXkp/MVdsS+C8bA3UgWb9TKPQ8eSbUZRMe0g==" saltValue="tDUDaZduGxzeQ7pzaUYiiA==" spinCount="100000" sheet="1" objects="1" scenarios="1"/>
  <autoFilter ref="A1:H1334" xr:uid="{F57656D4-A6B9-4F47-88C2-9CE533ADDF95}"/>
  <sortState xmlns:xlrd2="http://schemas.microsoft.com/office/spreadsheetml/2017/richdata2" ref="A2:I1046168">
    <sortCondition ref="C2:C1046168"/>
  </sortState>
  <phoneticPr fontId="20" type="noConversion"/>
  <conditionalFormatting sqref="L2:L25">
    <cfRule type="cellIs" dxfId="65" priority="1" operator="notEqual">
      <formula>$K2</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AB07-0002-4652-BEC4-C501BB633211}">
  <sheetPr codeName="Sheet1"/>
  <dimension ref="A3:C26"/>
  <sheetViews>
    <sheetView workbookViewId="0">
      <selection activeCell="C7" sqref="C7:C12"/>
    </sheetView>
  </sheetViews>
  <sheetFormatPr defaultRowHeight="15.75" x14ac:dyDescent="0.25"/>
  <cols>
    <col min="1" max="1" width="18.25" bestFit="1" customWidth="1"/>
  </cols>
  <sheetData>
    <row r="3" spans="1:3" x14ac:dyDescent="0.25">
      <c r="A3" s="71" t="s">
        <v>52</v>
      </c>
      <c r="C3" t="s">
        <v>190</v>
      </c>
    </row>
    <row r="4" spans="1:3" x14ac:dyDescent="0.25">
      <c r="A4" s="71" t="s">
        <v>53</v>
      </c>
      <c r="C4" t="s">
        <v>189</v>
      </c>
    </row>
    <row r="5" spans="1:3" x14ac:dyDescent="0.25">
      <c r="A5" s="71" t="s">
        <v>54</v>
      </c>
    </row>
    <row r="6" spans="1:3" x14ac:dyDescent="0.25">
      <c r="A6" s="71" t="s">
        <v>55</v>
      </c>
    </row>
    <row r="7" spans="1:3" x14ac:dyDescent="0.25">
      <c r="A7" s="71" t="s">
        <v>56</v>
      </c>
      <c r="C7" t="s">
        <v>314</v>
      </c>
    </row>
    <row r="8" spans="1:3" x14ac:dyDescent="0.25">
      <c r="A8" s="71" t="s">
        <v>57</v>
      </c>
    </row>
    <row r="9" spans="1:3" x14ac:dyDescent="0.25">
      <c r="A9" s="71" t="s">
        <v>58</v>
      </c>
      <c r="C9" t="s">
        <v>315</v>
      </c>
    </row>
    <row r="10" spans="1:3" x14ac:dyDescent="0.25">
      <c r="A10" s="71" t="s">
        <v>59</v>
      </c>
      <c r="C10" t="s">
        <v>316</v>
      </c>
    </row>
    <row r="11" spans="1:3" x14ac:dyDescent="0.25">
      <c r="A11" s="71" t="s">
        <v>60</v>
      </c>
      <c r="C11" t="s">
        <v>317</v>
      </c>
    </row>
    <row r="12" spans="1:3" x14ac:dyDescent="0.25">
      <c r="A12" s="71" t="s">
        <v>61</v>
      </c>
      <c r="C12" t="s">
        <v>318</v>
      </c>
    </row>
    <row r="13" spans="1:3" x14ac:dyDescent="0.25">
      <c r="A13" s="71" t="s">
        <v>122</v>
      </c>
    </row>
    <row r="14" spans="1:3" x14ac:dyDescent="0.25">
      <c r="A14" s="71" t="s">
        <v>62</v>
      </c>
    </row>
    <row r="15" spans="1:3" x14ac:dyDescent="0.25">
      <c r="A15" s="71" t="s">
        <v>63</v>
      </c>
    </row>
    <row r="16" spans="1:3" x14ac:dyDescent="0.25">
      <c r="A16" s="71" t="s">
        <v>64</v>
      </c>
    </row>
    <row r="17" spans="1:1" x14ac:dyDescent="0.25">
      <c r="A17" s="71" t="s">
        <v>65</v>
      </c>
    </row>
    <row r="18" spans="1:1" x14ac:dyDescent="0.25">
      <c r="A18" s="71" t="s">
        <v>66</v>
      </c>
    </row>
    <row r="19" spans="1:1" x14ac:dyDescent="0.25">
      <c r="A19" s="71" t="s">
        <v>67</v>
      </c>
    </row>
    <row r="20" spans="1:1" x14ac:dyDescent="0.25">
      <c r="A20" s="71" t="s">
        <v>68</v>
      </c>
    </row>
    <row r="21" spans="1:1" x14ac:dyDescent="0.25">
      <c r="A21" s="71" t="s">
        <v>69</v>
      </c>
    </row>
    <row r="22" spans="1:1" x14ac:dyDescent="0.25">
      <c r="A22" s="71" t="s">
        <v>70</v>
      </c>
    </row>
    <row r="23" spans="1:1" x14ac:dyDescent="0.25">
      <c r="A23" s="71" t="s">
        <v>123</v>
      </c>
    </row>
    <row r="24" spans="1:1" x14ac:dyDescent="0.25">
      <c r="A24" s="71" t="s">
        <v>71</v>
      </c>
    </row>
    <row r="25" spans="1:1" x14ac:dyDescent="0.25">
      <c r="A25" s="71" t="s">
        <v>72</v>
      </c>
    </row>
    <row r="26" spans="1:1" x14ac:dyDescent="0.25">
      <c r="A26" s="71" t="s">
        <v>73</v>
      </c>
    </row>
  </sheetData>
  <sheetProtection algorithmName="SHA-512" hashValue="B5nHYzIk7yZBPX6hhVT5c5h46QhBBRbxh44TEiuQSrdMrTSpzA/m8YnO/ODJvmc5arUTKbkbritef+57TNNG+Q==" saltValue="PchgJ79qJb/9hx+HCDvFI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74B1-757F-4FDE-8456-87808BC22E54}">
  <sheetPr>
    <tabColor rgb="FFFF0000"/>
    <pageSetUpPr fitToPage="1"/>
  </sheetPr>
  <dimension ref="B1:S16"/>
  <sheetViews>
    <sheetView showGridLines="0" tabSelected="1" workbookViewId="0"/>
  </sheetViews>
  <sheetFormatPr defaultRowHeight="15.75" x14ac:dyDescent="0.25"/>
  <cols>
    <col min="1" max="1" width="5.75" customWidth="1"/>
    <col min="3" max="3" width="13.375" customWidth="1"/>
    <col min="8" max="8" width="11.75" customWidth="1"/>
  </cols>
  <sheetData>
    <row r="1" spans="2:19" ht="16.5" thickBot="1" x14ac:dyDescent="0.3"/>
    <row r="2" spans="2:19" x14ac:dyDescent="0.25">
      <c r="B2" s="165" t="s">
        <v>263</v>
      </c>
      <c r="C2" s="166"/>
      <c r="D2" s="166"/>
      <c r="E2" s="166"/>
      <c r="F2" s="166"/>
      <c r="G2" s="166"/>
      <c r="H2" s="166"/>
      <c r="I2" s="166"/>
      <c r="J2" s="166"/>
      <c r="K2" s="166"/>
      <c r="L2" s="166"/>
      <c r="M2" s="166"/>
      <c r="N2" s="166"/>
      <c r="O2" s="166"/>
      <c r="P2" s="166"/>
      <c r="Q2" s="166"/>
      <c r="R2" s="166"/>
      <c r="S2" s="167"/>
    </row>
    <row r="3" spans="2:19" x14ac:dyDescent="0.25">
      <c r="B3" s="156"/>
      <c r="C3" s="157"/>
      <c r="D3" s="157"/>
      <c r="E3" s="157"/>
      <c r="F3" s="157"/>
      <c r="G3" s="157"/>
      <c r="H3" s="157"/>
      <c r="I3" s="157"/>
      <c r="J3" s="157"/>
      <c r="K3" s="157"/>
      <c r="L3" s="157"/>
      <c r="M3" s="157"/>
      <c r="N3" s="157"/>
      <c r="O3" s="157"/>
      <c r="P3" s="157"/>
      <c r="Q3" s="157"/>
      <c r="R3" s="157"/>
      <c r="S3" s="158"/>
    </row>
    <row r="4" spans="2:19" x14ac:dyDescent="0.25">
      <c r="B4" s="156" t="s">
        <v>264</v>
      </c>
      <c r="C4" s="157"/>
      <c r="D4" s="157"/>
      <c r="E4" s="157"/>
      <c r="F4" s="157"/>
      <c r="G4" s="157"/>
      <c r="H4" s="157"/>
      <c r="I4" s="157"/>
      <c r="J4" s="157"/>
      <c r="K4" s="157"/>
      <c r="L4" s="157"/>
      <c r="M4" s="157"/>
      <c r="N4" s="157"/>
      <c r="O4" s="157"/>
      <c r="P4" s="157"/>
      <c r="Q4" s="157"/>
      <c r="R4" s="157"/>
      <c r="S4" s="158"/>
    </row>
    <row r="5" spans="2:19" x14ac:dyDescent="0.25">
      <c r="B5" s="156" t="s">
        <v>265</v>
      </c>
      <c r="C5" s="157"/>
      <c r="D5" s="157"/>
      <c r="E5" s="157"/>
      <c r="F5" s="157"/>
      <c r="G5" s="157"/>
      <c r="H5" s="157"/>
      <c r="I5" s="157"/>
      <c r="J5" s="157"/>
      <c r="K5" s="157"/>
      <c r="L5" s="157"/>
      <c r="M5" s="157"/>
      <c r="N5" s="157"/>
      <c r="O5" s="157"/>
      <c r="P5" s="157"/>
      <c r="Q5" s="157"/>
      <c r="R5" s="157"/>
      <c r="S5" s="158"/>
    </row>
    <row r="6" spans="2:19" x14ac:dyDescent="0.25">
      <c r="B6" s="156" t="s">
        <v>266</v>
      </c>
      <c r="C6" s="157"/>
      <c r="D6" s="157"/>
      <c r="E6" s="157"/>
      <c r="F6" s="157"/>
      <c r="G6" s="157"/>
      <c r="H6" s="157"/>
      <c r="I6" s="157"/>
      <c r="J6" s="157"/>
      <c r="K6" s="157"/>
      <c r="L6" s="157"/>
      <c r="M6" s="157"/>
      <c r="N6" s="157"/>
      <c r="O6" s="157"/>
      <c r="P6" s="157"/>
      <c r="Q6" s="157"/>
      <c r="R6" s="157"/>
      <c r="S6" s="158"/>
    </row>
    <row r="7" spans="2:19" x14ac:dyDescent="0.25">
      <c r="B7" s="156"/>
      <c r="C7" s="157"/>
      <c r="D7" s="157"/>
      <c r="E7" s="157"/>
      <c r="F7" s="157"/>
      <c r="G7" s="157"/>
      <c r="H7" s="157"/>
      <c r="I7" s="157"/>
      <c r="J7" s="157"/>
      <c r="K7" s="157"/>
      <c r="L7" s="157"/>
      <c r="M7" s="157"/>
      <c r="N7" s="157"/>
      <c r="O7" s="157"/>
      <c r="P7" s="157"/>
      <c r="Q7" s="157"/>
      <c r="R7" s="157"/>
      <c r="S7" s="158"/>
    </row>
    <row r="8" spans="2:19" x14ac:dyDescent="0.25">
      <c r="B8" s="142"/>
      <c r="C8" s="168" t="s">
        <v>267</v>
      </c>
      <c r="D8" s="169"/>
      <c r="E8" s="169"/>
      <c r="F8" s="169"/>
      <c r="G8" s="170"/>
      <c r="S8" s="141"/>
    </row>
    <row r="9" spans="2:19" x14ac:dyDescent="0.25">
      <c r="B9" s="156"/>
      <c r="C9" s="157"/>
      <c r="D9" s="157"/>
      <c r="E9" s="157"/>
      <c r="F9" s="157"/>
      <c r="G9" s="157"/>
      <c r="H9" s="157"/>
      <c r="I9" s="157"/>
      <c r="J9" s="157"/>
      <c r="K9" s="157"/>
      <c r="L9" s="157"/>
      <c r="M9" s="157"/>
      <c r="N9" s="157"/>
      <c r="O9" s="157"/>
      <c r="P9" s="157"/>
      <c r="Q9" s="157"/>
      <c r="R9" s="157"/>
      <c r="S9" s="158"/>
    </row>
    <row r="10" spans="2:19" x14ac:dyDescent="0.25">
      <c r="B10" s="142"/>
      <c r="C10" s="171" t="s">
        <v>268</v>
      </c>
      <c r="D10" s="172"/>
      <c r="E10" s="172"/>
      <c r="F10" s="173"/>
      <c r="S10" s="141"/>
    </row>
    <row r="11" spans="2:19" x14ac:dyDescent="0.25">
      <c r="B11" s="156"/>
      <c r="C11" s="157"/>
      <c r="D11" s="157"/>
      <c r="E11" s="157"/>
      <c r="F11" s="157"/>
      <c r="G11" s="157"/>
      <c r="H11" s="157"/>
      <c r="I11" s="157"/>
      <c r="J11" s="157"/>
      <c r="K11" s="157"/>
      <c r="L11" s="157"/>
      <c r="M11" s="157"/>
      <c r="N11" s="157"/>
      <c r="O11" s="157"/>
      <c r="P11" s="157"/>
      <c r="Q11" s="157"/>
      <c r="R11" s="157"/>
      <c r="S11" s="158"/>
    </row>
    <row r="12" spans="2:19" x14ac:dyDescent="0.25">
      <c r="B12" s="142"/>
      <c r="C12" s="174" t="s">
        <v>269</v>
      </c>
      <c r="D12" s="175"/>
      <c r="E12" s="175"/>
      <c r="F12" s="175"/>
      <c r="G12" s="176"/>
      <c r="S12" s="141"/>
    </row>
    <row r="13" spans="2:19" x14ac:dyDescent="0.25">
      <c r="B13" s="156"/>
      <c r="C13" s="157"/>
      <c r="D13" s="157"/>
      <c r="E13" s="157"/>
      <c r="F13" s="157"/>
      <c r="G13" s="157"/>
      <c r="H13" s="157"/>
      <c r="I13" s="157"/>
      <c r="J13" s="157"/>
      <c r="K13" s="157"/>
      <c r="L13" s="157"/>
      <c r="M13" s="157"/>
      <c r="N13" s="157"/>
      <c r="O13" s="157"/>
      <c r="P13" s="157"/>
      <c r="Q13" s="157"/>
      <c r="R13" s="157"/>
      <c r="S13" s="158"/>
    </row>
    <row r="14" spans="2:19" ht="36" customHeight="1" x14ac:dyDescent="0.25">
      <c r="B14" s="159" t="s">
        <v>270</v>
      </c>
      <c r="C14" s="160"/>
      <c r="D14" s="160"/>
      <c r="E14" s="160"/>
      <c r="F14" s="160"/>
      <c r="G14" s="160"/>
      <c r="H14" s="160"/>
      <c r="I14" s="160"/>
      <c r="J14" s="160"/>
      <c r="K14" s="160"/>
      <c r="L14" s="160"/>
      <c r="M14" s="160"/>
      <c r="N14" s="160"/>
      <c r="O14" s="160"/>
      <c r="P14" s="160"/>
      <c r="Q14" s="160"/>
      <c r="R14" s="160"/>
      <c r="S14" s="161"/>
    </row>
    <row r="15" spans="2:19" x14ac:dyDescent="0.25">
      <c r="B15" s="156"/>
      <c r="C15" s="157"/>
      <c r="D15" s="157"/>
      <c r="E15" s="157"/>
      <c r="F15" s="157"/>
      <c r="G15" s="157"/>
      <c r="H15" s="157"/>
      <c r="I15" s="157"/>
      <c r="J15" s="157"/>
      <c r="K15" s="157"/>
      <c r="L15" s="157"/>
      <c r="M15" s="157"/>
      <c r="N15" s="157"/>
      <c r="O15" s="157"/>
      <c r="P15" s="157"/>
      <c r="Q15" s="157"/>
      <c r="R15" s="157"/>
      <c r="S15" s="158"/>
    </row>
    <row r="16" spans="2:19" ht="16.5" thickBot="1" x14ac:dyDescent="0.3">
      <c r="B16" s="162" t="s">
        <v>271</v>
      </c>
      <c r="C16" s="163"/>
      <c r="D16" s="163"/>
      <c r="E16" s="163"/>
      <c r="F16" s="163"/>
      <c r="G16" s="163"/>
      <c r="H16" s="163"/>
      <c r="I16" s="163"/>
      <c r="J16" s="163"/>
      <c r="K16" s="163"/>
      <c r="L16" s="163"/>
      <c r="M16" s="163"/>
      <c r="N16" s="163"/>
      <c r="O16" s="163"/>
      <c r="P16" s="163"/>
      <c r="Q16" s="163"/>
      <c r="R16" s="163"/>
      <c r="S16" s="164"/>
    </row>
  </sheetData>
  <sheetProtection algorithmName="SHA-512" hashValue="L1VgFl3sWBDyBeCysNO66W+5+JKPrd0bnlMVTwESRuKpLMz7wXE3WJqVCrSwwpNpgV0tZI6Zq/MK+2CmDeKHIg==" saltValue="PDdA0wHrztxCbqOnmBTN4g==" spinCount="100000" sheet="1" objects="1" scenarios="1"/>
  <mergeCells count="15">
    <mergeCell ref="B13:S13"/>
    <mergeCell ref="B14:S14"/>
    <mergeCell ref="B15:S15"/>
    <mergeCell ref="B16:S16"/>
    <mergeCell ref="B2:S2"/>
    <mergeCell ref="B3:S3"/>
    <mergeCell ref="B4:S4"/>
    <mergeCell ref="B5:S5"/>
    <mergeCell ref="B6:S6"/>
    <mergeCell ref="B7:S7"/>
    <mergeCell ref="C8:G8"/>
    <mergeCell ref="C10:F10"/>
    <mergeCell ref="C12:G12"/>
    <mergeCell ref="B9:S9"/>
    <mergeCell ref="B11:S11"/>
  </mergeCells>
  <conditionalFormatting sqref="C12">
    <cfRule type="cellIs" dxfId="64" priority="1" operator="greaterThan">
      <formula>0</formula>
    </cfRule>
  </conditionalFormatting>
  <pageMargins left="0.25" right="0.25" top="0.75" bottom="0.75" header="0.3" footer="0.3"/>
  <pageSetup scale="72"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BBC8D-90E5-4328-B9B6-D32A8A271D28}">
  <sheetPr>
    <tabColor theme="4"/>
    <pageSetUpPr fitToPage="1"/>
  </sheetPr>
  <dimension ref="B1:I57"/>
  <sheetViews>
    <sheetView showGridLines="0" zoomScale="90" zoomScaleNormal="90" workbookViewId="0">
      <selection activeCell="G10" sqref="G10:I10"/>
    </sheetView>
  </sheetViews>
  <sheetFormatPr defaultRowHeight="15.75" x14ac:dyDescent="0.25"/>
  <cols>
    <col min="2" max="2" width="10.875" customWidth="1"/>
    <col min="3" max="4" width="9" customWidth="1"/>
    <col min="5" max="5" width="11.375" customWidth="1"/>
    <col min="6" max="6" width="11.875" customWidth="1"/>
    <col min="7" max="7" width="17.875" customWidth="1"/>
    <col min="9" max="9" width="12.75" customWidth="1"/>
  </cols>
  <sheetData>
    <row r="1" spans="2:9" ht="16.5" thickBot="1" x14ac:dyDescent="0.3"/>
    <row r="2" spans="2:9" x14ac:dyDescent="0.25">
      <c r="B2" s="303" t="s">
        <v>182</v>
      </c>
      <c r="C2" s="304"/>
      <c r="D2" s="304"/>
      <c r="E2" s="304"/>
      <c r="F2" s="304"/>
      <c r="G2" s="304"/>
      <c r="H2" s="304"/>
      <c r="I2" s="305"/>
    </row>
    <row r="3" spans="2:9" ht="16.5" thickBot="1" x14ac:dyDescent="0.3">
      <c r="B3" s="306"/>
      <c r="C3" s="307"/>
      <c r="D3" s="307"/>
      <c r="E3" s="307"/>
      <c r="F3" s="307"/>
      <c r="G3" s="307"/>
      <c r="H3" s="307"/>
      <c r="I3" s="308"/>
    </row>
    <row r="4" spans="2:9" x14ac:dyDescent="0.25">
      <c r="B4" s="309" t="s">
        <v>183</v>
      </c>
      <c r="C4" s="310"/>
      <c r="D4" s="310"/>
      <c r="E4" s="310"/>
      <c r="F4" s="310"/>
      <c r="G4" s="311"/>
      <c r="H4" s="312"/>
      <c r="I4" s="313"/>
    </row>
    <row r="5" spans="2:9" x14ac:dyDescent="0.25">
      <c r="B5" s="314" t="s">
        <v>184</v>
      </c>
      <c r="C5" s="315"/>
      <c r="D5" s="315"/>
      <c r="E5" s="315"/>
      <c r="F5" s="315"/>
      <c r="G5" s="316"/>
      <c r="H5" s="317" t="s">
        <v>185</v>
      </c>
      <c r="I5" s="318"/>
    </row>
    <row r="6" spans="2:9" ht="16.5" thickBot="1" x14ac:dyDescent="0.3">
      <c r="B6" s="319" t="s">
        <v>186</v>
      </c>
      <c r="C6" s="320"/>
      <c r="D6" s="320"/>
      <c r="E6" s="320"/>
      <c r="F6" s="320"/>
      <c r="G6" s="320"/>
      <c r="H6" s="320"/>
      <c r="I6" s="321"/>
    </row>
    <row r="7" spans="2:9" ht="16.5" thickBot="1" x14ac:dyDescent="0.3">
      <c r="B7" s="291"/>
      <c r="C7" s="291"/>
      <c r="D7" s="291"/>
      <c r="E7" s="291"/>
      <c r="F7" s="291"/>
      <c r="G7" s="291"/>
      <c r="H7" s="291"/>
      <c r="I7" s="291"/>
    </row>
    <row r="8" spans="2:9" ht="22.5" customHeight="1" x14ac:dyDescent="0.25">
      <c r="B8" s="292" t="s">
        <v>216</v>
      </c>
      <c r="C8" s="293"/>
      <c r="D8" s="293"/>
      <c r="E8" s="293"/>
      <c r="F8" s="293"/>
      <c r="G8" s="293"/>
      <c r="H8" s="293"/>
      <c r="I8" s="294"/>
    </row>
    <row r="9" spans="2:9" ht="22.5" customHeight="1" thickBot="1" x14ac:dyDescent="0.3">
      <c r="B9" s="295"/>
      <c r="C9" s="296"/>
      <c r="D9" s="296"/>
      <c r="E9" s="296"/>
      <c r="F9" s="296"/>
      <c r="G9" s="296"/>
      <c r="H9" s="296"/>
      <c r="I9" s="297"/>
    </row>
    <row r="10" spans="2:9" ht="33" customHeight="1" thickBot="1" x14ac:dyDescent="0.3">
      <c r="B10" s="298" t="s">
        <v>257</v>
      </c>
      <c r="C10" s="299"/>
      <c r="D10" s="299"/>
      <c r="E10" s="299"/>
      <c r="F10" s="299"/>
      <c r="G10" s="300"/>
      <c r="H10" s="301"/>
      <c r="I10" s="302"/>
    </row>
    <row r="11" spans="2:9" ht="16.5" thickBot="1" x14ac:dyDescent="0.3">
      <c r="B11" s="277"/>
      <c r="C11" s="277"/>
      <c r="D11" s="277"/>
      <c r="E11" s="277"/>
      <c r="F11" s="277"/>
      <c r="G11" s="277"/>
      <c r="H11" s="277"/>
      <c r="I11" s="277"/>
    </row>
    <row r="12" spans="2:9" ht="21" x14ac:dyDescent="0.25">
      <c r="B12" s="285" t="s">
        <v>276</v>
      </c>
      <c r="C12" s="286"/>
      <c r="D12" s="286"/>
      <c r="E12" s="286"/>
      <c r="F12" s="286"/>
      <c r="G12" s="124" t="str">
        <f>IF(DistrictName&lt;&gt;0,DistrictName,"")</f>
        <v/>
      </c>
      <c r="H12" s="278">
        <v>0.03</v>
      </c>
      <c r="I12" s="279"/>
    </row>
    <row r="13" spans="2:9" ht="21" x14ac:dyDescent="0.25">
      <c r="B13" s="287"/>
      <c r="C13" s="288"/>
      <c r="D13" s="288"/>
      <c r="E13" s="288"/>
      <c r="F13" s="288"/>
      <c r="G13" s="125" t="str">
        <f>IF(DistrictName&lt;&gt;0,"Road &amp; Bridge","")</f>
        <v/>
      </c>
      <c r="H13" s="289">
        <v>0.03</v>
      </c>
      <c r="I13" s="290"/>
    </row>
    <row r="14" spans="2:9" ht="12" customHeight="1" x14ac:dyDescent="0.25">
      <c r="B14" s="216"/>
      <c r="C14" s="217"/>
      <c r="D14" s="217"/>
      <c r="E14" s="217"/>
      <c r="F14" s="217"/>
      <c r="G14" s="217"/>
      <c r="H14" s="217"/>
      <c r="I14" s="218"/>
    </row>
    <row r="15" spans="2:9" ht="21" customHeight="1" x14ac:dyDescent="0.25">
      <c r="B15" s="280" t="s">
        <v>187</v>
      </c>
      <c r="C15" s="281"/>
      <c r="D15" s="281"/>
      <c r="E15" s="281"/>
      <c r="F15" s="281"/>
      <c r="G15" s="124" t="str">
        <f>IF(DistrictName&lt;&gt;0,DistrictName,"")</f>
        <v/>
      </c>
      <c r="H15" s="254"/>
      <c r="I15" s="255"/>
    </row>
    <row r="16" spans="2:9" ht="21" customHeight="1" x14ac:dyDescent="0.25">
      <c r="B16" s="282" t="s">
        <v>188</v>
      </c>
      <c r="C16" s="283"/>
      <c r="D16" s="283"/>
      <c r="E16" s="283"/>
      <c r="F16" s="284"/>
      <c r="G16" s="125" t="str">
        <f>IF(DistrictName&lt;&gt;0,"Road &amp; Bridge","")</f>
        <v/>
      </c>
      <c r="H16" s="254"/>
      <c r="I16" s="255"/>
    </row>
    <row r="17" spans="2:9" ht="12" customHeight="1" x14ac:dyDescent="0.25">
      <c r="B17" s="216"/>
      <c r="C17" s="217"/>
      <c r="D17" s="217"/>
      <c r="E17" s="217"/>
      <c r="F17" s="217"/>
      <c r="G17" s="217"/>
      <c r="H17" s="217"/>
      <c r="I17" s="218"/>
    </row>
    <row r="18" spans="2:9" ht="21.75" customHeight="1" x14ac:dyDescent="0.25">
      <c r="B18" s="183" t="s">
        <v>217</v>
      </c>
      <c r="C18" s="184"/>
      <c r="D18" s="184"/>
      <c r="E18" s="184"/>
      <c r="F18" s="185"/>
      <c r="G18" s="124" t="str">
        <f>IF(DistrictName&lt;&gt;0,DistrictName,"")</f>
        <v/>
      </c>
      <c r="H18" s="254"/>
      <c r="I18" s="255"/>
    </row>
    <row r="19" spans="2:9" ht="21.75" customHeight="1" x14ac:dyDescent="0.25">
      <c r="B19" s="186"/>
      <c r="C19" s="187"/>
      <c r="D19" s="187"/>
      <c r="E19" s="187"/>
      <c r="F19" s="188"/>
      <c r="G19" s="125" t="str">
        <f>IF(DistrictName&lt;&gt;0,"Road &amp; Bridge","")</f>
        <v/>
      </c>
      <c r="H19" s="254"/>
      <c r="I19" s="255"/>
    </row>
    <row r="20" spans="2:9" ht="12" customHeight="1" x14ac:dyDescent="0.25">
      <c r="B20" s="189"/>
      <c r="C20" s="190"/>
      <c r="D20" s="190"/>
      <c r="E20" s="190"/>
      <c r="F20" s="190"/>
      <c r="G20" s="190"/>
      <c r="H20" s="190"/>
      <c r="I20" s="191"/>
    </row>
    <row r="21" spans="2:9" x14ac:dyDescent="0.25">
      <c r="B21" s="274" t="s">
        <v>215</v>
      </c>
      <c r="C21" s="275"/>
      <c r="D21" s="275"/>
      <c r="E21" s="275"/>
      <c r="F21" s="275"/>
      <c r="G21" s="276"/>
      <c r="H21" s="245"/>
      <c r="I21" s="246"/>
    </row>
    <row r="22" spans="2:9" ht="21" customHeight="1" x14ac:dyDescent="0.25">
      <c r="B22" s="183" t="s">
        <v>278</v>
      </c>
      <c r="C22" s="219"/>
      <c r="D22" s="219"/>
      <c r="E22" s="219"/>
      <c r="F22" s="220"/>
      <c r="G22" s="124" t="str">
        <f>IF(DistrictName&lt;&gt;0,DistrictName,"")</f>
        <v/>
      </c>
      <c r="H22" s="254"/>
      <c r="I22" s="255"/>
    </row>
    <row r="23" spans="2:9" ht="21" customHeight="1" x14ac:dyDescent="0.25">
      <c r="B23" s="221"/>
      <c r="C23" s="222"/>
      <c r="D23" s="222"/>
      <c r="E23" s="222"/>
      <c r="F23" s="223"/>
      <c r="G23" s="148" t="str">
        <f>IF(DistrictName&lt;&gt;0,"Road &amp; Bridge","")</f>
        <v/>
      </c>
      <c r="H23" s="254"/>
      <c r="I23" s="255"/>
    </row>
    <row r="24" spans="2:9" ht="21" customHeight="1" x14ac:dyDescent="0.25">
      <c r="B24" s="266" t="s">
        <v>279</v>
      </c>
      <c r="C24" s="267"/>
      <c r="D24" s="267"/>
      <c r="E24" s="267"/>
      <c r="F24" s="268"/>
      <c r="G24" s="147" t="str">
        <f>IF(DistrictName&lt;&gt;0,DistrictName,"")</f>
        <v/>
      </c>
      <c r="H24" s="272"/>
      <c r="I24" s="273"/>
    </row>
    <row r="25" spans="2:9" ht="21" customHeight="1" thickBot="1" x14ac:dyDescent="0.3">
      <c r="B25" s="269"/>
      <c r="C25" s="270"/>
      <c r="D25" s="270"/>
      <c r="E25" s="270"/>
      <c r="F25" s="271"/>
      <c r="G25" s="125" t="str">
        <f>IF(DistrictName&lt;&gt;0,"Road &amp; Bridge","")</f>
        <v/>
      </c>
      <c r="H25" s="254"/>
      <c r="I25" s="255"/>
    </row>
    <row r="26" spans="2:9" ht="16.5" customHeight="1" thickBot="1" x14ac:dyDescent="0.3">
      <c r="B26" s="256"/>
      <c r="C26" s="256"/>
      <c r="D26" s="256"/>
      <c r="E26" s="256"/>
      <c r="F26" s="256"/>
      <c r="G26" s="256"/>
      <c r="H26" s="256"/>
      <c r="I26" s="256"/>
    </row>
    <row r="27" spans="2:9" ht="15.75" customHeight="1" x14ac:dyDescent="0.25">
      <c r="B27" s="257" t="s">
        <v>191</v>
      </c>
      <c r="C27" s="258"/>
      <c r="D27" s="258"/>
      <c r="E27" s="258"/>
      <c r="F27" s="258"/>
      <c r="G27" s="258"/>
      <c r="H27" s="258"/>
      <c r="I27" s="259"/>
    </row>
    <row r="28" spans="2:9" ht="15.75" customHeight="1" x14ac:dyDescent="0.25">
      <c r="B28" s="260" t="s">
        <v>192</v>
      </c>
      <c r="C28" s="261"/>
      <c r="D28" s="261"/>
      <c r="E28" s="261"/>
      <c r="F28" s="261"/>
      <c r="G28" s="262"/>
      <c r="H28" s="263"/>
      <c r="I28" s="264"/>
    </row>
    <row r="29" spans="2:9" x14ac:dyDescent="0.25">
      <c r="B29" s="189" t="s">
        <v>193</v>
      </c>
      <c r="C29" s="190"/>
      <c r="D29" s="190"/>
      <c r="E29" s="190"/>
      <c r="F29" s="190"/>
      <c r="G29" s="265"/>
      <c r="H29" s="254"/>
      <c r="I29" s="255"/>
    </row>
    <row r="30" spans="2:9" x14ac:dyDescent="0.25">
      <c r="B30" s="250" t="s">
        <v>194</v>
      </c>
      <c r="C30" s="251"/>
      <c r="D30" s="251"/>
      <c r="E30" s="251"/>
      <c r="F30" s="251"/>
      <c r="G30" s="251"/>
      <c r="H30" s="252"/>
      <c r="I30" s="253"/>
    </row>
    <row r="31" spans="2:9" x14ac:dyDescent="0.25">
      <c r="B31" s="240" t="s">
        <v>195</v>
      </c>
      <c r="C31" s="241"/>
      <c r="D31" s="241"/>
      <c r="E31" s="241"/>
      <c r="F31" s="241"/>
      <c r="G31" s="242"/>
      <c r="H31" s="243"/>
      <c r="I31" s="244"/>
    </row>
    <row r="32" spans="2:9" ht="33" customHeight="1" x14ac:dyDescent="0.25">
      <c r="B32" s="177" t="s">
        <v>196</v>
      </c>
      <c r="C32" s="178"/>
      <c r="D32" s="178"/>
      <c r="E32" s="178"/>
      <c r="F32" s="178"/>
      <c r="G32" s="179"/>
      <c r="H32" s="245"/>
      <c r="I32" s="246"/>
    </row>
    <row r="33" spans="2:9" x14ac:dyDescent="0.25">
      <c r="B33" s="247" t="s">
        <v>197</v>
      </c>
      <c r="C33" s="248"/>
      <c r="D33" s="248"/>
      <c r="E33" s="248"/>
      <c r="F33" s="248"/>
      <c r="G33" s="249"/>
      <c r="H33" s="243"/>
      <c r="I33" s="244"/>
    </row>
    <row r="34" spans="2:9" ht="33" customHeight="1" x14ac:dyDescent="0.25">
      <c r="B34" s="210" t="s">
        <v>198</v>
      </c>
      <c r="C34" s="211"/>
      <c r="D34" s="211"/>
      <c r="E34" s="211"/>
      <c r="F34" s="211"/>
      <c r="G34" s="212"/>
      <c r="H34" s="204"/>
      <c r="I34" s="205"/>
    </row>
    <row r="35" spans="2:9" ht="16.5" thickBot="1" x14ac:dyDescent="0.3">
      <c r="B35" s="213" t="s">
        <v>199</v>
      </c>
      <c r="C35" s="214"/>
      <c r="D35" s="214"/>
      <c r="E35" s="214"/>
      <c r="F35" s="214"/>
      <c r="G35" s="215"/>
      <c r="H35" s="234"/>
      <c r="I35" s="235"/>
    </row>
    <row r="36" spans="2:9" ht="16.5" thickBot="1" x14ac:dyDescent="0.3">
      <c r="B36" s="236"/>
      <c r="C36" s="236"/>
      <c r="D36" s="236"/>
      <c r="E36" s="236"/>
      <c r="F36" s="236"/>
      <c r="G36" s="236"/>
      <c r="H36" s="236"/>
      <c r="I36" s="236"/>
    </row>
    <row r="37" spans="2:9" ht="24" thickBot="1" x14ac:dyDescent="0.4">
      <c r="B37" s="237" t="s">
        <v>214</v>
      </c>
      <c r="C37" s="238"/>
      <c r="D37" s="238"/>
      <c r="E37" s="238"/>
      <c r="F37" s="238"/>
      <c r="G37" s="238"/>
      <c r="H37" s="238"/>
      <c r="I37" s="239"/>
    </row>
    <row r="38" spans="2:9" x14ac:dyDescent="0.25">
      <c r="B38" s="197" t="s">
        <v>200</v>
      </c>
      <c r="C38" s="198"/>
      <c r="D38" s="198"/>
      <c r="E38" s="198"/>
      <c r="F38" s="198"/>
      <c r="G38" s="199"/>
      <c r="H38" s="200">
        <f>IFERROR(IF($G$10&lt;&gt;0,INDEX(DataDump!Y2:Y25,MATCH($G$10,DataDump!C2:C25,0)),0),"")</f>
        <v>0</v>
      </c>
      <c r="I38" s="201"/>
    </row>
    <row r="39" spans="2:9" x14ac:dyDescent="0.25">
      <c r="B39" s="202" t="s">
        <v>218</v>
      </c>
      <c r="C39" s="203"/>
      <c r="D39" s="203"/>
      <c r="E39" s="203"/>
      <c r="F39" s="203"/>
      <c r="G39" s="203"/>
      <c r="H39" s="204"/>
      <c r="I39" s="205"/>
    </row>
    <row r="40" spans="2:9" x14ac:dyDescent="0.25">
      <c r="B40" s="206" t="s">
        <v>201</v>
      </c>
      <c r="C40" s="207"/>
      <c r="D40" s="207"/>
      <c r="E40" s="207"/>
      <c r="F40" s="207"/>
      <c r="G40" s="207"/>
      <c r="H40" s="208" t="str">
        <f>IFERROR(MAX(ROUND(MIN($H$38,'2. L-2 Worksheet'!$I$54*0.01),0),0),"")</f>
        <v/>
      </c>
      <c r="I40" s="209"/>
    </row>
    <row r="41" spans="2:9" x14ac:dyDescent="0.25">
      <c r="B41" s="206" t="s">
        <v>202</v>
      </c>
      <c r="C41" s="207"/>
      <c r="D41" s="207"/>
      <c r="E41" s="207"/>
      <c r="F41" s="207"/>
      <c r="G41" s="207"/>
      <c r="H41" s="195"/>
      <c r="I41" s="196"/>
    </row>
    <row r="42" spans="2:9" x14ac:dyDescent="0.25">
      <c r="B42" s="206" t="s">
        <v>203</v>
      </c>
      <c r="C42" s="207"/>
      <c r="D42" s="207"/>
      <c r="E42" s="207"/>
      <c r="F42" s="207"/>
      <c r="G42" s="207"/>
      <c r="H42" s="208" t="str">
        <f>IF(DistrictName&lt;&gt;0,MIN(ROUND(0.03*('2. L-2 Worksheet'!I54),0),'2. L-2 Worksheet'!G56),"")</f>
        <v/>
      </c>
      <c r="I42" s="209"/>
    </row>
    <row r="43" spans="2:9" x14ac:dyDescent="0.25">
      <c r="B43" s="206" t="s">
        <v>204</v>
      </c>
      <c r="C43" s="207"/>
      <c r="D43" s="207"/>
      <c r="E43" s="207"/>
      <c r="F43" s="207"/>
      <c r="G43" s="207"/>
      <c r="H43" s="195"/>
      <c r="I43" s="196"/>
    </row>
    <row r="44" spans="2:9" ht="16.5" thickBot="1" x14ac:dyDescent="0.3">
      <c r="B44" s="224" t="s">
        <v>205</v>
      </c>
      <c r="C44" s="225"/>
      <c r="D44" s="225"/>
      <c r="E44" s="225"/>
      <c r="F44" s="225"/>
      <c r="G44" s="225"/>
      <c r="H44" s="225"/>
      <c r="I44" s="226"/>
    </row>
    <row r="45" spans="2:9" ht="8.25" customHeight="1" x14ac:dyDescent="0.25">
      <c r="B45" s="143"/>
      <c r="C45" s="143"/>
      <c r="D45" s="143"/>
      <c r="E45" s="143"/>
      <c r="F45" s="143"/>
      <c r="G45" s="143"/>
      <c r="H45" s="143"/>
      <c r="I45" s="143"/>
    </row>
    <row r="46" spans="2:9" ht="8.25" customHeight="1" thickBot="1" x14ac:dyDescent="0.3">
      <c r="B46" s="227"/>
      <c r="C46" s="227"/>
      <c r="D46" s="227"/>
      <c r="E46" s="227"/>
      <c r="F46" s="227"/>
      <c r="G46" s="227"/>
      <c r="H46" s="227"/>
      <c r="I46" s="227"/>
    </row>
    <row r="47" spans="2:9" ht="26.25" x14ac:dyDescent="0.25">
      <c r="B47" s="228" t="s">
        <v>206</v>
      </c>
      <c r="C47" s="229"/>
      <c r="D47" s="229"/>
      <c r="E47" s="229"/>
      <c r="F47" s="229"/>
      <c r="G47" s="229"/>
      <c r="H47" s="229"/>
      <c r="I47" s="230"/>
    </row>
    <row r="48" spans="2:9" ht="49.15" customHeight="1" x14ac:dyDescent="0.25">
      <c r="B48" s="231" t="s">
        <v>277</v>
      </c>
      <c r="C48" s="232"/>
      <c r="D48" s="232"/>
      <c r="E48" s="232"/>
      <c r="F48" s="232"/>
      <c r="G48" s="232"/>
      <c r="H48" s="232"/>
      <c r="I48" s="233"/>
    </row>
    <row r="49" spans="2:9" x14ac:dyDescent="0.25">
      <c r="B49" s="192" t="s">
        <v>207</v>
      </c>
      <c r="C49" s="193"/>
      <c r="D49" s="193"/>
      <c r="E49" s="193"/>
      <c r="F49" s="193"/>
      <c r="G49" s="194"/>
      <c r="H49" s="119" t="str">
        <f>IFERROR(I49/'2. L-2 Worksheet'!$I$20,"")</f>
        <v/>
      </c>
      <c r="I49" s="120">
        <f>IF(DistrictName&lt;&gt;0,SUM('2. L-2 Worksheet'!I22:I23),0)</f>
        <v>0</v>
      </c>
    </row>
    <row r="50" spans="2:9" x14ac:dyDescent="0.25">
      <c r="B50" s="192" t="s">
        <v>208</v>
      </c>
      <c r="C50" s="193"/>
      <c r="D50" s="193"/>
      <c r="E50" s="193"/>
      <c r="F50" s="193"/>
      <c r="G50" s="194"/>
      <c r="H50" s="119" t="str">
        <f>IFERROR(I50/'2. L-2 Worksheet'!$I$20,"")</f>
        <v/>
      </c>
      <c r="I50" s="120">
        <f>IF(DistrictName&lt;&gt;0,'2. L-2 Worksheet'!I39,0)</f>
        <v>0</v>
      </c>
    </row>
    <row r="51" spans="2:9" x14ac:dyDescent="0.25">
      <c r="B51" s="192" t="s">
        <v>209</v>
      </c>
      <c r="C51" s="193"/>
      <c r="D51" s="193"/>
      <c r="E51" s="193"/>
      <c r="F51" s="193"/>
      <c r="G51" s="194"/>
      <c r="H51" s="119" t="str">
        <f>IFERROR(I51/'2. L-2 Worksheet'!$I$20,"")</f>
        <v/>
      </c>
      <c r="I51" s="120">
        <f>IFERROR(MIN('2. L-2 Worksheet'!G53-'2. L-2 Worksheet'!G52,0),0)</f>
        <v>0</v>
      </c>
    </row>
    <row r="52" spans="2:9" x14ac:dyDescent="0.25">
      <c r="B52" s="192" t="str">
        <f>IF(H21="Yes","Terminating Urban Renewal allowable increase","")</f>
        <v/>
      </c>
      <c r="C52" s="193"/>
      <c r="D52" s="193"/>
      <c r="E52" s="193"/>
      <c r="F52" s="193"/>
      <c r="G52" s="194"/>
      <c r="H52" s="119" t="str">
        <f>IFERROR(I52/'2. L-2 Worksheet'!$I$20,"")</f>
        <v/>
      </c>
      <c r="I52" s="120">
        <f>IF(H21="Yes",'2. L-2 Worksheet'!I50,0)</f>
        <v>0</v>
      </c>
    </row>
    <row r="53" spans="2:9" x14ac:dyDescent="0.25">
      <c r="B53" s="192" t="str">
        <f>IF(H28="Yes","Effect of changing solar farm tax revenue","")</f>
        <v/>
      </c>
      <c r="C53" s="193"/>
      <c r="D53" s="193"/>
      <c r="E53" s="193"/>
      <c r="F53" s="193"/>
      <c r="G53" s="194"/>
      <c r="H53" s="119" t="str">
        <f>IFERROR(I53/'2. L-2 Worksheet'!$I$20,"")</f>
        <v/>
      </c>
      <c r="I53" s="120" t="str">
        <f>IFERROR(IF(H28="Yes",
      IF('2. L-2 Worksheet'!I15=MAX('2. L-2 Worksheet'!E15:I15),'2. L-2 Worksheet'!I13-'2. L-2 Worksheet'!G70,
      IF('2. L-2 Worksheet'!G15=MAX('2. L-2 Worksheet'!E15:I15),'2. L-2 Worksheet'!G13-'2. L-2 Worksheet'!G70,
      IF('2. L-2 Worksheet'!E15=MAX('2. L-2 Worksheet'!E15:I15),'2. L-2 Worksheet'!E13-'2. L-2 Worksheet'!G70))),""),0)</f>
        <v/>
      </c>
    </row>
    <row r="54" spans="2:9" x14ac:dyDescent="0.25">
      <c r="B54" s="192" t="s">
        <v>210</v>
      </c>
      <c r="C54" s="193"/>
      <c r="D54" s="193"/>
      <c r="E54" s="193"/>
      <c r="F54" s="193"/>
      <c r="G54" s="194"/>
      <c r="H54" s="119" t="str">
        <f>IFERROR(I54/'2. L-2 Worksheet'!$I$20,"")</f>
        <v/>
      </c>
      <c r="I54" s="120">
        <f>SUM(-H31,-H33,-H35)</f>
        <v>0</v>
      </c>
    </row>
    <row r="55" spans="2:9" x14ac:dyDescent="0.25">
      <c r="B55" s="177" t="s">
        <v>211</v>
      </c>
      <c r="C55" s="178"/>
      <c r="D55" s="178"/>
      <c r="E55" s="178"/>
      <c r="F55" s="178"/>
      <c r="G55" s="179"/>
      <c r="H55" s="121" t="str">
        <f>IFERROR(I55/'2. L-2 Worksheet'!$I$54,"")</f>
        <v/>
      </c>
      <c r="I55" s="120">
        <f>IF(DistrictName&lt;&gt;0,H41,0)</f>
        <v>0</v>
      </c>
    </row>
    <row r="56" spans="2:9" x14ac:dyDescent="0.25">
      <c r="B56" s="177" t="s">
        <v>212</v>
      </c>
      <c r="C56" s="178"/>
      <c r="D56" s="178"/>
      <c r="E56" s="178"/>
      <c r="F56" s="178"/>
      <c r="G56" s="179"/>
      <c r="H56" s="121" t="str">
        <f>IFERROR(I56/'2. L-2 Worksheet'!$I$54,"")</f>
        <v/>
      </c>
      <c r="I56" s="120">
        <f>IF(DistrictName&lt;&gt;0,H43,0)</f>
        <v>0</v>
      </c>
    </row>
    <row r="57" spans="2:9" ht="16.5" thickBot="1" x14ac:dyDescent="0.3">
      <c r="B57" s="180" t="s">
        <v>213</v>
      </c>
      <c r="C57" s="181"/>
      <c r="D57" s="181"/>
      <c r="E57" s="181"/>
      <c r="F57" s="181"/>
      <c r="G57" s="182"/>
      <c r="H57" s="122" t="str">
        <f>IFERROR(ROUND(I57/'2. L-2 Worksheet'!$I$20,4),"")</f>
        <v/>
      </c>
      <c r="I57" s="123">
        <f>SUM(I49:I56)</f>
        <v>0</v>
      </c>
    </row>
  </sheetData>
  <sheetProtection algorithmName="SHA-512" hashValue="ZtknTROYvzs7RXdNpJCPlqdKwg4eZTrffBtIJCp1hs/3UGSr22QJSNFX1UOJxbsFjIu+4b31V905rWam69Ra6w==" saltValue="g0ye3Qt6xLsnsDdmyvAAIg==" spinCount="100000" sheet="1" selectLockedCells="1"/>
  <protectedRanges>
    <protectedRange sqref="H47:H48 G10:I10 H12:H30" name="Range1_7"/>
  </protectedRanges>
  <mergeCells count="77">
    <mergeCell ref="B7:I7"/>
    <mergeCell ref="B8:I9"/>
    <mergeCell ref="B10:F10"/>
    <mergeCell ref="G10:I10"/>
    <mergeCell ref="B2:I3"/>
    <mergeCell ref="B4:G4"/>
    <mergeCell ref="H4:I4"/>
    <mergeCell ref="B5:G5"/>
    <mergeCell ref="H5:I5"/>
    <mergeCell ref="B6:I6"/>
    <mergeCell ref="B11:I11"/>
    <mergeCell ref="H12:I12"/>
    <mergeCell ref="B15:F15"/>
    <mergeCell ref="H15:I15"/>
    <mergeCell ref="B16:F16"/>
    <mergeCell ref="H16:I16"/>
    <mergeCell ref="B12:F13"/>
    <mergeCell ref="H13:I13"/>
    <mergeCell ref="B14:I14"/>
    <mergeCell ref="B21:G21"/>
    <mergeCell ref="H21:I21"/>
    <mergeCell ref="H22:I22"/>
    <mergeCell ref="H19:I19"/>
    <mergeCell ref="H18:I18"/>
    <mergeCell ref="B30:G30"/>
    <mergeCell ref="H30:I30"/>
    <mergeCell ref="H23:I23"/>
    <mergeCell ref="B26:I26"/>
    <mergeCell ref="B27:I27"/>
    <mergeCell ref="B28:G28"/>
    <mergeCell ref="H28:I28"/>
    <mergeCell ref="B29:G29"/>
    <mergeCell ref="H29:I29"/>
    <mergeCell ref="B24:F25"/>
    <mergeCell ref="H24:I24"/>
    <mergeCell ref="H25:I25"/>
    <mergeCell ref="H35:I35"/>
    <mergeCell ref="B36:I36"/>
    <mergeCell ref="B37:I37"/>
    <mergeCell ref="B31:G31"/>
    <mergeCell ref="H31:I31"/>
    <mergeCell ref="B32:G32"/>
    <mergeCell ref="H32:I32"/>
    <mergeCell ref="B33:G33"/>
    <mergeCell ref="H33:I33"/>
    <mergeCell ref="B17:I17"/>
    <mergeCell ref="B22:F23"/>
    <mergeCell ref="B51:G51"/>
    <mergeCell ref="B52:G52"/>
    <mergeCell ref="B53:G53"/>
    <mergeCell ref="B44:I44"/>
    <mergeCell ref="B46:I46"/>
    <mergeCell ref="B47:I47"/>
    <mergeCell ref="B48:I48"/>
    <mergeCell ref="B49:G49"/>
    <mergeCell ref="B50:G50"/>
    <mergeCell ref="B41:G41"/>
    <mergeCell ref="H41:I41"/>
    <mergeCell ref="B42:G42"/>
    <mergeCell ref="H42:I42"/>
    <mergeCell ref="B43:G43"/>
    <mergeCell ref="B55:G55"/>
    <mergeCell ref="B56:G56"/>
    <mergeCell ref="B57:G57"/>
    <mergeCell ref="B18:F19"/>
    <mergeCell ref="B20:I20"/>
    <mergeCell ref="B54:G54"/>
    <mergeCell ref="H43:I43"/>
    <mergeCell ref="B38:G38"/>
    <mergeCell ref="H38:I38"/>
    <mergeCell ref="B39:G39"/>
    <mergeCell ref="H39:I39"/>
    <mergeCell ref="B40:G40"/>
    <mergeCell ref="H40:I40"/>
    <mergeCell ref="B34:G34"/>
    <mergeCell ref="H34:I34"/>
    <mergeCell ref="B35:G35"/>
  </mergeCells>
  <conditionalFormatting sqref="B11:B12 H12:I13 B15:G16 B17:B18 G18:G19 B20 B21:G21 B22 G22:G25 B24 B26 B28:G35 B36 B39:B43 B49:B57 H49:I57">
    <cfRule type="expression" dxfId="63" priority="4">
      <formula>DistrictName=""</formula>
    </cfRule>
  </conditionalFormatting>
  <conditionalFormatting sqref="B22">
    <cfRule type="expression" dxfId="62" priority="33">
      <formula>$H$21&lt;&gt;"Yes"</formula>
    </cfRule>
  </conditionalFormatting>
  <conditionalFormatting sqref="B24">
    <cfRule type="expression" dxfId="61" priority="2">
      <formula>$H$21&lt;&gt;"Yes"</formula>
    </cfRule>
  </conditionalFormatting>
  <conditionalFormatting sqref="B29">
    <cfRule type="expression" dxfId="60" priority="48">
      <formula>$H$28&lt;&gt;"Yes"</formula>
    </cfRule>
  </conditionalFormatting>
  <conditionalFormatting sqref="B31">
    <cfRule type="expression" dxfId="59" priority="49">
      <formula>$H$30&lt;&gt;"Yes"</formula>
    </cfRule>
  </conditionalFormatting>
  <conditionalFormatting sqref="B28:G28">
    <cfRule type="expression" dxfId="58" priority="77">
      <formula>OR($H$21="", AND($H$21="Yes",$H$22=0,$H$24=0))</formula>
    </cfRule>
  </conditionalFormatting>
  <conditionalFormatting sqref="B30:G30">
    <cfRule type="expression" dxfId="57" priority="45">
      <formula>OR($H$28="",AND($H$28="Yes",$H$29=0))</formula>
    </cfRule>
  </conditionalFormatting>
  <conditionalFormatting sqref="B32:G32">
    <cfRule type="expression" dxfId="56" priority="12">
      <formula>OR($H$30="", AND($H$30="Yes",$H$31=0))</formula>
    </cfRule>
  </conditionalFormatting>
  <conditionalFormatting sqref="B33:G33">
    <cfRule type="expression" dxfId="55" priority="14">
      <formula>$H$32&lt;&gt;"Yes"</formula>
    </cfRule>
  </conditionalFormatting>
  <conditionalFormatting sqref="B34:G34">
    <cfRule type="expression" dxfId="54" priority="37">
      <formula>OR($H$32="", AND($H$32="Yes",$H$33=0))</formula>
    </cfRule>
  </conditionalFormatting>
  <conditionalFormatting sqref="B35:G35">
    <cfRule type="expression" dxfId="53" priority="40">
      <formula>$H$34&lt;&gt;"Yes"</formula>
    </cfRule>
  </conditionalFormatting>
  <conditionalFormatting sqref="B21:I21 G22:G25">
    <cfRule type="expression" dxfId="52" priority="3">
      <formula>SUM($H$15:$I$16,$H$18:$I$19)=0</formula>
    </cfRule>
  </conditionalFormatting>
  <conditionalFormatting sqref="B44:I45">
    <cfRule type="expression" dxfId="51" priority="32">
      <formula>OR($H$39&lt;&gt;"Yes", AND($H$41=0,$H$43=0))</formula>
    </cfRule>
  </conditionalFormatting>
  <conditionalFormatting sqref="H5">
    <cfRule type="cellIs" dxfId="50" priority="39" operator="greaterThan">
      <formula>0.03</formula>
    </cfRule>
  </conditionalFormatting>
  <conditionalFormatting sqref="H29">
    <cfRule type="expression" dxfId="49" priority="47">
      <formula>$H$28&lt;&gt;"Yes"</formula>
    </cfRule>
  </conditionalFormatting>
  <conditionalFormatting sqref="H31">
    <cfRule type="expression" dxfId="48" priority="72">
      <formula>$H$30&lt;&gt;"Yes"</formula>
    </cfRule>
  </conditionalFormatting>
  <conditionalFormatting sqref="H33">
    <cfRule type="expression" dxfId="47" priority="15">
      <formula>$H$32&lt;&gt;"Yes"</formula>
    </cfRule>
  </conditionalFormatting>
  <conditionalFormatting sqref="H35">
    <cfRule type="expression" dxfId="46" priority="44">
      <formula>$H$34&lt;&gt;"Yes"</formula>
    </cfRule>
  </conditionalFormatting>
  <conditionalFormatting sqref="H39 H41 H43">
    <cfRule type="expression" dxfId="45" priority="22">
      <formula>OR($H$28="",$H$30="",$H$32="",$H$34="")</formula>
    </cfRule>
  </conditionalFormatting>
  <conditionalFormatting sqref="H40 H42 B39:G43">
    <cfRule type="expression" dxfId="44" priority="23">
      <formula>OR($H$28="",$H$30="",$H$32="",$H$34="")</formula>
    </cfRule>
  </conditionalFormatting>
  <conditionalFormatting sqref="H40 H42 B40:G43">
    <cfRule type="expression" dxfId="43" priority="51">
      <formula>OR($H$39&lt;&gt;"Yes",$H$38="N/A")</formula>
    </cfRule>
  </conditionalFormatting>
  <conditionalFormatting sqref="H41 H43">
    <cfRule type="expression" dxfId="42" priority="26">
      <formula>OR($H$39&lt;&gt;"Yes",$H$38="N/A")</formula>
    </cfRule>
    <cfRule type="expression" dxfId="41" priority="31">
      <formula>SUM($H$41,$H$43)&gt;$H$38</formula>
    </cfRule>
  </conditionalFormatting>
  <conditionalFormatting sqref="H41">
    <cfRule type="expression" dxfId="40" priority="28">
      <formula>$H$41&gt;$H$40</formula>
    </cfRule>
  </conditionalFormatting>
  <conditionalFormatting sqref="H43">
    <cfRule type="expression" dxfId="39" priority="30">
      <formula>$H$43&gt;$H$42</formula>
    </cfRule>
  </conditionalFormatting>
  <conditionalFormatting sqref="H15:I16 H18:I19 H21:I25 H28:I35 H39:I43">
    <cfRule type="expression" dxfId="38" priority="1">
      <formula>DistrictName=""</formula>
    </cfRule>
  </conditionalFormatting>
  <conditionalFormatting sqref="H22:I25">
    <cfRule type="expression" dxfId="37" priority="5">
      <formula>$H$21&lt;&gt;"Yes"</formula>
    </cfRule>
  </conditionalFormatting>
  <conditionalFormatting sqref="H28:I28">
    <cfRule type="expression" dxfId="36" priority="76">
      <formula>OR($H$21="", AND($H$21="Yes",$H$22=0,$H$24=0))</formula>
    </cfRule>
  </conditionalFormatting>
  <conditionalFormatting sqref="H28:I35">
    <cfRule type="expression" dxfId="35" priority="18">
      <formula>AND($H$21="Yes",$H$22=0,$H$23=0,$H$24=0,$H$25=0)</formula>
    </cfRule>
  </conditionalFormatting>
  <conditionalFormatting sqref="H29:I29">
    <cfRule type="expression" dxfId="34" priority="46">
      <formula>AND($H$28&lt;&gt;"Yes",$H$29&lt;&gt;0)</formula>
    </cfRule>
  </conditionalFormatting>
  <conditionalFormatting sqref="H30:I30">
    <cfRule type="expression" dxfId="33" priority="60">
      <formula>OR($H$28="",AND($H$28="Yes",$H$29=0))</formula>
    </cfRule>
  </conditionalFormatting>
  <conditionalFormatting sqref="H31:I31">
    <cfRule type="expression" dxfId="32" priority="43">
      <formula>AND($H$30&lt;&gt;"Yes",$H$31&lt;&gt;0)</formula>
    </cfRule>
  </conditionalFormatting>
  <conditionalFormatting sqref="H32:I32">
    <cfRule type="expression" dxfId="31" priority="13">
      <formula>OR($H$30="", AND($H$30="Yes",$H$31=0))</formula>
    </cfRule>
  </conditionalFormatting>
  <conditionalFormatting sqref="H34:I34">
    <cfRule type="expression" dxfId="30" priority="38">
      <formula>OR($H$32="", AND($H$32="Yes",$H$33=0))</formula>
    </cfRule>
  </conditionalFormatting>
  <dataValidations count="7">
    <dataValidation type="list" allowBlank="1" showInputMessage="1" showErrorMessage="1" error="This is a Yes/No question. Do not enter numbers in this field." prompt="The &quot;Recovered/Recaptured Property Tax and Refund List&quot; needs to be completed for this section._x000a__x000a_If there are no amounts to be reported on that form, answer these questions with &quot;No.&quot;" sqref="H28:I28" xr:uid="{F361AA98-9161-4A69-9D85-013C33D0341C}">
      <formula1>YesNo</formula1>
    </dataValidation>
    <dataValidation type="whole" operator="lessThanOrEqual" allowBlank="1" showInputMessage="1" showErrorMessage="1" error="That amount either exceeds the district's forgone balance or the 1% cap on forgone amounts recovered for M&amp;O." sqref="H41:I41" xr:uid="{81C7023C-5603-4C93-A050-395A4687ECFB}">
      <formula1>H40</formula1>
    </dataValidation>
    <dataValidation type="whole" operator="lessThanOrEqual" allowBlank="1" showInputMessage="1" showErrorMessage="1" error="That amount either exceeds the district's forgone balance or the 3% cap on forgone amounts recovered for capital projects." sqref="H43:I43" xr:uid="{6CCF9E6C-6FDD-424C-92D6-D8DB0F86907F}">
      <formula1>H42</formula1>
    </dataValidation>
    <dataValidation type="list" allowBlank="1" showInputMessage="1" showErrorMessage="1" error="This is a Yes/No question. Do not enter numbers in this field." sqref="H32:I32 H30:I30 H34:I34 H21:I21 H39:I39" xr:uid="{FFCB98F3-61DC-4296-9024-3ABBC87578A9}">
      <formula1>YesNo</formula1>
    </dataValidation>
    <dataValidation type="decimal" allowBlank="1" showInputMessage="1" showErrorMessage="1" error="Base budget growth cannot exceed 3% per year." sqref="H12:I13" xr:uid="{7850153D-F4C8-4C25-BA20-1464C9AB5B75}">
      <formula1>0</formula1>
      <formula2>0.03</formula2>
    </dataValidation>
    <dataValidation type="list" allowBlank="1" showInputMessage="1" showErrorMessage="1" sqref="G10:I10" xr:uid="{0DEC1014-89D7-4275-8206-A8A57C269BF1}">
      <formula1>CountyList</formula1>
    </dataValidation>
    <dataValidation type="list" allowBlank="1" showInputMessage="1" showErrorMessage="1" sqref="G10:I10" xr:uid="{3F084EA4-9B08-4179-A78E-5D17F20DBEE7}">
      <formula1>UserType</formula1>
    </dataValidation>
  </dataValidations>
  <pageMargins left="0.7" right="0.7" top="0.75" bottom="0.75" header="0.3" footer="0.3"/>
  <pageSetup scale="82" fitToHeight="0" orientation="portrait" horizontalDpi="4294967295" verticalDpi="4294967295" r:id="rId1"/>
  <rowBreaks count="1" manualBreakCount="1">
    <brk id="45"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80382-E85E-2848-97F8-E03A2B349A62}">
  <sheetPr codeName="Sheet8"/>
  <dimension ref="B1:I74"/>
  <sheetViews>
    <sheetView showGridLines="0" showZeros="0" zoomScale="90" zoomScaleNormal="90" workbookViewId="0">
      <selection activeCell="B1" sqref="B1:I1"/>
    </sheetView>
  </sheetViews>
  <sheetFormatPr defaultColWidth="8.75" defaultRowHeight="16.899999999999999" customHeight="1" x14ac:dyDescent="0.25"/>
  <cols>
    <col min="1" max="1" width="2.75" style="1" customWidth="1"/>
    <col min="2" max="2" width="13.25" style="1" customWidth="1"/>
    <col min="3" max="3" width="40.25" style="1" customWidth="1"/>
    <col min="4" max="4" width="25" style="1" customWidth="1"/>
    <col min="5" max="5" width="16.75" style="1" customWidth="1"/>
    <col min="6" max="6" width="5" style="1" customWidth="1"/>
    <col min="7" max="7" width="16.75" style="1" customWidth="1"/>
    <col min="8" max="8" width="5" style="1" customWidth="1"/>
    <col min="9" max="9" width="21.25" style="1" customWidth="1"/>
    <col min="10" max="16384" width="8.75" style="1"/>
  </cols>
  <sheetData>
    <row r="1" spans="2:9" ht="16.899999999999999" customHeight="1" thickBot="1" x14ac:dyDescent="0.3">
      <c r="B1" s="408"/>
      <c r="C1" s="408"/>
      <c r="D1" s="408"/>
      <c r="E1" s="408"/>
      <c r="F1" s="408"/>
      <c r="G1" s="408"/>
      <c r="H1" s="408"/>
      <c r="I1" s="408"/>
    </row>
    <row r="2" spans="2:9" ht="16.899999999999999" customHeight="1" thickBot="1" x14ac:dyDescent="0.3">
      <c r="B2" s="351" t="s">
        <v>222</v>
      </c>
      <c r="C2" s="352"/>
      <c r="D2" s="352"/>
      <c r="E2" s="352"/>
      <c r="F2" s="352"/>
      <c r="G2" s="352"/>
      <c r="H2" s="352"/>
      <c r="I2" s="353"/>
    </row>
    <row r="3" spans="2:9" ht="16.899999999999999" customHeight="1" thickBot="1" x14ac:dyDescent="0.3">
      <c r="B3" s="357" t="str">
        <f>IF(DistrictName&lt;&gt;0,"District Name: "&amp;DistrictName&amp;" and "&amp;DistrictName&amp;" Road &amp; Bridge","District Name:")</f>
        <v>District Name:</v>
      </c>
      <c r="C3" s="358"/>
      <c r="D3" s="358"/>
      <c r="E3" s="358"/>
      <c r="F3" s="358"/>
      <c r="G3" s="358"/>
      <c r="H3" s="358"/>
      <c r="I3" s="359"/>
    </row>
    <row r="4" spans="2:9" ht="16.899999999999999" customHeight="1" x14ac:dyDescent="0.25">
      <c r="B4" s="348" t="s">
        <v>223</v>
      </c>
      <c r="C4" s="349"/>
      <c r="D4" s="350"/>
      <c r="E4" s="360">
        <v>2022</v>
      </c>
      <c r="F4" s="361"/>
      <c r="G4" s="360">
        <v>2023</v>
      </c>
      <c r="H4" s="361"/>
      <c r="I4" s="127">
        <v>2024</v>
      </c>
    </row>
    <row r="5" spans="2:9" ht="16.899999999999999" customHeight="1" x14ac:dyDescent="0.25">
      <c r="B5" s="331" t="str">
        <f>"Non-exempt property tax budget"</f>
        <v>Non-exempt property tax budget</v>
      </c>
      <c r="C5" s="332"/>
      <c r="D5" s="132">
        <f>DistrictName</f>
        <v>0</v>
      </c>
      <c r="E5" s="329" t="str">
        <f>IFERROR(ROUND(
   IF(DistrictName&lt;&gt;0,
     INDEX(DataDump!Z2:Z25,MATCH($D5,DataDump!$C2:$C25,0)),""),0),"")</f>
        <v/>
      </c>
      <c r="F5" s="330"/>
      <c r="G5" s="329" t="str">
        <f>IFERROR(ROUND(
   IF(DistrictName&lt;&gt;0,
     INDEX(DataDump!AA2:AA25,MATCH($D5,DataDump!$C2:$C25,0)),""),0),"")</f>
        <v/>
      </c>
      <c r="H5" s="330"/>
      <c r="I5" s="131" t="str">
        <f>IFERROR(ROUND(
   IF(DistrictName&lt;&gt;0,
     INDEX(DataDump!AB2:AB25,MATCH($D5,DataDump!$C2:$C25,0)),""),0),"")</f>
        <v/>
      </c>
    </row>
    <row r="6" spans="2:9" ht="16.899999999999999" customHeight="1" x14ac:dyDescent="0.25">
      <c r="B6" s="333"/>
      <c r="C6" s="334"/>
      <c r="D6" s="133" t="str">
        <f>IF(D5&lt;&gt;0,"Road and Bridge","")</f>
        <v/>
      </c>
      <c r="E6" s="329" t="str">
        <f>IFERROR(ROUND(
   IF(DistrictName&lt;&gt;0,
     INDEX(DataDump!AC2:AC25,MATCH($D5,DataDump!$C2:$C25,0)),""),0),"")</f>
        <v/>
      </c>
      <c r="F6" s="330"/>
      <c r="G6" s="329" t="str">
        <f>IFERROR(ROUND(
   IF(DistrictName&lt;&gt;0,
     INDEX(DataDump!AD2:AD25,MATCH($D5,DataDump!$C2:$C25,0)),""),0),"")</f>
        <v/>
      </c>
      <c r="H6" s="330"/>
      <c r="I6" s="131" t="str">
        <f>IFERROR(ROUND(
   IF(DistrictName&lt;&gt;0,
     INDEX(DataDump!AE2:AE25,MATCH($D5,DataDump!$C2:$C25,0)),""),0),"")</f>
        <v/>
      </c>
    </row>
    <row r="7" spans="2:9" ht="16.899999999999999" customHeight="1" x14ac:dyDescent="0.25">
      <c r="B7" s="335"/>
      <c r="C7" s="336"/>
      <c r="D7" s="134" t="s">
        <v>235</v>
      </c>
      <c r="E7" s="329">
        <f>SUM(E5:F6)</f>
        <v>0</v>
      </c>
      <c r="F7" s="330"/>
      <c r="G7" s="329">
        <f>SUM(G5:H6)</f>
        <v>0</v>
      </c>
      <c r="H7" s="330"/>
      <c r="I7" s="131">
        <f>SUM(I5:I6)</f>
        <v>0</v>
      </c>
    </row>
    <row r="8" spans="2:9" ht="16.899999999999999" customHeight="1" x14ac:dyDescent="0.25">
      <c r="B8" s="341" t="s">
        <v>224</v>
      </c>
      <c r="C8" s="342"/>
      <c r="D8" s="343"/>
      <c r="E8" s="329" t="str">
        <f>IFERROR(ROUND(
   IF(DistrictName&lt;&gt;0,
     INDEX(DataDump!I2:I25,MATCH($D5,DataDump!$C2:$C25,0)),""),0),"")</f>
        <v/>
      </c>
      <c r="F8" s="330"/>
      <c r="G8" s="329" t="str">
        <f>IFERROR(ROUND(
   IF(DistrictName&lt;&gt;0,
     INDEX(DataDump!I2:I25,MATCH($D5,DataDump!$C2:$C25,0)),""),0),"")</f>
        <v/>
      </c>
      <c r="H8" s="330"/>
      <c r="I8" s="128" t="str">
        <f>IFERROR(ROUND(
   IF(DistrictName&lt;&gt;0,
     INDEX(DataDump!I2:I25,MATCH($D5,DataDump!$C2:$C25,0)),""),0),"")</f>
        <v/>
      </c>
    </row>
    <row r="9" spans="2:9" ht="16.899999999999999" customHeight="1" x14ac:dyDescent="0.25">
      <c r="B9" s="341" t="s">
        <v>225</v>
      </c>
      <c r="C9" s="342"/>
      <c r="D9" s="343"/>
      <c r="E9" s="329" t="str">
        <f>IFERROR(ROUND(
   IF(DistrictName&lt;&gt;0,
     INDEX(DataDump!J2:J25,MATCH($D5,DataDump!$C2:$C25,0)),""),0),"")</f>
        <v/>
      </c>
      <c r="F9" s="330"/>
      <c r="G9" s="329" t="str">
        <f>IFERROR(ROUND(
   IF(DistrictName&lt;&gt;0,
     INDEX(DataDump!J2:J25,MATCH($D5,DataDump!$C2:$C25,0)),""),0),"")</f>
        <v/>
      </c>
      <c r="H9" s="330"/>
      <c r="I9" s="128" t="str">
        <f>IFERROR(ROUND(
   IF(DistrictName&lt;&gt;0,
     INDEX(DataDump!J2:J25,MATCH($D5,DataDump!$C2:$C25,0)),""),0),"")</f>
        <v/>
      </c>
    </row>
    <row r="10" spans="2:9" ht="16.899999999999999" customHeight="1" x14ac:dyDescent="0.25">
      <c r="B10" s="341" t="s">
        <v>226</v>
      </c>
      <c r="C10" s="342"/>
      <c r="D10" s="343"/>
      <c r="E10" s="329">
        <v>0</v>
      </c>
      <c r="F10" s="330"/>
      <c r="G10" s="329" t="str">
        <f>IFERROR(ROUND(
   IF(DistrictName&lt;&gt;0,
     INDEX(DataDump!K2:K25,MATCH($D5,DataDump!$C2:$C25,0)),""),0),"")</f>
        <v/>
      </c>
      <c r="H10" s="330"/>
      <c r="I10" s="128" t="str">
        <f>IFERROR(ROUND(
   IF(DistrictName&lt;&gt;0,
     INDEX(DataDump!K2:K25,MATCH($D5,DataDump!$C2:$C25,0)),""),0),"")</f>
        <v/>
      </c>
    </row>
    <row r="11" spans="2:9" ht="16.899999999999999" customHeight="1" x14ac:dyDescent="0.25">
      <c r="B11" s="341" t="s">
        <v>227</v>
      </c>
      <c r="C11" s="342"/>
      <c r="D11" s="343"/>
      <c r="E11" s="329" t="str">
        <f>IFERROR(ROUND(
   IF(DistrictName&lt;&gt;0,
     INDEX(DataDump!M2:M25,MATCH($D5,DataDump!$C2:$C25,0)),""),0),"")</f>
        <v/>
      </c>
      <c r="F11" s="330"/>
      <c r="G11" s="329" t="str">
        <f>IFERROR(ROUND(
   IF(DistrictName&lt;&gt;0,
     INDEX(DataDump!N2:N25,MATCH($D5,DataDump!$C2:$C25,0)),""),0),"")</f>
        <v/>
      </c>
      <c r="H11" s="330"/>
      <c r="I11" s="128" t="str">
        <f>IFERROR(ROUND(
   IF(DistrictName&lt;&gt;0,
     INDEX(DataDump!O2:O25,MATCH($D5,DataDump!$C2:$C25,0)),""),0),"")</f>
        <v/>
      </c>
    </row>
    <row r="12" spans="2:9" ht="16.899999999999999" customHeight="1" x14ac:dyDescent="0.25">
      <c r="B12" s="341" t="s">
        <v>228</v>
      </c>
      <c r="C12" s="342"/>
      <c r="D12" s="343"/>
      <c r="E12" s="329" t="str">
        <f>IFERROR(ROUND(
   IF(DistrictName&lt;&gt;0,
     INDEX(DataDump!S2:S25,MATCH($D5,DataDump!$C2:$C25,0)),""),0),"")</f>
        <v/>
      </c>
      <c r="F12" s="330"/>
      <c r="G12" s="329" t="str">
        <f>IFERROR(ROUND(
   IF(DistrictName&lt;&gt;0,
     INDEX(DataDump!T2:T25,MATCH($D5,DataDump!$C2:$C25,0)),""),0),"")</f>
        <v/>
      </c>
      <c r="H12" s="330"/>
      <c r="I12" s="128" t="str">
        <f>IFERROR(ROUND(
   IF(DistrictName&lt;&gt;0,
     INDEX(DataDump!U2:U25,MATCH($D5,DataDump!$C2:$C25,0)),""),0),"")</f>
        <v/>
      </c>
    </row>
    <row r="13" spans="2:9" ht="16.899999999999999" customHeight="1" x14ac:dyDescent="0.25">
      <c r="B13" s="341" t="str">
        <f>"Solar Farm Tax Revenue (not added until line 21 after all growth calculations)"</f>
        <v>Solar Farm Tax Revenue (not added until line 21 after all growth calculations)</v>
      </c>
      <c r="C13" s="342"/>
      <c r="D13" s="343"/>
      <c r="E13" s="329" t="str">
        <f>IFERROR(ROUND(
   IF(DistrictName&lt;&gt;0,
     INDEX(DataDump!P2:P25,MATCH($D5,DataDump!$C2:$C25,0)),""),0),"")</f>
        <v/>
      </c>
      <c r="F13" s="330"/>
      <c r="G13" s="338" t="str">
        <f>IFERROR(ROUND(
   IF(DistrictName&lt;&gt;0,
     INDEX(DataDump!Q2:Q25,MATCH($D5,DataDump!$C2:$C25,0)),""),0),"")</f>
        <v/>
      </c>
      <c r="H13" s="338"/>
      <c r="I13" s="128" t="str">
        <f>IFERROR(ROUND(
   IF(DistrictName&lt;&gt;0,
     INDEX(DataDump!R2:R25,MATCH($D5,DataDump!$C2:$C25,0)),""),0),"")</f>
        <v/>
      </c>
    </row>
    <row r="14" spans="2:9" ht="16.899999999999999" customHeight="1" thickBot="1" x14ac:dyDescent="0.3">
      <c r="B14" s="344" t="str">
        <f>"Forgone Recovered for Capital Projects ( - )"</f>
        <v>Forgone Recovered for Capital Projects ( - )</v>
      </c>
      <c r="C14" s="345"/>
      <c r="D14" s="346"/>
      <c r="E14" s="339" t="str">
        <f>IFERROR(ROUND(
   IF(DistrictName&lt;&gt;0,
     INDEX(DataDump!V2:V25,MATCH($D5,DataDump!$C2:$C25,0)),""),0),"")</f>
        <v/>
      </c>
      <c r="F14" s="340"/>
      <c r="G14" s="339" t="str">
        <f>IFERROR(ROUND(
   IF(DistrictName&lt;&gt;0,
     INDEX(DataDump!W2:W25,MATCH($D5,DataDump!$C2:$C25,0)),""),0),"")</f>
        <v/>
      </c>
      <c r="H14" s="340"/>
      <c r="I14" s="129" t="str">
        <f>IFERROR(ROUND(
   IF(DistrictName&lt;&gt;0,
     INDEX(DataDump!X2:X25,MATCH($D5,DataDump!$C2:$C25,0)),""),0),"")</f>
        <v/>
      </c>
    </row>
    <row r="15" spans="2:9" ht="33" customHeight="1" thickBot="1" x14ac:dyDescent="0.3">
      <c r="B15" s="326" t="str">
        <f>"TOTAL Non-Exempt Property Tax Budget (including replacements but not including solar farm tax revenue or forgone amounts recovered for capital projects):"</f>
        <v>TOTAL Non-Exempt Property Tax Budget (including replacements but not including solar farm tax revenue or forgone amounts recovered for capital projects):</v>
      </c>
      <c r="C15" s="327"/>
      <c r="D15" s="328"/>
      <c r="E15" s="337">
        <f>IFERROR(E7+E8+E9+E10+E11+E12-E14,0)</f>
        <v>0</v>
      </c>
      <c r="F15" s="337"/>
      <c r="G15" s="337">
        <f>IFERROR(G7+G8+G9+G10+G11+G12-G14,0)</f>
        <v>0</v>
      </c>
      <c r="H15" s="337"/>
      <c r="I15" s="130">
        <f>IFERROR(I7+I8+I9+I10+I11+I12-I14,0)</f>
        <v>0</v>
      </c>
    </row>
    <row r="16" spans="2:9" ht="33" customHeight="1" thickBot="1" x14ac:dyDescent="0.3">
      <c r="B16" s="347"/>
      <c r="C16" s="347"/>
      <c r="D16" s="347"/>
      <c r="E16" s="347"/>
      <c r="F16" s="347"/>
      <c r="G16" s="347"/>
      <c r="H16" s="347"/>
      <c r="I16" s="347"/>
    </row>
    <row r="17" spans="2:9" ht="16.899999999999999" customHeight="1" thickBot="1" x14ac:dyDescent="0.3">
      <c r="B17" s="354" t="str">
        <f>LEFT('1. Dashboard'!B8,4)&amp;" L-2 Worksheet"</f>
        <v>2025 L-2 Worksheet</v>
      </c>
      <c r="C17" s="355"/>
      <c r="D17" s="355"/>
      <c r="E17" s="355"/>
      <c r="F17" s="355"/>
      <c r="G17" s="355"/>
      <c r="H17" s="355"/>
      <c r="I17" s="356"/>
    </row>
    <row r="18" spans="2:9" ht="16.899999999999999" customHeight="1" thickBot="1" x14ac:dyDescent="0.3">
      <c r="B18" s="324" t="str">
        <f>IF(DistrictName&lt;&gt;0,"District Name: "&amp;DistrictName&amp;" and "&amp;DistrictName&amp;" Road &amp; Bridge","District Name:")</f>
        <v>District Name:</v>
      </c>
      <c r="C18" s="325"/>
      <c r="D18" s="325"/>
      <c r="E18" s="322" t="str">
        <f>"Form Type: County w/County Road &amp; Bridge"</f>
        <v>Form Type: County w/County Road &amp; Bridge</v>
      </c>
      <c r="F18" s="322"/>
      <c r="G18" s="322"/>
      <c r="H18" s="322"/>
      <c r="I18" s="323"/>
    </row>
    <row r="19" spans="2:9" ht="16.899999999999999" customHeight="1" thickBot="1" x14ac:dyDescent="0.3">
      <c r="B19" s="374" t="s">
        <v>170</v>
      </c>
      <c r="C19" s="375"/>
      <c r="D19" s="375"/>
      <c r="E19" s="375"/>
      <c r="F19" s="375"/>
      <c r="G19" s="375"/>
      <c r="H19" s="375"/>
      <c r="I19" s="376"/>
    </row>
    <row r="20" spans="2:9" ht="33" customHeight="1" x14ac:dyDescent="0.25">
      <c r="B20" s="377" t="s">
        <v>154</v>
      </c>
      <c r="C20" s="378"/>
      <c r="D20" s="378"/>
      <c r="E20" s="378"/>
      <c r="F20" s="378"/>
      <c r="G20" s="379"/>
      <c r="H20" s="81" t="s">
        <v>8</v>
      </c>
      <c r="I20" s="101">
        <f>IFERROR(ROUND(MAX(E15:I15),0),"")</f>
        <v>0</v>
      </c>
    </row>
    <row r="21" spans="2:9" ht="16.899999999999999" customHeight="1" x14ac:dyDescent="0.25">
      <c r="B21" s="383" t="s">
        <v>105</v>
      </c>
      <c r="C21" s="384"/>
      <c r="D21" s="384"/>
      <c r="E21" s="384"/>
      <c r="F21" s="384"/>
      <c r="G21" s="385"/>
      <c r="H21" s="86" t="s">
        <v>7</v>
      </c>
      <c r="I21" s="101" t="str">
        <f>IF(I15=MAX(E15:I15),I6,
 IF(G15=MAX(E15:I15),G6,
 IF(E15=MAX(E15:I15),E6)))</f>
        <v/>
      </c>
    </row>
    <row r="22" spans="2:9" ht="16.899999999999999" customHeight="1" x14ac:dyDescent="0.25">
      <c r="B22" s="362" t="s">
        <v>172</v>
      </c>
      <c r="C22" s="363"/>
      <c r="D22" s="363"/>
      <c r="E22" s="364"/>
      <c r="F22" s="86" t="s">
        <v>174</v>
      </c>
      <c r="G22" s="126">
        <f>'1. Dashboard'!H12</f>
        <v>0.03</v>
      </c>
      <c r="H22" s="86" t="s">
        <v>6</v>
      </c>
      <c r="I22" s="90" t="str">
        <f>IF(DistrictName&lt;&gt;0,ROUND((I20-I21)*G22,0),"")</f>
        <v/>
      </c>
    </row>
    <row r="23" spans="2:9" ht="16.899999999999999" customHeight="1" thickBot="1" x14ac:dyDescent="0.3">
      <c r="B23" s="411" t="s">
        <v>173</v>
      </c>
      <c r="C23" s="412"/>
      <c r="D23" s="412"/>
      <c r="E23" s="413"/>
      <c r="F23" s="86" t="s">
        <v>175</v>
      </c>
      <c r="G23" s="126">
        <f>'1. Dashboard'!H13</f>
        <v>0.03</v>
      </c>
      <c r="H23" s="86" t="s">
        <v>5</v>
      </c>
      <c r="I23" s="90" t="str">
        <f>IF(DistrictName&lt;&gt;0,ROUND(I21*G23,0),"")</f>
        <v/>
      </c>
    </row>
    <row r="24" spans="2:9" ht="16.899999999999999" customHeight="1" thickBot="1" x14ac:dyDescent="0.3">
      <c r="B24" s="374" t="s">
        <v>171</v>
      </c>
      <c r="C24" s="375"/>
      <c r="D24" s="375"/>
      <c r="E24" s="375"/>
      <c r="F24" s="375"/>
      <c r="G24" s="375"/>
      <c r="H24" s="375"/>
      <c r="I24" s="376"/>
    </row>
    <row r="25" spans="2:9" ht="16.899999999999999" customHeight="1" x14ac:dyDescent="0.25">
      <c r="B25" s="371" t="s">
        <v>219</v>
      </c>
      <c r="C25" s="372"/>
      <c r="D25" s="372"/>
      <c r="E25" s="372"/>
      <c r="F25" s="372"/>
      <c r="G25" s="373"/>
      <c r="H25" s="88"/>
      <c r="I25" s="89"/>
    </row>
    <row r="26" spans="2:9" ht="16.899999999999999" customHeight="1" x14ac:dyDescent="0.25">
      <c r="B26" s="386" t="str">
        <f>IF(DistrictName=0,"County",DistrictName)</f>
        <v>County</v>
      </c>
      <c r="C26" s="387"/>
      <c r="D26" s="387"/>
      <c r="E26" s="388"/>
      <c r="F26" s="86" t="s">
        <v>155</v>
      </c>
      <c r="G26" s="108" t="str">
        <f>IF(DistrictName&lt;&gt;0,INDEX(DataDump!G2:G25,MATCH(DistrictName,DataDump!C2:C25))," ")</f>
        <v xml:space="preserve"> </v>
      </c>
      <c r="H26" s="88"/>
      <c r="I26" s="89"/>
    </row>
    <row r="27" spans="2:9" ht="16.899999999999999" customHeight="1" x14ac:dyDescent="0.25">
      <c r="B27" s="362" t="s">
        <v>47</v>
      </c>
      <c r="C27" s="363"/>
      <c r="D27" s="363"/>
      <c r="E27" s="364"/>
      <c r="F27" s="86" t="s">
        <v>156</v>
      </c>
      <c r="G27" s="108" t="str">
        <f>IF(DistrictName&lt;&gt;0,INDEX(DataDump!H2:H25,MATCH(DistrictName,DataDump!C2:C25))," ")</f>
        <v xml:space="preserve"> </v>
      </c>
      <c r="H27" s="88"/>
      <c r="I27" s="89"/>
    </row>
    <row r="28" spans="2:9" ht="16.5" customHeight="1" x14ac:dyDescent="0.25">
      <c r="B28" s="380" t="s">
        <v>220</v>
      </c>
      <c r="C28" s="381"/>
      <c r="D28" s="381"/>
      <c r="E28" s="381"/>
      <c r="F28" s="381"/>
      <c r="G28" s="382"/>
      <c r="H28" s="88"/>
      <c r="I28" s="89"/>
    </row>
    <row r="29" spans="2:9" ht="16.899999999999999" customHeight="1" x14ac:dyDescent="0.25">
      <c r="B29" s="386" t="str">
        <f>IF(DistrictName=0,"County",DistrictName)</f>
        <v>County</v>
      </c>
      <c r="C29" s="387"/>
      <c r="D29" s="387"/>
      <c r="E29" s="388"/>
      <c r="F29" s="86" t="s">
        <v>102</v>
      </c>
      <c r="G29" s="108">
        <f>'1. Dashboard'!H15</f>
        <v>0</v>
      </c>
      <c r="H29" s="88"/>
      <c r="I29" s="89"/>
    </row>
    <row r="30" spans="2:9" ht="16.899999999999999" customHeight="1" x14ac:dyDescent="0.25">
      <c r="B30" s="362" t="s">
        <v>47</v>
      </c>
      <c r="C30" s="363"/>
      <c r="D30" s="363"/>
      <c r="E30" s="364"/>
      <c r="F30" s="86" t="s">
        <v>103</v>
      </c>
      <c r="G30" s="108">
        <f>'1. Dashboard'!H16</f>
        <v>0</v>
      </c>
      <c r="H30" s="88"/>
      <c r="I30" s="89"/>
    </row>
    <row r="31" spans="2:9" ht="16.899999999999999" customHeight="1" x14ac:dyDescent="0.25">
      <c r="B31" s="371" t="s">
        <v>221</v>
      </c>
      <c r="C31" s="372"/>
      <c r="D31" s="372"/>
      <c r="E31" s="372"/>
      <c r="F31" s="372"/>
      <c r="G31" s="373"/>
      <c r="H31" s="88"/>
      <c r="I31" s="89"/>
    </row>
    <row r="32" spans="2:9" ht="16.899999999999999" customHeight="1" x14ac:dyDescent="0.25">
      <c r="B32" s="386" t="str">
        <f>IF(DistrictName=0,"County",DistrictName)</f>
        <v>County</v>
      </c>
      <c r="C32" s="387"/>
      <c r="D32" s="387"/>
      <c r="E32" s="388"/>
      <c r="F32" s="86" t="s">
        <v>106</v>
      </c>
      <c r="G32" s="108">
        <f>'1. Dashboard'!H18</f>
        <v>0</v>
      </c>
      <c r="H32" s="88"/>
      <c r="I32" s="89"/>
    </row>
    <row r="33" spans="2:9" ht="16.899999999999999" customHeight="1" x14ac:dyDescent="0.25">
      <c r="B33" s="362" t="s">
        <v>47</v>
      </c>
      <c r="C33" s="363"/>
      <c r="D33" s="363"/>
      <c r="E33" s="364"/>
      <c r="F33" s="86" t="s">
        <v>107</v>
      </c>
      <c r="G33" s="108">
        <f>'1. Dashboard'!H19</f>
        <v>0</v>
      </c>
      <c r="H33" s="88"/>
      <c r="I33" s="89"/>
    </row>
    <row r="34" spans="2:9" ht="16.899999999999999" customHeight="1" x14ac:dyDescent="0.25">
      <c r="B34" s="371" t="s">
        <v>118</v>
      </c>
      <c r="C34" s="372"/>
      <c r="D34" s="372"/>
      <c r="E34" s="372"/>
      <c r="F34" s="372"/>
      <c r="G34" s="373"/>
      <c r="H34" s="88"/>
      <c r="I34" s="89"/>
    </row>
    <row r="35" spans="2:9" ht="33" customHeight="1" x14ac:dyDescent="0.25">
      <c r="B35" s="362" t="s">
        <v>158</v>
      </c>
      <c r="C35" s="363"/>
      <c r="D35" s="363"/>
      <c r="E35" s="364"/>
      <c r="F35" s="86" t="s">
        <v>108</v>
      </c>
      <c r="G35" s="87" t="str">
        <f>IF(DistrictName&lt;&gt;0,ROUND((I20-I21+I22)/(G26+G29),9),"")</f>
        <v/>
      </c>
      <c r="H35" s="88"/>
      <c r="I35" s="89"/>
    </row>
    <row r="36" spans="2:9" ht="33" customHeight="1" x14ac:dyDescent="0.25">
      <c r="B36" s="362" t="s">
        <v>159</v>
      </c>
      <c r="C36" s="363"/>
      <c r="D36" s="363"/>
      <c r="E36" s="364"/>
      <c r="F36" s="86" t="s">
        <v>109</v>
      </c>
      <c r="G36" s="87" t="str">
        <f>IF(DistrictName&lt;&gt;0,ROUND((I21+I23)/(G27+G30),9),"")</f>
        <v/>
      </c>
      <c r="H36" s="88"/>
      <c r="I36" s="89"/>
    </row>
    <row r="37" spans="2:9" ht="33" customHeight="1" x14ac:dyDescent="0.25">
      <c r="B37" s="362" t="s">
        <v>160</v>
      </c>
      <c r="C37" s="363"/>
      <c r="D37" s="363"/>
      <c r="E37" s="364"/>
      <c r="F37" s="86" t="s">
        <v>110</v>
      </c>
      <c r="G37" s="105" t="str">
        <f>IF(DistrictName&lt;&gt;0,ROUND(G32*G35,0),"")</f>
        <v/>
      </c>
      <c r="H37" s="104"/>
      <c r="I37" s="89"/>
    </row>
    <row r="38" spans="2:9" ht="33" customHeight="1" x14ac:dyDescent="0.25">
      <c r="B38" s="362" t="s">
        <v>161</v>
      </c>
      <c r="C38" s="363"/>
      <c r="D38" s="363"/>
      <c r="E38" s="364"/>
      <c r="F38" s="86" t="s">
        <v>111</v>
      </c>
      <c r="G38" s="105" t="str">
        <f>IF(DistrictName&lt;&gt;0,ROUND(G33*G36,0),"")</f>
        <v/>
      </c>
      <c r="H38" s="104"/>
      <c r="I38" s="89"/>
    </row>
    <row r="39" spans="2:9" ht="16.899999999999999" customHeight="1" x14ac:dyDescent="0.25">
      <c r="B39" s="365" t="s">
        <v>162</v>
      </c>
      <c r="C39" s="366"/>
      <c r="D39" s="366"/>
      <c r="E39" s="366"/>
      <c r="F39" s="366"/>
      <c r="G39" s="367"/>
      <c r="H39" s="86" t="s">
        <v>157</v>
      </c>
      <c r="I39" s="90" t="str">
        <f>IF(DistrictName&lt;&gt;0,SUM(G37:G38),"")</f>
        <v/>
      </c>
    </row>
    <row r="40" spans="2:9" ht="16.899999999999999" customHeight="1" x14ac:dyDescent="0.25">
      <c r="B40" s="371" t="s">
        <v>119</v>
      </c>
      <c r="C40" s="372"/>
      <c r="D40" s="372"/>
      <c r="E40" s="372"/>
      <c r="F40" s="372"/>
      <c r="G40" s="373"/>
      <c r="H40" s="88"/>
      <c r="I40" s="89"/>
    </row>
    <row r="41" spans="2:9" ht="16.899999999999999" customHeight="1" x14ac:dyDescent="0.25">
      <c r="B41" s="368" t="s">
        <v>280</v>
      </c>
      <c r="C41" s="369"/>
      <c r="D41" s="369"/>
      <c r="E41" s="370"/>
      <c r="F41" s="86" t="s">
        <v>163</v>
      </c>
      <c r="G41" s="108">
        <f>'1. Dashboard'!H22</f>
        <v>0</v>
      </c>
      <c r="H41" s="88"/>
      <c r="I41" s="89"/>
    </row>
    <row r="42" spans="2:9" ht="16.899999999999999" customHeight="1" x14ac:dyDescent="0.25">
      <c r="B42" s="368" t="s">
        <v>282</v>
      </c>
      <c r="C42" s="369"/>
      <c r="D42" s="369"/>
      <c r="E42" s="370"/>
      <c r="F42" s="86" t="s">
        <v>164</v>
      </c>
      <c r="G42" s="108">
        <f>'1. Dashboard'!H24</f>
        <v>0</v>
      </c>
      <c r="H42" s="88"/>
      <c r="I42" s="89"/>
    </row>
    <row r="43" spans="2:9" ht="16.899999999999999" customHeight="1" x14ac:dyDescent="0.25">
      <c r="B43" s="368" t="s">
        <v>281</v>
      </c>
      <c r="C43" s="369"/>
      <c r="D43" s="369"/>
      <c r="E43" s="370"/>
      <c r="F43" s="86" t="s">
        <v>112</v>
      </c>
      <c r="G43" s="108">
        <f>'1. Dashboard'!H23</f>
        <v>0</v>
      </c>
      <c r="H43" s="88"/>
      <c r="I43" s="89"/>
    </row>
    <row r="44" spans="2:9" ht="16.899999999999999" customHeight="1" x14ac:dyDescent="0.25">
      <c r="B44" s="368" t="s">
        <v>283</v>
      </c>
      <c r="C44" s="369"/>
      <c r="D44" s="369"/>
      <c r="E44" s="370"/>
      <c r="F44" s="86" t="s">
        <v>113</v>
      </c>
      <c r="G44" s="108">
        <f>'1. Dashboard'!H25</f>
        <v>0</v>
      </c>
      <c r="H44" s="88"/>
      <c r="I44" s="89"/>
    </row>
    <row r="45" spans="2:9" ht="16.899999999999999" customHeight="1" x14ac:dyDescent="0.25">
      <c r="B45" s="362" t="s">
        <v>284</v>
      </c>
      <c r="C45" s="363"/>
      <c r="D45" s="363"/>
      <c r="E45" s="364"/>
      <c r="F45" s="86" t="s">
        <v>114</v>
      </c>
      <c r="G45" s="108">
        <f>ROUND(G41*0.8,0)+ROUND(G42*0.9,0)</f>
        <v>0</v>
      </c>
      <c r="H45" s="88"/>
      <c r="I45" s="89"/>
    </row>
    <row r="46" spans="2:9" ht="16.899999999999999" customHeight="1" x14ac:dyDescent="0.25">
      <c r="B46" s="362" t="s">
        <v>285</v>
      </c>
      <c r="C46" s="363"/>
      <c r="D46" s="363"/>
      <c r="E46" s="364"/>
      <c r="F46" s="86" t="s">
        <v>115</v>
      </c>
      <c r="G46" s="108">
        <f>ROUND(G43*0.8,0)+ROUND(G44*0.9,0)</f>
        <v>0</v>
      </c>
      <c r="H46" s="88"/>
      <c r="I46" s="89"/>
    </row>
    <row r="47" spans="2:9" ht="33" customHeight="1" x14ac:dyDescent="0.25">
      <c r="B47" s="362" t="s">
        <v>290</v>
      </c>
      <c r="C47" s="363"/>
      <c r="D47" s="363"/>
      <c r="E47" s="364"/>
      <c r="F47" s="86" t="s">
        <v>286</v>
      </c>
      <c r="G47" s="108" t="str">
        <f>IF(DistrictName&lt;&gt;0,ROUND(G45*G35,0),"")</f>
        <v/>
      </c>
      <c r="H47" s="88"/>
      <c r="I47" s="89"/>
    </row>
    <row r="48" spans="2:9" ht="33" customHeight="1" x14ac:dyDescent="0.25">
      <c r="B48" s="362" t="s">
        <v>289</v>
      </c>
      <c r="C48" s="363"/>
      <c r="D48" s="363"/>
      <c r="E48" s="364"/>
      <c r="F48" s="86" t="s">
        <v>287</v>
      </c>
      <c r="G48" s="108" t="str">
        <f>IF(DistrictName&lt;&gt;0,ROUND(G46*G36,0),"")</f>
        <v/>
      </c>
      <c r="H48" s="88"/>
      <c r="I48" s="89"/>
    </row>
    <row r="49" spans="2:9" ht="16.899999999999999" customHeight="1" x14ac:dyDescent="0.25">
      <c r="B49" s="362" t="str">
        <f>IF(G49="","","One-time budget increase for STC's changed legal interpretation on expiring UR")</f>
        <v/>
      </c>
      <c r="C49" s="363"/>
      <c r="D49" s="363"/>
      <c r="E49" s="364"/>
      <c r="F49" s="86" t="s">
        <v>288</v>
      </c>
      <c r="G49" s="108" t="str">
        <f>IF(DistrictName&lt;&gt;0,IF(INDEX(DataDump!AG2:AG25,MATCH(DistrictName,DataDump!C2:C25))&lt;&gt;0,
                       INDEX(DataDump!AG2:AG25,MATCH(DistrictName,DataDump!C2:C25)),""),"")</f>
        <v/>
      </c>
      <c r="H49" s="88"/>
      <c r="I49" s="89"/>
    </row>
    <row r="50" spans="2:9" ht="16.899999999999999" customHeight="1" x14ac:dyDescent="0.25">
      <c r="B50" s="365" t="s">
        <v>301</v>
      </c>
      <c r="C50" s="366"/>
      <c r="D50" s="366"/>
      <c r="E50" s="366"/>
      <c r="F50" s="366"/>
      <c r="G50" s="367"/>
      <c r="H50" s="86" t="s">
        <v>300</v>
      </c>
      <c r="I50" s="90" t="str">
        <f>IF(DistrictName&lt;&gt;0,SUM(G47:G49),"")</f>
        <v/>
      </c>
    </row>
    <row r="51" spans="2:9" ht="16.899999999999999" customHeight="1" x14ac:dyDescent="0.25">
      <c r="B51" s="371" t="str">
        <f>"8% Cap on Allowable Non-Exempt Budget Increases (Except Expiring Urban Renewal):"</f>
        <v>8% Cap on Allowable Non-Exempt Budget Increases (Except Expiring Urban Renewal):</v>
      </c>
      <c r="C51" s="372"/>
      <c r="D51" s="372"/>
      <c r="E51" s="372"/>
      <c r="F51" s="372"/>
      <c r="G51" s="373"/>
      <c r="H51" s="88"/>
      <c r="I51" s="89"/>
    </row>
    <row r="52" spans="2:9" ht="16.899999999999999" customHeight="1" x14ac:dyDescent="0.25">
      <c r="B52" s="392" t="s">
        <v>302</v>
      </c>
      <c r="C52" s="393"/>
      <c r="D52" s="393"/>
      <c r="E52" s="394"/>
      <c r="F52" s="81" t="s">
        <v>304</v>
      </c>
      <c r="G52" s="109" t="str">
        <f>IF(DistrictName&lt;&gt;0,SUM(I20+I22+I23+I39+I50),"")</f>
        <v/>
      </c>
      <c r="H52" s="88"/>
      <c r="I52" s="89"/>
    </row>
    <row r="53" spans="2:9" ht="16.899999999999999" customHeight="1" x14ac:dyDescent="0.25">
      <c r="B53" s="362" t="s">
        <v>303</v>
      </c>
      <c r="C53" s="363"/>
      <c r="D53" s="363"/>
      <c r="E53" s="364"/>
      <c r="F53" s="81" t="s">
        <v>305</v>
      </c>
      <c r="G53" s="109" t="str">
        <f>IF(DistrictName&lt;&gt;0,ROUND((I20*1.08) + I50,0),"")</f>
        <v/>
      </c>
      <c r="H53" s="88"/>
      <c r="I53" s="89"/>
    </row>
    <row r="54" spans="2:9" ht="16.899999999999999" customHeight="1" x14ac:dyDescent="0.25">
      <c r="B54" s="389" t="str">
        <f>"Total non-exempt budget allowed (lesser of lines 17a and 17b)"</f>
        <v>Total non-exempt budget allowed (lesser of lines 17a and 17b)</v>
      </c>
      <c r="C54" s="390"/>
      <c r="D54" s="390"/>
      <c r="E54" s="390"/>
      <c r="F54" s="390"/>
      <c r="G54" s="391"/>
      <c r="H54" s="82" t="s">
        <v>4</v>
      </c>
      <c r="I54" s="137" t="str">
        <f>IF(DistrictName&lt;&gt;0,MIN(G52:G53),"")</f>
        <v/>
      </c>
    </row>
    <row r="55" spans="2:9" ht="16.899999999999999" customHeight="1" x14ac:dyDescent="0.25">
      <c r="B55" s="409" t="s">
        <v>261</v>
      </c>
      <c r="C55" s="410"/>
      <c r="D55" s="410"/>
      <c r="E55" s="410"/>
      <c r="F55" s="410"/>
      <c r="G55" s="410"/>
      <c r="H55" s="88"/>
      <c r="I55" s="89"/>
    </row>
    <row r="56" spans="2:9" ht="16.899999999999999" customHeight="1" x14ac:dyDescent="0.25">
      <c r="B56" s="396" t="s">
        <v>248</v>
      </c>
      <c r="C56" s="397"/>
      <c r="D56" s="397"/>
      <c r="E56" s="398"/>
      <c r="F56" s="138"/>
      <c r="G56" s="139" t="str">
        <f>IF(DistrictName&lt;&gt;0,INDEX(DataDump!Y2:Y25,MATCH(DistrictName,DataDump!C2:C25))," ")</f>
        <v xml:space="preserve"> </v>
      </c>
      <c r="H56" s="140"/>
      <c r="I56" s="103"/>
    </row>
    <row r="57" spans="2:9" ht="16.899999999999999" customHeight="1" x14ac:dyDescent="0.25">
      <c r="B57" s="368" t="s">
        <v>306</v>
      </c>
      <c r="C57" s="369"/>
      <c r="D57" s="369"/>
      <c r="E57" s="370"/>
      <c r="F57" s="86" t="s">
        <v>3</v>
      </c>
      <c r="G57" s="108">
        <f>'1. Dashboard'!H41</f>
        <v>0</v>
      </c>
      <c r="H57" s="88"/>
      <c r="I57" s="103"/>
    </row>
    <row r="58" spans="2:9" ht="16.899999999999999" customHeight="1" x14ac:dyDescent="0.25">
      <c r="B58" s="368" t="s">
        <v>307</v>
      </c>
      <c r="C58" s="369"/>
      <c r="D58" s="369"/>
      <c r="E58" s="370"/>
      <c r="F58" s="81" t="s">
        <v>2</v>
      </c>
      <c r="G58" s="110">
        <f>'1. Dashboard'!H43</f>
        <v>0</v>
      </c>
      <c r="H58" s="102"/>
      <c r="I58" s="103"/>
    </row>
    <row r="59" spans="2:9" ht="16.899999999999999" customHeight="1" x14ac:dyDescent="0.25">
      <c r="B59" s="392" t="s">
        <v>260</v>
      </c>
      <c r="C59" s="393"/>
      <c r="D59" s="393"/>
      <c r="E59" s="394"/>
      <c r="F59" s="81" t="s">
        <v>1</v>
      </c>
      <c r="G59" s="109" t="str">
        <f>IFERROR(ROUND(
   IF(I15=MAX(E15:I15),'2. L-2 Worksheet'!I13,
   IF(G15=MAX(E15:I15),'2. L-2 Worksheet'!G13,
   IF(E15=MAX(E15:I15),'2. L-2 Worksheet'!E13))),0),"")</f>
        <v/>
      </c>
      <c r="H59" s="88"/>
      <c r="I59" s="89"/>
    </row>
    <row r="60" spans="2:9" ht="16.899999999999999" customHeight="1" x14ac:dyDescent="0.25">
      <c r="B60" s="399" t="s">
        <v>308</v>
      </c>
      <c r="C60" s="400"/>
      <c r="D60" s="400"/>
      <c r="E60" s="400"/>
      <c r="F60" s="400"/>
      <c r="G60" s="401"/>
      <c r="H60" s="82" t="s">
        <v>46</v>
      </c>
      <c r="I60" s="101" t="str">
        <f>IF(DistrictName&lt;&gt;0,SUM(I54,G57:G59),"")</f>
        <v/>
      </c>
    </row>
    <row r="61" spans="2:9" ht="16.899999999999999" customHeight="1" x14ac:dyDescent="0.25">
      <c r="B61" s="371" t="s">
        <v>249</v>
      </c>
      <c r="C61" s="372"/>
      <c r="D61" s="372"/>
      <c r="E61" s="372"/>
      <c r="F61" s="372"/>
      <c r="G61" s="373"/>
      <c r="H61" s="88"/>
      <c r="I61" s="89"/>
    </row>
    <row r="62" spans="2:9" ht="16.899999999999999" customHeight="1" x14ac:dyDescent="0.25">
      <c r="B62" s="392" t="s">
        <v>167</v>
      </c>
      <c r="C62" s="393"/>
      <c r="D62" s="393"/>
      <c r="E62" s="394"/>
      <c r="F62" s="81" t="s">
        <v>116</v>
      </c>
      <c r="G62" s="110" t="str">
        <f>IF(DistrictName&lt;&gt;0,INDEX(DataDump!I2:I25,MATCH(DistrictName,DataDump!C2:C25))," ")</f>
        <v xml:space="preserve"> </v>
      </c>
      <c r="H62" s="88"/>
      <c r="I62" s="91"/>
    </row>
    <row r="63" spans="2:9" ht="16.899999999999999" customHeight="1" x14ac:dyDescent="0.25">
      <c r="B63" s="362" t="s">
        <v>168</v>
      </c>
      <c r="C63" s="363"/>
      <c r="D63" s="363"/>
      <c r="E63" s="364"/>
      <c r="F63" s="86" t="s">
        <v>101</v>
      </c>
      <c r="G63" s="108" t="str">
        <f>IF(DistrictName&lt;&gt;0,INDEX(DataDump!J2:J25,MATCH(DistrictName,DataDump!C2:C25))," ")</f>
        <v xml:space="preserve"> </v>
      </c>
      <c r="H63" s="88"/>
      <c r="I63" s="91"/>
    </row>
    <row r="64" spans="2:9" ht="16.899999999999999" customHeight="1" x14ac:dyDescent="0.25">
      <c r="B64" s="362" t="s">
        <v>169</v>
      </c>
      <c r="C64" s="363"/>
      <c r="D64" s="363"/>
      <c r="E64" s="364"/>
      <c r="F64" s="86" t="s">
        <v>124</v>
      </c>
      <c r="G64" s="108" t="str">
        <f>IF(DistrictName&lt;&gt;0,INDEX(DataDump!L2:L25,MATCH(DistrictName,DataDump!C2:C25))," ")</f>
        <v xml:space="preserve"> </v>
      </c>
      <c r="H64" s="88"/>
      <c r="I64" s="91"/>
    </row>
    <row r="65" spans="2:9" ht="16.899999999999999" customHeight="1" x14ac:dyDescent="0.25">
      <c r="B65" s="362" t="s">
        <v>250</v>
      </c>
      <c r="C65" s="363"/>
      <c r="D65" s="363"/>
      <c r="E65" s="364"/>
      <c r="F65" s="86" t="s">
        <v>246</v>
      </c>
      <c r="G65" s="108">
        <f>IF('1. Dashboard'!$H$30="Yes",ROUND('1. Dashboard'!$H$31,0),0)</f>
        <v>0</v>
      </c>
      <c r="H65" s="88"/>
      <c r="I65" s="91"/>
    </row>
    <row r="66" spans="2:9" ht="16.899999999999999" customHeight="1" x14ac:dyDescent="0.25">
      <c r="B66" s="362" t="s">
        <v>251</v>
      </c>
      <c r="C66" s="363"/>
      <c r="D66" s="363"/>
      <c r="E66" s="364"/>
      <c r="F66" s="86" t="s">
        <v>247</v>
      </c>
      <c r="G66" s="108">
        <f>IF('1. Dashboard'!$H$32="Yes",ROUND('1. Dashboard'!$H$33,0),0)</f>
        <v>0</v>
      </c>
      <c r="H66" s="88"/>
      <c r="I66" s="91"/>
    </row>
    <row r="67" spans="2:9" ht="16.899999999999999" customHeight="1" x14ac:dyDescent="0.25">
      <c r="B67" s="389" t="s">
        <v>291</v>
      </c>
      <c r="C67" s="390"/>
      <c r="D67" s="390"/>
      <c r="E67" s="390"/>
      <c r="F67" s="390"/>
      <c r="G67" s="391"/>
      <c r="H67" s="86" t="s">
        <v>117</v>
      </c>
      <c r="I67" s="90" t="str">
        <f>IF(DistrictName&lt;&gt;0,ROUND(SUM(G62:G66),0),"")</f>
        <v/>
      </c>
    </row>
    <row r="68" spans="2:9" ht="16.5" customHeight="1" x14ac:dyDescent="0.25">
      <c r="B68" s="371" t="s">
        <v>255</v>
      </c>
      <c r="C68" s="372"/>
      <c r="D68" s="372"/>
      <c r="E68" s="372"/>
      <c r="F68" s="372"/>
      <c r="G68" s="373"/>
      <c r="H68" s="88"/>
      <c r="I68" s="89"/>
    </row>
    <row r="69" spans="2:9" ht="16.899999999999999" customHeight="1" x14ac:dyDescent="0.25">
      <c r="B69" s="362" t="s">
        <v>252</v>
      </c>
      <c r="C69" s="363"/>
      <c r="D69" s="363"/>
      <c r="E69" s="364"/>
      <c r="F69" s="86" t="s">
        <v>125</v>
      </c>
      <c r="G69" s="108">
        <f>IF('1. Dashboard'!$H$34="Yes",ROUND('1. Dashboard'!$H$35,0),0)</f>
        <v>0</v>
      </c>
      <c r="H69" s="88"/>
      <c r="I69" s="91"/>
    </row>
    <row r="70" spans="2:9" ht="16.899999999999999" customHeight="1" x14ac:dyDescent="0.25">
      <c r="B70" s="362" t="s">
        <v>256</v>
      </c>
      <c r="C70" s="363"/>
      <c r="D70" s="363"/>
      <c r="E70" s="363"/>
      <c r="F70" s="86" t="s">
        <v>253</v>
      </c>
      <c r="G70" s="108">
        <f>IF('1. Dashboard'!$H$28="Yes",ROUND('1. Dashboard'!$H$29,0),0)</f>
        <v>0</v>
      </c>
      <c r="H70" s="88"/>
      <c r="I70" s="91"/>
    </row>
    <row r="71" spans="2:9" ht="16.899999999999999" customHeight="1" thickBot="1" x14ac:dyDescent="0.3">
      <c r="B71" s="402" t="s">
        <v>292</v>
      </c>
      <c r="C71" s="403"/>
      <c r="D71" s="403"/>
      <c r="E71" s="403"/>
      <c r="F71" s="403"/>
      <c r="G71" s="404"/>
      <c r="H71" s="86" t="s">
        <v>254</v>
      </c>
      <c r="I71" s="90" t="str">
        <f>IF(DistrictName&lt;&gt;0,ROUND(SUM(G69:G70),0),"")</f>
        <v/>
      </c>
    </row>
    <row r="72" spans="2:9" ht="16.899999999999999" customHeight="1" thickBot="1" x14ac:dyDescent="0.3">
      <c r="B72" s="374" t="s">
        <v>262</v>
      </c>
      <c r="C72" s="375"/>
      <c r="D72" s="375"/>
      <c r="E72" s="375"/>
      <c r="F72" s="375"/>
      <c r="G72" s="375"/>
      <c r="H72" s="375"/>
      <c r="I72" s="376"/>
    </row>
    <row r="73" spans="2:9" ht="16.899999999999999" customHeight="1" thickBot="1" x14ac:dyDescent="0.3">
      <c r="B73" s="405" t="str">
        <f>"Maximum non-exempt property tax budget including forgone amount (lines 22 - 28 - 31)"</f>
        <v>Maximum non-exempt property tax budget including forgone amount (lines 22 - 28 - 31)</v>
      </c>
      <c r="C73" s="406"/>
      <c r="D73" s="406"/>
      <c r="E73" s="406"/>
      <c r="F73" s="406"/>
      <c r="G73" s="407"/>
      <c r="H73" s="83" t="s">
        <v>293</v>
      </c>
      <c r="I73" s="95" t="str">
        <f>IFERROR(ROUND(I60-I67-I71,0),"")</f>
        <v/>
      </c>
    </row>
    <row r="74" spans="2:9" ht="16.899999999999999" customHeight="1" x14ac:dyDescent="0.25">
      <c r="B74" s="395"/>
      <c r="C74" s="395"/>
      <c r="D74" s="395"/>
      <c r="E74" s="395"/>
      <c r="F74" s="395"/>
      <c r="G74" s="395"/>
      <c r="H74" s="395"/>
      <c r="I74" s="395"/>
    </row>
  </sheetData>
  <sheetProtection algorithmName="SHA-512" hashValue="4JjwJchMsSRX9vvpzP7Qu/Q3EIQrbhrnDufDB3FuJmlLgTIWC8NvFYMc8JJPZyFAabAqkyOwA8o0WFQM1qmNpQ==" saltValue="bDqXH8YCyvlIvQpuwlSZrQ==" spinCount="100000" sheet="1" objects="1" scenarios="1"/>
  <mergeCells count="97">
    <mergeCell ref="B1:I1"/>
    <mergeCell ref="B51:G51"/>
    <mergeCell ref="B55:G55"/>
    <mergeCell ref="B61:G61"/>
    <mergeCell ref="B68:G68"/>
    <mergeCell ref="B67:G67"/>
    <mergeCell ref="B66:E66"/>
    <mergeCell ref="B26:E26"/>
    <mergeCell ref="B27:E27"/>
    <mergeCell ref="B29:E29"/>
    <mergeCell ref="B40:G40"/>
    <mergeCell ref="B22:E22"/>
    <mergeCell ref="B23:E23"/>
    <mergeCell ref="B50:G50"/>
    <mergeCell ref="B47:E47"/>
    <mergeCell ref="B48:E48"/>
    <mergeCell ref="B74:I74"/>
    <mergeCell ref="B63:E63"/>
    <mergeCell ref="B64:E64"/>
    <mergeCell ref="B59:E59"/>
    <mergeCell ref="B56:E56"/>
    <mergeCell ref="B57:E57"/>
    <mergeCell ref="B60:G60"/>
    <mergeCell ref="B71:G71"/>
    <mergeCell ref="B58:E58"/>
    <mergeCell ref="B62:E62"/>
    <mergeCell ref="B65:E65"/>
    <mergeCell ref="B69:E69"/>
    <mergeCell ref="B72:I72"/>
    <mergeCell ref="B73:G73"/>
    <mergeCell ref="B70:E70"/>
    <mergeCell ref="B54:G54"/>
    <mergeCell ref="B52:E52"/>
    <mergeCell ref="B53:E53"/>
    <mergeCell ref="B37:E37"/>
    <mergeCell ref="B38:E38"/>
    <mergeCell ref="B45:E45"/>
    <mergeCell ref="B46:E46"/>
    <mergeCell ref="B42:E42"/>
    <mergeCell ref="B44:E44"/>
    <mergeCell ref="B49:E49"/>
    <mergeCell ref="B34:G34"/>
    <mergeCell ref="B24:I24"/>
    <mergeCell ref="B19:I19"/>
    <mergeCell ref="B31:G31"/>
    <mergeCell ref="B20:G20"/>
    <mergeCell ref="B25:G25"/>
    <mergeCell ref="B28:G28"/>
    <mergeCell ref="B21:G21"/>
    <mergeCell ref="B30:E30"/>
    <mergeCell ref="B32:E32"/>
    <mergeCell ref="B33:E33"/>
    <mergeCell ref="B35:E35"/>
    <mergeCell ref="B36:E36"/>
    <mergeCell ref="B39:G39"/>
    <mergeCell ref="B41:E41"/>
    <mergeCell ref="B43:E43"/>
    <mergeCell ref="B2:I2"/>
    <mergeCell ref="E6:F6"/>
    <mergeCell ref="E7:F7"/>
    <mergeCell ref="B17:I17"/>
    <mergeCell ref="B3:I3"/>
    <mergeCell ref="E4:F4"/>
    <mergeCell ref="G4:H4"/>
    <mergeCell ref="E5:F5"/>
    <mergeCell ref="G5:H5"/>
    <mergeCell ref="E8:F8"/>
    <mergeCell ref="G8:H8"/>
    <mergeCell ref="E9:F9"/>
    <mergeCell ref="G9:H9"/>
    <mergeCell ref="G10:H10"/>
    <mergeCell ref="E11:F11"/>
    <mergeCell ref="G11:H11"/>
    <mergeCell ref="E12:F12"/>
    <mergeCell ref="B16:I16"/>
    <mergeCell ref="E13:F13"/>
    <mergeCell ref="B4:D4"/>
    <mergeCell ref="B8:D8"/>
    <mergeCell ref="B9:D9"/>
    <mergeCell ref="B10:D10"/>
    <mergeCell ref="E10:F10"/>
    <mergeCell ref="E18:I18"/>
    <mergeCell ref="B18:D18"/>
    <mergeCell ref="B15:D15"/>
    <mergeCell ref="G6:H6"/>
    <mergeCell ref="B5:C7"/>
    <mergeCell ref="G7:H7"/>
    <mergeCell ref="E15:F15"/>
    <mergeCell ref="G15:H15"/>
    <mergeCell ref="G12:H12"/>
    <mergeCell ref="G13:H13"/>
    <mergeCell ref="G14:H14"/>
    <mergeCell ref="E14:F14"/>
    <mergeCell ref="B11:D11"/>
    <mergeCell ref="B12:D12"/>
    <mergeCell ref="B13:D13"/>
    <mergeCell ref="B14:D14"/>
  </mergeCells>
  <conditionalFormatting sqref="A17:E17 J17:XFD19 B18 B19:E19 A20:XFD20 A21:E21 H21:XFD21 A22:B23 F22:XFD23 A24:XFD25 A26:B27 F26:XFD27 A28:XFD28 A29:B30 F29:XFD30 A31:XFD31 A32:B33 F32:XFD33 A34:E34 H34:XFD34 A35:B38 F35:XFD38 A39:XFD39 A40:E40 H40:XFD40 A41:B49 F41:XFD49 A50:XFD50 A51:E51 H51:XFD51 F52:XFD53 A52:B54 H54:I61 J54:XFD66 A55:E55 F56:I59 A56:B60 F59:XFD59 A61:E61 A62:B66 F62:I66 A67:XFD67 A68:E68 H68:I68 J68:XFD72 A69:B70 F69:I70 A71:I71 A72:E72 A73:XFD73 A74:B74 J74:XFD74 A75:XFD1048576">
    <cfRule type="containsErrors" dxfId="29" priority="34">
      <formula>ISERROR(A17)</formula>
    </cfRule>
  </conditionalFormatting>
  <conditionalFormatting sqref="B3:B5 B8:B15">
    <cfRule type="containsErrors" dxfId="28" priority="4">
      <formula>ISERROR(B3)</formula>
    </cfRule>
  </conditionalFormatting>
  <conditionalFormatting sqref="B2:E2">
    <cfRule type="containsErrors" dxfId="27" priority="10">
      <formula>ISERROR(B2)</formula>
    </cfRule>
  </conditionalFormatting>
  <conditionalFormatting sqref="E4:I4">
    <cfRule type="containsErrors" dxfId="26" priority="8">
      <formula>ISERROR(E4)</formula>
    </cfRule>
  </conditionalFormatting>
  <conditionalFormatting sqref="E7:I7 E10 E15:I15 I20 G22:G23 G29:G30 G32:G33 G57:G58 G65:G66 G69:G70">
    <cfRule type="expression" dxfId="25" priority="3">
      <formula>DistrictName=0</formula>
    </cfRule>
  </conditionalFormatting>
  <conditionalFormatting sqref="E15:I15">
    <cfRule type="cellIs" dxfId="24" priority="6" operator="equal">
      <formula>0</formula>
    </cfRule>
    <cfRule type="top10" dxfId="23" priority="7" rank="1"/>
  </conditionalFormatting>
  <conditionalFormatting sqref="G41:G49">
    <cfRule type="expression" dxfId="22" priority="1">
      <formula>DistrictName=0</formula>
    </cfRule>
  </conditionalFormatting>
  <conditionalFormatting sqref="G57">
    <cfRule type="expression" dxfId="21" priority="20">
      <formula>$G$57&gt;#REF!</formula>
    </cfRule>
  </conditionalFormatting>
  <conditionalFormatting sqref="G58:G59">
    <cfRule type="expression" dxfId="20" priority="19">
      <formula>$G$58&gt;#REF!</formula>
    </cfRule>
  </conditionalFormatting>
  <conditionalFormatting sqref="I59:I60">
    <cfRule type="expression" dxfId="19" priority="88">
      <formula>#REF!&gt;$G$56</formula>
    </cfRule>
  </conditionalFormatting>
  <printOptions horizontalCentered="1"/>
  <pageMargins left="0.25" right="0.25" top="0.25" bottom="0.25" header="0.3" footer="0.3"/>
  <pageSetup scale="78" fitToHeight="0" orientation="landscape" r:id="rId1"/>
  <rowBreaks count="1" manualBreakCount="1">
    <brk id="33" max="16383" man="1"/>
  </rowBreaks>
  <ignoredErrors>
    <ignoredError sqref="H20:H21 H22:H23 F49"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7D71D-0162-184E-8FAA-223497D37D92}">
  <sheetPr codeName="Sheet9">
    <pageSetUpPr fitToPage="1"/>
  </sheetPr>
  <dimension ref="A1:Q75"/>
  <sheetViews>
    <sheetView showGridLines="0" showZeros="0" zoomScale="90" zoomScaleNormal="90" workbookViewId="0">
      <selection activeCell="B9" sqref="B9:C9"/>
    </sheetView>
  </sheetViews>
  <sheetFormatPr defaultColWidth="8.75" defaultRowHeight="16.899999999999999" customHeight="1" x14ac:dyDescent="0.25"/>
  <cols>
    <col min="1" max="1" width="2.75" style="2" customWidth="1"/>
    <col min="2" max="2" width="2.5" style="2" customWidth="1"/>
    <col min="3" max="3" width="29.375" style="2" customWidth="1"/>
    <col min="4" max="4" width="21.5" style="2" customWidth="1"/>
    <col min="5" max="5" width="19.75" style="2" customWidth="1"/>
    <col min="6" max="6" width="20" style="2" customWidth="1"/>
    <col min="7" max="7" width="22.5" style="2" customWidth="1"/>
    <col min="8" max="8" width="23" style="2" customWidth="1"/>
    <col min="9" max="9" width="8.75" style="2"/>
    <col min="10" max="10" width="13.5" style="2" bestFit="1" customWidth="1"/>
    <col min="11" max="11" width="11.25" style="2" bestFit="1" customWidth="1"/>
    <col min="12" max="16" width="8.75" style="2"/>
    <col min="17" max="17" width="13.75" style="2" bestFit="1" customWidth="1"/>
    <col min="18" max="16384" width="8.75" style="2"/>
  </cols>
  <sheetData>
    <row r="1" spans="1:17" ht="16.899999999999999" customHeight="1" thickBot="1" x14ac:dyDescent="0.3">
      <c r="A1" s="39"/>
      <c r="B1" s="420"/>
      <c r="C1" s="420"/>
      <c r="D1" s="420"/>
      <c r="E1" s="420"/>
      <c r="F1" s="420"/>
      <c r="G1" s="420"/>
      <c r="H1" s="420"/>
    </row>
    <row r="2" spans="1:17" ht="16.899999999999999" customHeight="1" x14ac:dyDescent="0.25">
      <c r="B2" s="423" t="str">
        <f>LEFT('1. Dashboard'!B8,4)&amp;" Dollar Certification of Budget Request to Board of County Commissioners L-2"</f>
        <v>2025 Dollar Certification of Budget Request to Board of County Commissioners L-2</v>
      </c>
      <c r="C2" s="424"/>
      <c r="D2" s="424"/>
      <c r="E2" s="424"/>
      <c r="F2" s="424"/>
      <c r="G2" s="424"/>
      <c r="H2" s="425"/>
      <c r="Q2" s="3"/>
    </row>
    <row r="3" spans="1:17" ht="16.899999999999999" customHeight="1" thickBot="1" x14ac:dyDescent="0.3">
      <c r="B3" s="426" t="s">
        <v>41</v>
      </c>
      <c r="C3" s="427"/>
      <c r="D3" s="427"/>
      <c r="E3" s="427"/>
      <c r="F3" s="427"/>
      <c r="G3" s="427"/>
      <c r="H3" s="428"/>
    </row>
    <row r="4" spans="1:17" ht="16.899999999999999" customHeight="1" x14ac:dyDescent="0.25">
      <c r="B4" s="433" t="str">
        <f>IF(DistrictName&lt;&gt;0,"District Name: "&amp;DistrictName&amp;" and "&amp;DistrictName&amp;" Road &amp; Bridge","District Name:")</f>
        <v>District Name:</v>
      </c>
      <c r="C4" s="434"/>
      <c r="D4" s="434"/>
      <c r="E4" s="434"/>
      <c r="F4" s="434"/>
      <c r="G4" s="434"/>
      <c r="H4" s="435"/>
    </row>
    <row r="5" spans="1:17" ht="16.899999999999999" customHeight="1" x14ac:dyDescent="0.25">
      <c r="B5" s="489" t="s">
        <v>21</v>
      </c>
      <c r="C5" s="490"/>
      <c r="D5" s="429" t="s">
        <v>44</v>
      </c>
      <c r="E5" s="429" t="s">
        <v>43</v>
      </c>
      <c r="F5" s="429" t="s">
        <v>32</v>
      </c>
      <c r="G5" s="429" t="s">
        <v>294</v>
      </c>
      <c r="H5" s="487" t="s">
        <v>42</v>
      </c>
    </row>
    <row r="6" spans="1:17" ht="16.899999999999999" customHeight="1" x14ac:dyDescent="0.25">
      <c r="B6" s="491"/>
      <c r="C6" s="492"/>
      <c r="D6" s="430"/>
      <c r="E6" s="430"/>
      <c r="F6" s="430"/>
      <c r="G6" s="430"/>
      <c r="H6" s="488"/>
    </row>
    <row r="7" spans="1:17" ht="27.75" customHeight="1" x14ac:dyDescent="0.25">
      <c r="B7" s="493"/>
      <c r="C7" s="494"/>
      <c r="D7" s="430"/>
      <c r="E7" s="430"/>
      <c r="F7" s="430"/>
      <c r="G7" s="430"/>
      <c r="H7" s="488"/>
      <c r="K7" s="35"/>
    </row>
    <row r="8" spans="1:17" ht="16.899999999999999" customHeight="1" x14ac:dyDescent="0.25">
      <c r="B8" s="495">
        <v>1</v>
      </c>
      <c r="C8" s="496"/>
      <c r="D8" s="11">
        <v>2</v>
      </c>
      <c r="E8" s="11">
        <v>3</v>
      </c>
      <c r="F8" s="11">
        <v>4</v>
      </c>
      <c r="G8" s="11">
        <v>5</v>
      </c>
      <c r="H8" s="20">
        <v>6</v>
      </c>
    </row>
    <row r="9" spans="1:17" ht="16.899999999999999" customHeight="1" x14ac:dyDescent="0.25">
      <c r="B9" s="418"/>
      <c r="C9" s="419"/>
      <c r="D9" s="31"/>
      <c r="E9" s="31"/>
      <c r="F9" s="31"/>
      <c r="G9" s="31"/>
      <c r="H9" s="50">
        <f>D9-(E9+F9+G9)</f>
        <v>0</v>
      </c>
    </row>
    <row r="10" spans="1:17" ht="16.899999999999999" customHeight="1" x14ac:dyDescent="0.25">
      <c r="B10" s="418"/>
      <c r="C10" s="419"/>
      <c r="D10" s="31"/>
      <c r="E10" s="31"/>
      <c r="F10" s="31"/>
      <c r="G10" s="31"/>
      <c r="H10" s="50">
        <f t="shared" ref="H10:H30" si="0">D10-(E10+F10+G10)</f>
        <v>0</v>
      </c>
    </row>
    <row r="11" spans="1:17" ht="16.899999999999999" customHeight="1" x14ac:dyDescent="0.25">
      <c r="B11" s="418"/>
      <c r="C11" s="419"/>
      <c r="D11" s="31"/>
      <c r="E11" s="31"/>
      <c r="F11" s="31"/>
      <c r="G11" s="31"/>
      <c r="H11" s="50">
        <f t="shared" si="0"/>
        <v>0</v>
      </c>
    </row>
    <row r="12" spans="1:17" ht="16.899999999999999" customHeight="1" x14ac:dyDescent="0.25">
      <c r="B12" s="418"/>
      <c r="C12" s="419"/>
      <c r="D12" s="31"/>
      <c r="E12" s="31"/>
      <c r="F12" s="31"/>
      <c r="G12" s="31"/>
      <c r="H12" s="50">
        <f t="shared" si="0"/>
        <v>0</v>
      </c>
    </row>
    <row r="13" spans="1:17" ht="16.899999999999999" customHeight="1" x14ac:dyDescent="0.25">
      <c r="B13" s="418"/>
      <c r="C13" s="419"/>
      <c r="D13" s="31"/>
      <c r="E13" s="31"/>
      <c r="F13" s="31"/>
      <c r="G13" s="31"/>
      <c r="H13" s="50">
        <f t="shared" si="0"/>
        <v>0</v>
      </c>
    </row>
    <row r="14" spans="1:17" ht="16.899999999999999" customHeight="1" x14ac:dyDescent="0.25">
      <c r="B14" s="418"/>
      <c r="C14" s="419"/>
      <c r="D14" s="31"/>
      <c r="E14" s="31"/>
      <c r="F14" s="31"/>
      <c r="G14" s="31"/>
      <c r="H14" s="50">
        <f t="shared" si="0"/>
        <v>0</v>
      </c>
    </row>
    <row r="15" spans="1:17" ht="16.899999999999999" customHeight="1" x14ac:dyDescent="0.25">
      <c r="B15" s="418"/>
      <c r="C15" s="419"/>
      <c r="D15" s="31"/>
      <c r="E15" s="31"/>
      <c r="F15" s="31"/>
      <c r="G15" s="31"/>
      <c r="H15" s="50">
        <f t="shared" si="0"/>
        <v>0</v>
      </c>
    </row>
    <row r="16" spans="1:17" ht="16.899999999999999" customHeight="1" x14ac:dyDescent="0.25">
      <c r="B16" s="418"/>
      <c r="C16" s="419"/>
      <c r="D16" s="31"/>
      <c r="E16" s="31"/>
      <c r="F16" s="31"/>
      <c r="G16" s="31"/>
      <c r="H16" s="50">
        <f t="shared" si="0"/>
        <v>0</v>
      </c>
    </row>
    <row r="17" spans="2:10" ht="16.899999999999999" customHeight="1" x14ac:dyDescent="0.25">
      <c r="B17" s="418"/>
      <c r="C17" s="419"/>
      <c r="D17" s="31"/>
      <c r="E17" s="31"/>
      <c r="F17" s="31"/>
      <c r="G17" s="31"/>
      <c r="H17" s="50">
        <f t="shared" si="0"/>
        <v>0</v>
      </c>
    </row>
    <row r="18" spans="2:10" ht="16.899999999999999" customHeight="1" x14ac:dyDescent="0.25">
      <c r="B18" s="418"/>
      <c r="C18" s="419"/>
      <c r="D18" s="31"/>
      <c r="E18" s="31"/>
      <c r="F18" s="31"/>
      <c r="G18" s="31"/>
      <c r="H18" s="50">
        <f t="shared" si="0"/>
        <v>0</v>
      </c>
    </row>
    <row r="19" spans="2:10" ht="16.899999999999999" customHeight="1" x14ac:dyDescent="0.25">
      <c r="B19" s="418"/>
      <c r="C19" s="419"/>
      <c r="D19" s="31"/>
      <c r="E19" s="31"/>
      <c r="F19" s="31"/>
      <c r="G19" s="31"/>
      <c r="H19" s="50">
        <f t="shared" si="0"/>
        <v>0</v>
      </c>
    </row>
    <row r="20" spans="2:10" ht="16.899999999999999" customHeight="1" x14ac:dyDescent="0.25">
      <c r="B20" s="418"/>
      <c r="C20" s="419"/>
      <c r="D20" s="31"/>
      <c r="E20" s="31"/>
      <c r="F20" s="31"/>
      <c r="G20" s="31"/>
      <c r="H20" s="50">
        <f t="shared" si="0"/>
        <v>0</v>
      </c>
    </row>
    <row r="21" spans="2:10" ht="16.899999999999999" customHeight="1" x14ac:dyDescent="0.25">
      <c r="B21" s="418"/>
      <c r="C21" s="419"/>
      <c r="D21" s="31"/>
      <c r="E21" s="31"/>
      <c r="F21" s="31"/>
      <c r="G21" s="31"/>
      <c r="H21" s="50">
        <f t="shared" si="0"/>
        <v>0</v>
      </c>
      <c r="J21" s="54"/>
    </row>
    <row r="22" spans="2:10" ht="16.899999999999999" customHeight="1" x14ac:dyDescent="0.25">
      <c r="B22" s="418"/>
      <c r="C22" s="419"/>
      <c r="D22" s="31"/>
      <c r="E22" s="31"/>
      <c r="F22" s="31"/>
      <c r="G22" s="31"/>
      <c r="H22" s="50">
        <f t="shared" si="0"/>
        <v>0</v>
      </c>
    </row>
    <row r="23" spans="2:10" ht="16.899999999999999" customHeight="1" x14ac:dyDescent="0.25">
      <c r="B23" s="418"/>
      <c r="C23" s="419"/>
      <c r="D23" s="31"/>
      <c r="E23" s="31"/>
      <c r="F23" s="31"/>
      <c r="G23" s="31"/>
      <c r="H23" s="50">
        <f t="shared" si="0"/>
        <v>0</v>
      </c>
    </row>
    <row r="24" spans="2:10" ht="16.899999999999999" customHeight="1" x14ac:dyDescent="0.25">
      <c r="B24" s="418"/>
      <c r="C24" s="419"/>
      <c r="D24" s="31"/>
      <c r="E24" s="31"/>
      <c r="F24" s="31"/>
      <c r="G24" s="31"/>
      <c r="H24" s="50">
        <f t="shared" si="0"/>
        <v>0</v>
      </c>
    </row>
    <row r="25" spans="2:10" ht="16.899999999999999" customHeight="1" x14ac:dyDescent="0.25">
      <c r="B25" s="418"/>
      <c r="C25" s="419"/>
      <c r="D25" s="31"/>
      <c r="E25" s="31"/>
      <c r="F25" s="31"/>
      <c r="G25" s="31"/>
      <c r="H25" s="50">
        <f t="shared" si="0"/>
        <v>0</v>
      </c>
    </row>
    <row r="26" spans="2:10" ht="16.899999999999999" customHeight="1" x14ac:dyDescent="0.25">
      <c r="B26" s="418"/>
      <c r="C26" s="419"/>
      <c r="D26" s="31"/>
      <c r="E26" s="31"/>
      <c r="F26" s="31"/>
      <c r="G26" s="31"/>
      <c r="H26" s="50">
        <f t="shared" si="0"/>
        <v>0</v>
      </c>
    </row>
    <row r="27" spans="2:10" ht="16.899999999999999" customHeight="1" x14ac:dyDescent="0.25">
      <c r="B27" s="431" t="s">
        <v>104</v>
      </c>
      <c r="C27" s="432"/>
      <c r="D27" s="31"/>
      <c r="E27" s="31"/>
      <c r="F27" s="31"/>
      <c r="G27" s="31"/>
      <c r="H27" s="50">
        <f t="shared" si="0"/>
        <v>0</v>
      </c>
    </row>
    <row r="28" spans="2:10" ht="16.899999999999999" customHeight="1" x14ac:dyDescent="0.25">
      <c r="B28" s="72" t="str">
        <f>"^"</f>
        <v>^</v>
      </c>
      <c r="C28" s="73" t="str">
        <f>"I.C. §40-801(1)(a)"</f>
        <v>I.C. §40-801(1)(a)</v>
      </c>
      <c r="D28" s="41"/>
      <c r="E28" s="41"/>
      <c r="F28" s="41"/>
      <c r="G28" s="41"/>
      <c r="H28" s="50">
        <f t="shared" si="0"/>
        <v>0</v>
      </c>
      <c r="J28" s="36"/>
    </row>
    <row r="29" spans="2:10" ht="16.899999999999999" customHeight="1" x14ac:dyDescent="0.25">
      <c r="B29" s="72" t="str">
        <f>"^^"</f>
        <v>^^</v>
      </c>
      <c r="C29" s="73" t="str">
        <f>"I.C. §40-801(1)(b)"</f>
        <v>I.C. §40-801(1)(b)</v>
      </c>
      <c r="D29" s="41"/>
      <c r="E29" s="41"/>
      <c r="F29" s="41"/>
      <c r="G29" s="41"/>
      <c r="H29" s="50">
        <f t="shared" si="0"/>
        <v>0</v>
      </c>
      <c r="J29" s="36"/>
    </row>
    <row r="30" spans="2:10" ht="16.899999999999999" customHeight="1" x14ac:dyDescent="0.25">
      <c r="B30" s="421" t="s">
        <v>100</v>
      </c>
      <c r="C30" s="422"/>
      <c r="D30" s="63"/>
      <c r="E30" s="63"/>
      <c r="F30" s="63"/>
      <c r="G30" s="74"/>
      <c r="H30" s="50">
        <f t="shared" si="0"/>
        <v>0</v>
      </c>
      <c r="J30" s="36"/>
    </row>
    <row r="31" spans="2:10" ht="16.899999999999999" customHeight="1" thickBot="1" x14ac:dyDescent="0.3">
      <c r="B31" s="485" t="s">
        <v>48</v>
      </c>
      <c r="C31" s="486"/>
      <c r="D31" s="46">
        <f>SUM(D9:D30)</f>
        <v>0</v>
      </c>
      <c r="E31" s="46">
        <f>SUM(E9:E30)</f>
        <v>0</v>
      </c>
      <c r="F31" s="46">
        <f>SUM(F9:F30)</f>
        <v>0</v>
      </c>
      <c r="G31" s="46">
        <f>SUM(G9:G30)</f>
        <v>0</v>
      </c>
      <c r="H31" s="49">
        <f>ROUND(SUM(H9:H30),0)</f>
        <v>0</v>
      </c>
      <c r="J31" s="36"/>
    </row>
    <row r="32" spans="2:10" ht="18.75" customHeight="1" thickBot="1" x14ac:dyDescent="0.35">
      <c r="B32" s="114"/>
      <c r="C32" s="484" t="s">
        <v>144</v>
      </c>
      <c r="D32" s="484"/>
      <c r="E32" s="484"/>
      <c r="F32" s="484"/>
      <c r="G32" s="484"/>
      <c r="H32" s="115" t="str">
        <f>'2. L-2 Worksheet'!I73</f>
        <v/>
      </c>
      <c r="J32" s="36"/>
    </row>
    <row r="33" spans="2:10" ht="21.75" customHeight="1" x14ac:dyDescent="0.35">
      <c r="B33" s="481" t="s">
        <v>49</v>
      </c>
      <c r="C33" s="482"/>
      <c r="D33" s="482"/>
      <c r="E33" s="482"/>
      <c r="F33" s="482"/>
      <c r="G33" s="482"/>
      <c r="H33" s="483"/>
      <c r="J33" s="36"/>
    </row>
    <row r="34" spans="2:10" ht="16.5" thickBot="1" x14ac:dyDescent="0.3">
      <c r="B34" s="476" t="str">
        <f>"(Bonds, Overrides, &amp; Judgment Funds)"</f>
        <v>(Bonds, Overrides, &amp; Judgment Funds)</v>
      </c>
      <c r="C34" s="477"/>
      <c r="D34" s="477"/>
      <c r="E34" s="477"/>
      <c r="F34" s="477"/>
      <c r="G34" s="477"/>
      <c r="H34" s="478"/>
      <c r="J34" s="36"/>
    </row>
    <row r="35" spans="2:10" ht="16.899999999999999" customHeight="1" x14ac:dyDescent="0.25">
      <c r="B35" s="479"/>
      <c r="C35" s="480"/>
      <c r="D35" s="53"/>
      <c r="E35" s="53"/>
      <c r="F35" s="53"/>
      <c r="G35" s="53"/>
      <c r="H35" s="51">
        <f>D35-(E35+F35+G35)</f>
        <v>0</v>
      </c>
      <c r="J35" s="36"/>
    </row>
    <row r="36" spans="2:10" ht="16.899999999999999" customHeight="1" x14ac:dyDescent="0.25">
      <c r="B36" s="418"/>
      <c r="C36" s="419"/>
      <c r="D36" s="41"/>
      <c r="E36" s="41"/>
      <c r="F36" s="41"/>
      <c r="G36" s="41"/>
      <c r="H36" s="51">
        <f t="shared" ref="H36:H45" si="1">D36-(E36+F36+G36)</f>
        <v>0</v>
      </c>
      <c r="J36" s="36"/>
    </row>
    <row r="37" spans="2:10" ht="16.899999999999999" customHeight="1" x14ac:dyDescent="0.25">
      <c r="B37" s="418"/>
      <c r="C37" s="419"/>
      <c r="D37" s="41"/>
      <c r="E37" s="41"/>
      <c r="F37" s="41"/>
      <c r="G37" s="41"/>
      <c r="H37" s="51">
        <f t="shared" si="1"/>
        <v>0</v>
      </c>
      <c r="J37" s="36"/>
    </row>
    <row r="38" spans="2:10" ht="16.899999999999999" customHeight="1" x14ac:dyDescent="0.25">
      <c r="B38" s="418"/>
      <c r="C38" s="419"/>
      <c r="D38" s="63"/>
      <c r="E38" s="63"/>
      <c r="F38" s="63"/>
      <c r="G38" s="63"/>
      <c r="H38" s="51">
        <f t="shared" si="1"/>
        <v>0</v>
      </c>
      <c r="J38" s="36"/>
    </row>
    <row r="39" spans="2:10" ht="16.899999999999999" customHeight="1" x14ac:dyDescent="0.25">
      <c r="B39" s="418"/>
      <c r="C39" s="419"/>
      <c r="D39" s="63"/>
      <c r="E39" s="63"/>
      <c r="F39" s="63"/>
      <c r="G39" s="63"/>
      <c r="H39" s="51">
        <f t="shared" si="1"/>
        <v>0</v>
      </c>
      <c r="J39" s="36"/>
    </row>
    <row r="40" spans="2:10" ht="16.899999999999999" hidden="1" customHeight="1" x14ac:dyDescent="0.25">
      <c r="B40" s="418"/>
      <c r="C40" s="419"/>
      <c r="D40" s="63"/>
      <c r="E40" s="63"/>
      <c r="F40" s="63"/>
      <c r="G40" s="63"/>
      <c r="H40" s="51">
        <f t="shared" si="1"/>
        <v>0</v>
      </c>
      <c r="J40" s="36"/>
    </row>
    <row r="41" spans="2:10" ht="16.899999999999999" hidden="1" customHeight="1" x14ac:dyDescent="0.25">
      <c r="B41" s="418"/>
      <c r="C41" s="419"/>
      <c r="D41" s="63"/>
      <c r="E41" s="63"/>
      <c r="F41" s="63"/>
      <c r="G41" s="63"/>
      <c r="H41" s="51">
        <f t="shared" si="1"/>
        <v>0</v>
      </c>
      <c r="J41" s="36"/>
    </row>
    <row r="42" spans="2:10" ht="16.899999999999999" hidden="1" customHeight="1" x14ac:dyDescent="0.25">
      <c r="B42" s="418"/>
      <c r="C42" s="419"/>
      <c r="D42" s="63"/>
      <c r="E42" s="63"/>
      <c r="F42" s="63"/>
      <c r="G42" s="63"/>
      <c r="H42" s="51">
        <f t="shared" si="1"/>
        <v>0</v>
      </c>
      <c r="J42" s="36"/>
    </row>
    <row r="43" spans="2:10" ht="16.899999999999999" hidden="1" customHeight="1" x14ac:dyDescent="0.25">
      <c r="B43" s="418"/>
      <c r="C43" s="419"/>
      <c r="D43" s="63"/>
      <c r="E43" s="63"/>
      <c r="F43" s="63"/>
      <c r="G43" s="63"/>
      <c r="H43" s="51">
        <f t="shared" si="1"/>
        <v>0</v>
      </c>
      <c r="J43" s="36"/>
    </row>
    <row r="44" spans="2:10" ht="16.899999999999999" customHeight="1" x14ac:dyDescent="0.25">
      <c r="B44" s="418"/>
      <c r="C44" s="419"/>
      <c r="D44" s="63"/>
      <c r="E44" s="63"/>
      <c r="F44" s="63"/>
      <c r="G44" s="63"/>
      <c r="H44" s="51">
        <f t="shared" si="1"/>
        <v>0</v>
      </c>
      <c r="J44" s="36"/>
    </row>
    <row r="45" spans="2:10" ht="16.899999999999999" customHeight="1" thickBot="1" x14ac:dyDescent="0.3">
      <c r="B45" s="416" t="s">
        <v>48</v>
      </c>
      <c r="C45" s="417"/>
      <c r="D45" s="47">
        <f>SUM(D35:D44)</f>
        <v>0</v>
      </c>
      <c r="E45" s="47">
        <f t="shared" ref="E45:G45" si="2">SUM(E35:E44)</f>
        <v>0</v>
      </c>
      <c r="F45" s="47">
        <f t="shared" si="2"/>
        <v>0</v>
      </c>
      <c r="G45" s="47">
        <f t="shared" si="2"/>
        <v>0</v>
      </c>
      <c r="H45" s="107">
        <f t="shared" si="1"/>
        <v>0</v>
      </c>
      <c r="J45" s="36"/>
    </row>
    <row r="46" spans="2:10" ht="16.899999999999999" customHeight="1" thickTop="1" thickBot="1" x14ac:dyDescent="0.3">
      <c r="B46" s="467" t="s">
        <v>13</v>
      </c>
      <c r="C46" s="468"/>
      <c r="D46" s="44">
        <f>ROUND(D31+D45,0)</f>
        <v>0</v>
      </c>
      <c r="E46" s="44">
        <f>ROUND(E31+E45,0)</f>
        <v>0</v>
      </c>
      <c r="F46" s="44">
        <f>ROUND(F31+F45,0)</f>
        <v>0</v>
      </c>
      <c r="G46" s="44">
        <f>ROUND(G31+G45,0)</f>
        <v>0</v>
      </c>
      <c r="H46" s="45">
        <f>ROUND(H31+H45,0)</f>
        <v>0</v>
      </c>
      <c r="J46" s="36"/>
    </row>
    <row r="47" spans="2:10" ht="16.899999999999999" customHeight="1" thickBot="1" x14ac:dyDescent="0.3">
      <c r="B47" s="474" t="s">
        <v>146</v>
      </c>
      <c r="C47" s="475"/>
      <c r="D47" s="475"/>
      <c r="E47" s="475"/>
      <c r="F47" s="475"/>
      <c r="G47" s="84" t="str">
        <f>IF(DistrictName&lt;&gt;0,'2. L-2 Worksheet'!I67+'2. L-2 Worksheet'!I71,"")</f>
        <v/>
      </c>
      <c r="H47" s="85"/>
      <c r="J47" s="36"/>
    </row>
    <row r="48" spans="2:10" ht="16.899999999999999" customHeight="1" x14ac:dyDescent="0.25">
      <c r="B48" s="414" t="str">
        <f>"I, the undersigned, attest that a public hearing was held and a resolution was adopted to:"</f>
        <v>I, the undersigned, attest that a public hearing was held and a resolution was adopted to:</v>
      </c>
      <c r="C48" s="415"/>
      <c r="D48" s="415"/>
      <c r="E48" s="415"/>
      <c r="F48" s="415"/>
      <c r="G48" s="30" t="str">
        <f>"Max Reserved Forgone:"</f>
        <v>Max Reserved Forgone:</v>
      </c>
      <c r="H48" s="32" t="str">
        <f>IF(DistrictName="","",MAX(MIN('2. L-2 Worksheet'!I73-'3. L-2 Dollar Certification'!H31,('2. L-2 Worksheet'!I54-'2. L-2 Worksheet'!I20)),0))</f>
        <v/>
      </c>
      <c r="J48" s="36"/>
    </row>
    <row r="49" spans="2:10" ht="16.899999999999999" customHeight="1" x14ac:dyDescent="0.25">
      <c r="B49" s="92"/>
      <c r="C49" s="497" t="str">
        <f>"RESERVE the current year's forgone amount, OR"</f>
        <v>RESERVE the current year's forgone amount, OR</v>
      </c>
      <c r="D49" s="497"/>
      <c r="E49" s="497"/>
      <c r="F49" s="497"/>
      <c r="G49" s="19" t="str">
        <f>"Reserved Forgone:"</f>
        <v>Reserved Forgone:</v>
      </c>
      <c r="H49" s="94"/>
      <c r="J49" s="35"/>
    </row>
    <row r="50" spans="2:10" ht="16.899999999999999" customHeight="1" x14ac:dyDescent="0.25">
      <c r="B50" s="93"/>
      <c r="C50" s="497" t="str">
        <f>"RECOVER forgone amounts (line 19 + line 20 of the 'L-2 Worksheet')"</f>
        <v>RECOVER forgone amounts (line 19 + line 20 of the 'L-2 Worksheet')</v>
      </c>
      <c r="D50" s="497"/>
      <c r="E50" s="497"/>
      <c r="F50" s="497"/>
      <c r="G50" s="18" t="str">
        <f>"Recovered Forgone:"</f>
        <v>Recovered Forgone:</v>
      </c>
      <c r="H50" s="21">
        <f>SUM('2. L-2 Worksheet'!G57:G58)</f>
        <v>0</v>
      </c>
    </row>
    <row r="51" spans="2:10" ht="16.899999999999999" customHeight="1" x14ac:dyDescent="0.25">
      <c r="B51" s="499"/>
      <c r="C51" s="500"/>
      <c r="D51" s="500"/>
      <c r="E51" s="500"/>
      <c r="F51" s="500"/>
      <c r="G51" s="500"/>
      <c r="H51" s="501"/>
    </row>
    <row r="52" spans="2:10" ht="16.899999999999999" customHeight="1" thickBot="1" x14ac:dyDescent="0.3">
      <c r="B52" s="517" t="str">
        <f>IF(SUM('2. L-2 Worksheet'!G57:G58)&gt;0,"I have attached the adopted and signed resolution indicating the amount of forgone to be recovered.","I intend to submit a resolution to reserve this year's forgone amount to the STC by 12/31/2025.")</f>
        <v>I intend to submit a resolution to reserve this year's forgone amount to the STC by 12/31/2025.</v>
      </c>
      <c r="C52" s="518"/>
      <c r="D52" s="518"/>
      <c r="E52" s="518"/>
      <c r="F52" s="518"/>
      <c r="G52" s="18" t="str">
        <f>"Initials:"</f>
        <v>Initials:</v>
      </c>
      <c r="H52" s="76"/>
    </row>
    <row r="53" spans="2:10" ht="16.899999999999999" customHeight="1" x14ac:dyDescent="0.25">
      <c r="B53" s="511" t="s">
        <v>20</v>
      </c>
      <c r="C53" s="512"/>
      <c r="D53" s="512"/>
      <c r="E53" s="512"/>
      <c r="F53" s="512"/>
      <c r="G53" s="512"/>
      <c r="H53" s="513"/>
    </row>
    <row r="54" spans="2:10" ht="16.899999999999999" customHeight="1" x14ac:dyDescent="0.25">
      <c r="B54" s="514"/>
      <c r="C54" s="515"/>
      <c r="D54" s="515"/>
      <c r="E54" s="515"/>
      <c r="F54" s="515"/>
      <c r="G54" s="515"/>
      <c r="H54" s="516"/>
    </row>
    <row r="55" spans="2:10" ht="16.899999999999999" customHeight="1" x14ac:dyDescent="0.25">
      <c r="B55" s="472"/>
      <c r="C55" s="464"/>
      <c r="D55" s="470"/>
      <c r="E55" s="464"/>
      <c r="F55" s="463"/>
      <c r="G55" s="464"/>
      <c r="H55" s="453"/>
    </row>
    <row r="56" spans="2:10" ht="16.899999999999999" customHeight="1" x14ac:dyDescent="0.25">
      <c r="B56" s="473"/>
      <c r="C56" s="466"/>
      <c r="D56" s="471"/>
      <c r="E56" s="466"/>
      <c r="F56" s="465"/>
      <c r="G56" s="466"/>
      <c r="H56" s="454"/>
    </row>
    <row r="57" spans="2:10" ht="16.899999999999999" customHeight="1" x14ac:dyDescent="0.25">
      <c r="B57" s="469" t="s">
        <v>153</v>
      </c>
      <c r="C57" s="456"/>
      <c r="D57" s="455" t="s">
        <v>12</v>
      </c>
      <c r="E57" s="456"/>
      <c r="F57" s="455" t="s">
        <v>11</v>
      </c>
      <c r="G57" s="456"/>
      <c r="H57" s="118" t="s">
        <v>10</v>
      </c>
    </row>
    <row r="58" spans="2:10" ht="16.899999999999999" customHeight="1" x14ac:dyDescent="0.25">
      <c r="B58" s="460"/>
      <c r="C58" s="461"/>
      <c r="D58" s="461"/>
      <c r="E58" s="462"/>
      <c r="F58" s="436"/>
      <c r="G58" s="437"/>
      <c r="H58" s="438"/>
    </row>
    <row r="59" spans="2:10" ht="16.899999999999999" customHeight="1" x14ac:dyDescent="0.25">
      <c r="B59" s="457"/>
      <c r="C59" s="458"/>
      <c r="D59" s="458"/>
      <c r="E59" s="459"/>
      <c r="F59" s="439"/>
      <c r="G59" s="440"/>
      <c r="H59" s="441"/>
    </row>
    <row r="60" spans="2:10" ht="16.899999999999999" customHeight="1" x14ac:dyDescent="0.25">
      <c r="B60" s="450"/>
      <c r="C60" s="451"/>
      <c r="D60" s="451"/>
      <c r="E60" s="452"/>
      <c r="F60" s="442"/>
      <c r="G60" s="443"/>
      <c r="H60" s="444"/>
    </row>
    <row r="61" spans="2:10" ht="16.899999999999999" customHeight="1" x14ac:dyDescent="0.25">
      <c r="B61" s="448" t="s">
        <v>16</v>
      </c>
      <c r="C61" s="446"/>
      <c r="D61" s="446"/>
      <c r="E61" s="449"/>
      <c r="F61" s="445" t="s">
        <v>17</v>
      </c>
      <c r="G61" s="446"/>
      <c r="H61" s="447"/>
    </row>
    <row r="62" spans="2:10" ht="16.899999999999999" customHeight="1" x14ac:dyDescent="0.25">
      <c r="B62" s="502"/>
      <c r="C62" s="503"/>
      <c r="D62" s="503"/>
      <c r="E62" s="504"/>
      <c r="F62" s="509"/>
      <c r="G62" s="503"/>
      <c r="H62" s="510"/>
    </row>
    <row r="63" spans="2:10" ht="16.899999999999999" customHeight="1" thickBot="1" x14ac:dyDescent="0.3">
      <c r="B63" s="467" t="s">
        <v>18</v>
      </c>
      <c r="C63" s="508"/>
      <c r="D63" s="508"/>
      <c r="E63" s="468"/>
      <c r="F63" s="505" t="s">
        <v>19</v>
      </c>
      <c r="G63" s="506"/>
      <c r="H63" s="507"/>
    </row>
    <row r="64" spans="2:10" ht="16.899999999999999" customHeight="1" x14ac:dyDescent="0.25">
      <c r="B64" s="395" t="s">
        <v>45</v>
      </c>
      <c r="C64" s="395"/>
      <c r="D64" s="395"/>
      <c r="E64" s="395"/>
      <c r="F64" s="395"/>
      <c r="G64" s="395"/>
      <c r="H64" s="395"/>
    </row>
    <row r="65" spans="2:8" ht="16.899999999999999" customHeight="1" x14ac:dyDescent="0.25">
      <c r="B65" s="498" t="s">
        <v>145</v>
      </c>
      <c r="C65" s="498"/>
      <c r="D65" s="498"/>
      <c r="E65" s="498"/>
      <c r="F65" s="498"/>
      <c r="G65" s="498"/>
      <c r="H65" s="498"/>
    </row>
    <row r="66" spans="2:8" ht="16.899999999999999" customHeight="1" x14ac:dyDescent="0.25">
      <c r="B66" s="498" t="s">
        <v>121</v>
      </c>
      <c r="C66" s="498"/>
      <c r="D66" s="498"/>
      <c r="E66" s="498"/>
      <c r="F66" s="498"/>
      <c r="G66" s="498"/>
      <c r="H66" s="498"/>
    </row>
    <row r="74" spans="2:8" ht="16.899999999999999" customHeight="1" x14ac:dyDescent="0.25">
      <c r="B74" s="5"/>
      <c r="C74" s="5"/>
      <c r="D74" s="4"/>
      <c r="E74" s="4"/>
      <c r="F74" s="4"/>
      <c r="G74" s="4"/>
      <c r="H74" s="4"/>
    </row>
    <row r="75" spans="2:8" ht="16.899999999999999" customHeight="1" x14ac:dyDescent="0.25">
      <c r="B75" s="6"/>
      <c r="C75" s="6"/>
    </row>
  </sheetData>
  <sheetProtection algorithmName="SHA-512" hashValue="jgcAYBFX9CrAKg03xaBBYpeCgqtggTR4him1LUua3R44ynLJ+zkyoOeKDuNJB/bBKVd0Cd/X8WGDh8CHX9LcdQ==" saltValue="PAMSzIrP29Xisx5SA/CN6g==" spinCount="100000" sheet="1" selectLockedCells="1"/>
  <mergeCells count="74">
    <mergeCell ref="C50:F50"/>
    <mergeCell ref="C49:F49"/>
    <mergeCell ref="B64:H64"/>
    <mergeCell ref="B65:H65"/>
    <mergeCell ref="B66:H66"/>
    <mergeCell ref="B51:H51"/>
    <mergeCell ref="B62:E62"/>
    <mergeCell ref="F63:H63"/>
    <mergeCell ref="B63:E63"/>
    <mergeCell ref="F62:H62"/>
    <mergeCell ref="B53:H54"/>
    <mergeCell ref="B52:F52"/>
    <mergeCell ref="B13:C13"/>
    <mergeCell ref="B12:C12"/>
    <mergeCell ref="B22:C22"/>
    <mergeCell ref="B21:C21"/>
    <mergeCell ref="B17:C17"/>
    <mergeCell ref="B16:C16"/>
    <mergeCell ref="B20:C20"/>
    <mergeCell ref="B19:C19"/>
    <mergeCell ref="H5:H7"/>
    <mergeCell ref="B5:C7"/>
    <mergeCell ref="B10:C10"/>
    <mergeCell ref="B9:C9"/>
    <mergeCell ref="B8:C8"/>
    <mergeCell ref="F61:H61"/>
    <mergeCell ref="B61:E61"/>
    <mergeCell ref="B60:E60"/>
    <mergeCell ref="H55:H56"/>
    <mergeCell ref="F57:G57"/>
    <mergeCell ref="B59:E59"/>
    <mergeCell ref="B58:E58"/>
    <mergeCell ref="F55:G56"/>
    <mergeCell ref="D57:E57"/>
    <mergeCell ref="B57:C57"/>
    <mergeCell ref="D55:E56"/>
    <mergeCell ref="B55:C56"/>
    <mergeCell ref="B27:C27"/>
    <mergeCell ref="B4:H4"/>
    <mergeCell ref="B26:C26"/>
    <mergeCell ref="B37:C37"/>
    <mergeCell ref="F58:H60"/>
    <mergeCell ref="B46:C46"/>
    <mergeCell ref="B47:F47"/>
    <mergeCell ref="B18:C18"/>
    <mergeCell ref="B15:C15"/>
    <mergeCell ref="B14:C14"/>
    <mergeCell ref="B34:H34"/>
    <mergeCell ref="B36:C36"/>
    <mergeCell ref="B35:C35"/>
    <mergeCell ref="B33:H33"/>
    <mergeCell ref="C32:G32"/>
    <mergeCell ref="B31:C31"/>
    <mergeCell ref="B38:C38"/>
    <mergeCell ref="B39:C39"/>
    <mergeCell ref="B40:C40"/>
    <mergeCell ref="B41:C41"/>
    <mergeCell ref="B1:H1"/>
    <mergeCell ref="B25:C25"/>
    <mergeCell ref="B24:C24"/>
    <mergeCell ref="B23:C23"/>
    <mergeCell ref="B30:C30"/>
    <mergeCell ref="B11:C11"/>
    <mergeCell ref="B2:H2"/>
    <mergeCell ref="B3:H3"/>
    <mergeCell ref="G5:G7"/>
    <mergeCell ref="F5:F7"/>
    <mergeCell ref="E5:E7"/>
    <mergeCell ref="D5:D7"/>
    <mergeCell ref="B48:F48"/>
    <mergeCell ref="B45:C45"/>
    <mergeCell ref="B42:C42"/>
    <mergeCell ref="B43:C43"/>
    <mergeCell ref="B44:C44"/>
  </mergeCells>
  <conditionalFormatting sqref="G46">
    <cfRule type="expression" dxfId="17" priority="7">
      <formula>AND($G$47&lt;&gt;"",$G$47&lt;&gt;$G$46)</formula>
    </cfRule>
  </conditionalFormatting>
  <conditionalFormatting sqref="H9:H30">
    <cfRule type="cellIs" dxfId="16" priority="10" operator="lessThan">
      <formula>0</formula>
    </cfRule>
  </conditionalFormatting>
  <conditionalFormatting sqref="H30">
    <cfRule type="cellIs" dxfId="14" priority="11" operator="notEqual">
      <formula>0</formula>
    </cfRule>
  </conditionalFormatting>
  <conditionalFormatting sqref="H35:H45">
    <cfRule type="cellIs" dxfId="13" priority="9" operator="lessThan">
      <formula>0</formula>
    </cfRule>
  </conditionalFormatting>
  <conditionalFormatting sqref="H48">
    <cfRule type="expression" dxfId="12" priority="1">
      <formula>SUM($D$9:$G$29)=0</formula>
    </cfRule>
    <cfRule type="expression" dxfId="11" priority="2">
      <formula>AND($H$48&gt;0,$H$50&gt;0)</formula>
    </cfRule>
    <cfRule type="cellIs" dxfId="10" priority="3" operator="lessThan">
      <formula>0</formula>
    </cfRule>
  </conditionalFormatting>
  <conditionalFormatting sqref="H49">
    <cfRule type="expression" dxfId="9" priority="38">
      <formula>$H$49&gt;$H$48</formula>
    </cfRule>
  </conditionalFormatting>
  <printOptions horizontalCentered="1"/>
  <pageMargins left="0.25" right="0.25" top="0.25" bottom="0.25" header="0.5" footer="0.1"/>
  <pageSetup scale="67"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40" id="{849C13D6-ED62-0F46-9F63-99A8A21E9787}">
            <xm:f>$G$31&gt;SUM('2. L-2 Worksheet'!$I$67,'2. L-2 Worksheet'!$I$71)</xm:f>
            <x14:dxf>
              <font>
                <color rgb="FF9C0006"/>
              </font>
              <fill>
                <patternFill>
                  <bgColor rgb="FFFFC7CE"/>
                </patternFill>
              </fill>
            </x14:dxf>
          </x14:cfRule>
          <xm:sqref>G9:G31 G35:G45</xm:sqref>
        </x14:conditionalFormatting>
        <x14:conditionalFormatting xmlns:xm="http://schemas.microsoft.com/office/excel/2006/main">
          <x14:cfRule type="expression" priority="4" id="{CA2ED6C6-827D-4524-BB40-5DB67B712A3B}">
            <xm:f>$H$31&gt;'2. L-2 Worksheet'!$I$73</xm:f>
            <x14:dxf>
              <font>
                <color rgb="FF9C0006"/>
              </font>
              <fill>
                <patternFill>
                  <bgColor rgb="FFFFC7CE"/>
                </patternFill>
              </fill>
            </x14:dxf>
          </x14:cfRule>
          <xm:sqref>H9:H31 H46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ABB97-3647-8644-AFC3-E3B6532F626C}">
  <sheetPr codeName="Sheet10">
    <pageSetUpPr fitToPage="1"/>
  </sheetPr>
  <dimension ref="A1:H55"/>
  <sheetViews>
    <sheetView showGridLines="0" showZeros="0" zoomScale="90" zoomScaleNormal="90" workbookViewId="0">
      <selection activeCell="D6" sqref="D6"/>
    </sheetView>
  </sheetViews>
  <sheetFormatPr defaultColWidth="8.75" defaultRowHeight="16.899999999999999" customHeight="1" x14ac:dyDescent="0.25"/>
  <cols>
    <col min="1" max="1" width="2.75" style="2" customWidth="1"/>
    <col min="2" max="2" width="26.25" style="2" customWidth="1"/>
    <col min="3" max="3" width="21.25" style="2" customWidth="1"/>
    <col min="4" max="5" width="16.75" style="2" customWidth="1"/>
    <col min="6" max="6" width="19.75" style="2" customWidth="1"/>
    <col min="7" max="7" width="18.75" style="2" customWidth="1"/>
    <col min="8" max="8" width="20.625" style="2" customWidth="1"/>
    <col min="9" max="9" width="19.75" style="2" customWidth="1"/>
    <col min="10" max="10" width="8.75" style="2" customWidth="1"/>
    <col min="11" max="11" width="9" style="2" customWidth="1"/>
    <col min="12" max="16384" width="8.75" style="2"/>
  </cols>
  <sheetData>
    <row r="1" spans="1:8" ht="16.899999999999999" customHeight="1" thickBot="1" x14ac:dyDescent="0.3">
      <c r="A1" s="39"/>
    </row>
    <row r="2" spans="1:8" ht="16.899999999999999" customHeight="1" x14ac:dyDescent="0.25">
      <c r="B2" s="534" t="str">
        <f>LEFT('1. Dashboard'!B8,4)&amp;" Levy Rate Calculation Worksheet"</f>
        <v>2025 Levy Rate Calculation Worksheet</v>
      </c>
      <c r="C2" s="535"/>
      <c r="D2" s="535"/>
      <c r="E2" s="535"/>
      <c r="F2" s="535"/>
      <c r="G2" s="535"/>
      <c r="H2" s="536"/>
    </row>
    <row r="3" spans="1:8" ht="16.899999999999999" customHeight="1" thickBot="1" x14ac:dyDescent="0.3">
      <c r="B3" s="537"/>
      <c r="C3" s="538"/>
      <c r="D3" s="538"/>
      <c r="E3" s="538"/>
      <c r="F3" s="538"/>
      <c r="G3" s="538"/>
      <c r="H3" s="539"/>
    </row>
    <row r="4" spans="1:8" ht="16.899999999999999" customHeight="1" thickBot="1" x14ac:dyDescent="0.3">
      <c r="B4" s="40" t="s">
        <v>0</v>
      </c>
      <c r="C4" s="553" t="str">
        <f>IF(DistrictName="","",DistrictName&amp;" and "&amp; DistrictName &amp;" Road &amp; Bridge")</f>
        <v/>
      </c>
      <c r="D4" s="553"/>
      <c r="E4" s="553"/>
      <c r="F4" s="553"/>
      <c r="G4" s="553"/>
      <c r="H4" s="554"/>
    </row>
    <row r="5" spans="1:8" ht="16.899999999999999" customHeight="1" thickBot="1" x14ac:dyDescent="0.3">
      <c r="B5" s="561"/>
      <c r="C5" s="561"/>
      <c r="D5" s="561"/>
      <c r="E5" s="561"/>
      <c r="F5" s="561"/>
      <c r="G5" s="561"/>
      <c r="H5" s="561"/>
    </row>
    <row r="6" spans="1:8" ht="16.899999999999999" customHeight="1" thickBot="1" x14ac:dyDescent="0.3">
      <c r="B6" s="474" t="s">
        <v>296</v>
      </c>
      <c r="C6" s="524"/>
      <c r="D6" s="149"/>
      <c r="E6" s="525" t="str">
        <f>IF($D$6="Yes","Some funds may not generate revenue for Urban Renewal (see below).","Cells related to urban renewal are hidden unless necessary.")</f>
        <v>Cells related to urban renewal are hidden unless necessary.</v>
      </c>
      <c r="F6" s="526"/>
      <c r="G6" s="526"/>
      <c r="H6" s="527"/>
    </row>
    <row r="7" spans="1:8" ht="16.899999999999999" customHeight="1" thickBot="1" x14ac:dyDescent="0.3">
      <c r="B7" s="561"/>
      <c r="C7" s="561"/>
      <c r="D7" s="561"/>
      <c r="E7" s="561"/>
      <c r="F7" s="561"/>
      <c r="G7" s="561"/>
      <c r="H7" s="561"/>
    </row>
    <row r="8" spans="1:8" ht="16.899999999999999" customHeight="1" x14ac:dyDescent="0.25">
      <c r="B8" s="544" t="s">
        <v>40</v>
      </c>
      <c r="C8" s="545"/>
      <c r="D8" s="545"/>
      <c r="E8" s="545"/>
      <c r="F8" s="545"/>
      <c r="G8" s="545"/>
      <c r="H8" s="546"/>
    </row>
    <row r="9" spans="1:8" ht="16.899999999999999" customHeight="1" x14ac:dyDescent="0.25">
      <c r="B9" s="547"/>
      <c r="C9" s="548"/>
      <c r="D9" s="548"/>
      <c r="E9" s="548"/>
      <c r="F9" s="548"/>
      <c r="G9" s="548"/>
      <c r="H9" s="549"/>
    </row>
    <row r="10" spans="1:8" ht="16.899999999999999" customHeight="1" x14ac:dyDescent="0.25">
      <c r="B10" s="550"/>
      <c r="C10" s="551"/>
      <c r="D10" s="551"/>
      <c r="E10" s="551"/>
      <c r="F10" s="551"/>
      <c r="G10" s="551"/>
      <c r="H10" s="552"/>
    </row>
    <row r="11" spans="1:8" ht="16.899999999999999" customHeight="1" x14ac:dyDescent="0.25">
      <c r="B11" s="540" t="s">
        <v>36</v>
      </c>
      <c r="C11" s="528" t="str">
        <f>IF($D$6="Yes","Net Taxable
Market Value
Less U/R Increment","Net Taxable
Market Value")</f>
        <v>Net Taxable
Market Value</v>
      </c>
      <c r="D11" s="528" t="s">
        <v>297</v>
      </c>
      <c r="E11" s="528" t="s">
        <v>298</v>
      </c>
      <c r="F11" s="577" t="s">
        <v>299</v>
      </c>
      <c r="G11" s="578"/>
      <c r="H11" s="579"/>
    </row>
    <row r="12" spans="1:8" ht="16.899999999999999" customHeight="1" x14ac:dyDescent="0.25">
      <c r="B12" s="541"/>
      <c r="C12" s="529"/>
      <c r="D12" s="529"/>
      <c r="E12" s="529"/>
      <c r="F12" s="580"/>
      <c r="G12" s="581"/>
      <c r="H12" s="582"/>
    </row>
    <row r="13" spans="1:8" ht="16.899999999999999" customHeight="1" x14ac:dyDescent="0.25">
      <c r="B13" s="541"/>
      <c r="C13" s="529"/>
      <c r="D13" s="529"/>
      <c r="E13" s="529"/>
      <c r="F13" s="558" t="str">
        <f>IF(AND(DistrictName&lt;&gt;0,D6="Yes"),Hidden!C9,"")</f>
        <v/>
      </c>
      <c r="G13" s="559"/>
      <c r="H13" s="560"/>
    </row>
    <row r="14" spans="1:8" ht="17.25" customHeight="1" x14ac:dyDescent="0.25">
      <c r="B14" s="541"/>
      <c r="C14" s="530"/>
      <c r="D14" s="530"/>
      <c r="E14" s="530"/>
      <c r="F14" s="558" t="str">
        <f>IF(AND(DistrictName&lt;&gt;0,D6="Yes"),Hidden!C10,"")</f>
        <v/>
      </c>
      <c r="G14" s="559"/>
      <c r="H14" s="560"/>
    </row>
    <row r="15" spans="1:8" ht="16.899999999999999" customHeight="1" x14ac:dyDescent="0.25">
      <c r="B15" s="37" t="str">
        <f>'2. L-2 Worksheet'!B26</f>
        <v>County</v>
      </c>
      <c r="C15" s="24"/>
      <c r="D15" s="24"/>
      <c r="E15" s="24"/>
      <c r="F15" s="558" t="str">
        <f>IF(AND(DistrictName&lt;&gt;0,D6="Yes"),Hidden!C11,"")</f>
        <v/>
      </c>
      <c r="G15" s="559">
        <f>C15+D15</f>
        <v>0</v>
      </c>
      <c r="H15" s="560" t="e">
        <f>C15+F15</f>
        <v>#VALUE!</v>
      </c>
    </row>
    <row r="16" spans="1:8" ht="16.899999999999999" customHeight="1" thickBot="1" x14ac:dyDescent="0.3">
      <c r="B16" s="150" t="s">
        <v>47</v>
      </c>
      <c r="C16" s="151"/>
      <c r="D16" s="151"/>
      <c r="E16" s="151"/>
      <c r="F16" s="521" t="str">
        <f>IF(AND(DistrictName&lt;&gt;0,D6="Yes"),Hidden!C12,"")</f>
        <v/>
      </c>
      <c r="G16" s="522">
        <f>C16+D16</f>
        <v>0</v>
      </c>
      <c r="H16" s="523" t="e">
        <f>C16+F16</f>
        <v>#VALUE!</v>
      </c>
    </row>
    <row r="17" spans="2:8" ht="16.899999999999999" customHeight="1" thickBot="1" x14ac:dyDescent="0.3">
      <c r="E17" s="6"/>
      <c r="H17" s="7"/>
    </row>
    <row r="18" spans="2:8" ht="16.899999999999999" customHeight="1" thickBot="1" x14ac:dyDescent="0.3">
      <c r="B18" s="555" t="s">
        <v>37</v>
      </c>
      <c r="C18" s="556"/>
      <c r="D18" s="556"/>
      <c r="E18" s="556"/>
      <c r="F18" s="556"/>
      <c r="G18" s="556"/>
      <c r="H18" s="557"/>
    </row>
    <row r="19" spans="2:8" ht="49.5" customHeight="1" x14ac:dyDescent="0.25">
      <c r="B19" s="38" t="s">
        <v>15</v>
      </c>
      <c r="C19" s="57" t="s">
        <v>14</v>
      </c>
      <c r="D19" s="543" t="str">
        <f>IF($D$6="Yes","Enter U/R Increment Value For RAAs That Should NOT Generate 
Revenue From That Specific Fund*","Leave this Column Blank 
(No U/R)")</f>
        <v>Leave this Column Blank 
(No U/R)</v>
      </c>
      <c r="E19" s="543"/>
      <c r="F19" s="57" t="s">
        <v>38</v>
      </c>
      <c r="G19" s="57" t="s">
        <v>39</v>
      </c>
      <c r="H19" s="145" t="s">
        <v>313</v>
      </c>
    </row>
    <row r="20" spans="2:8" ht="16.899999999999999" customHeight="1" x14ac:dyDescent="0.25">
      <c r="B20" s="66" t="str">
        <f>IF('3. L-2 Dollar Certification'!B9="","",'3. L-2 Dollar Certification'!B9)</f>
        <v/>
      </c>
      <c r="C20" s="33">
        <f>'3. L-2 Dollar Certification'!H9</f>
        <v>0</v>
      </c>
      <c r="D20" s="542"/>
      <c r="E20" s="542"/>
      <c r="F20" s="16">
        <f t="shared" ref="F20:F37" si="0">IFERROR(IF(C20="","",ROUND(C20/($C$15+$D20),9)),0)</f>
        <v>0</v>
      </c>
      <c r="G20" s="25"/>
      <c r="H20" s="144" t="str">
        <f>IF(OR(F20="",G20=""),"", IF(F20&gt;G20,"Over Max",""))</f>
        <v/>
      </c>
    </row>
    <row r="21" spans="2:8" ht="16.899999999999999" customHeight="1" x14ac:dyDescent="0.25">
      <c r="B21" s="66" t="str">
        <f>IF('3. L-2 Dollar Certification'!B10="","",'3. L-2 Dollar Certification'!B10)</f>
        <v/>
      </c>
      <c r="C21" s="33">
        <f>'3. L-2 Dollar Certification'!H10</f>
        <v>0</v>
      </c>
      <c r="D21" s="519"/>
      <c r="E21" s="520"/>
      <c r="F21" s="16">
        <f t="shared" si="0"/>
        <v>0</v>
      </c>
      <c r="G21" s="25"/>
      <c r="H21" s="144" t="str">
        <f t="shared" ref="H21:H40" si="1">IF(OR(F21="",G21=""),"", IF(F21&gt;G21,"Over Max",""))</f>
        <v/>
      </c>
    </row>
    <row r="22" spans="2:8" ht="16.899999999999999" customHeight="1" x14ac:dyDescent="0.25">
      <c r="B22" s="66" t="str">
        <f>IF('3. L-2 Dollar Certification'!B11="","",'3. L-2 Dollar Certification'!B11)</f>
        <v/>
      </c>
      <c r="C22" s="33">
        <f>'3. L-2 Dollar Certification'!H11</f>
        <v>0</v>
      </c>
      <c r="D22" s="519"/>
      <c r="E22" s="520"/>
      <c r="F22" s="16">
        <f t="shared" si="0"/>
        <v>0</v>
      </c>
      <c r="G22" s="25"/>
      <c r="H22" s="144" t="str">
        <f t="shared" si="1"/>
        <v/>
      </c>
    </row>
    <row r="23" spans="2:8" ht="16.899999999999999" customHeight="1" x14ac:dyDescent="0.25">
      <c r="B23" s="66" t="str">
        <f>IF('3. L-2 Dollar Certification'!B12="","",'3. L-2 Dollar Certification'!B12)</f>
        <v/>
      </c>
      <c r="C23" s="33">
        <f>'3. L-2 Dollar Certification'!H12</f>
        <v>0</v>
      </c>
      <c r="D23" s="519"/>
      <c r="E23" s="520"/>
      <c r="F23" s="16">
        <f>IFERROR(IF(C23="","",ROUND(C23/($C$15+$D23),9)),0)</f>
        <v>0</v>
      </c>
      <c r="G23" s="25"/>
      <c r="H23" s="144" t="str">
        <f t="shared" si="1"/>
        <v/>
      </c>
    </row>
    <row r="24" spans="2:8" ht="16.899999999999999" customHeight="1" x14ac:dyDescent="0.25">
      <c r="B24" s="66" t="str">
        <f>IF('3. L-2 Dollar Certification'!B13="","",'3. L-2 Dollar Certification'!B13)</f>
        <v/>
      </c>
      <c r="C24" s="33">
        <f>'3. L-2 Dollar Certification'!H13</f>
        <v>0</v>
      </c>
      <c r="D24" s="519"/>
      <c r="E24" s="520"/>
      <c r="F24" s="16">
        <f t="shared" si="0"/>
        <v>0</v>
      </c>
      <c r="G24" s="25"/>
      <c r="H24" s="144" t="str">
        <f t="shared" si="1"/>
        <v/>
      </c>
    </row>
    <row r="25" spans="2:8" ht="16.899999999999999" customHeight="1" x14ac:dyDescent="0.25">
      <c r="B25" s="66" t="str">
        <f>IF('3. L-2 Dollar Certification'!B14="","",'3. L-2 Dollar Certification'!B14)</f>
        <v/>
      </c>
      <c r="C25" s="33">
        <f>'3. L-2 Dollar Certification'!H14</f>
        <v>0</v>
      </c>
      <c r="D25" s="519"/>
      <c r="E25" s="520"/>
      <c r="F25" s="16">
        <f t="shared" si="0"/>
        <v>0</v>
      </c>
      <c r="G25" s="25"/>
      <c r="H25" s="144" t="str">
        <f t="shared" si="1"/>
        <v/>
      </c>
    </row>
    <row r="26" spans="2:8" ht="16.899999999999999" customHeight="1" x14ac:dyDescent="0.25">
      <c r="B26" s="66" t="str">
        <f>IF('3. L-2 Dollar Certification'!B15="","",'3. L-2 Dollar Certification'!B15)</f>
        <v/>
      </c>
      <c r="C26" s="34">
        <f>'3. L-2 Dollar Certification'!H15</f>
        <v>0</v>
      </c>
      <c r="D26" s="519"/>
      <c r="E26" s="520"/>
      <c r="F26" s="16">
        <f t="shared" si="0"/>
        <v>0</v>
      </c>
      <c r="G26" s="25"/>
      <c r="H26" s="144" t="str">
        <f t="shared" si="1"/>
        <v/>
      </c>
    </row>
    <row r="27" spans="2:8" ht="16.899999999999999" customHeight="1" x14ac:dyDescent="0.25">
      <c r="B27" s="66" t="str">
        <f>IF('3. L-2 Dollar Certification'!B16="","",'3. L-2 Dollar Certification'!B16)</f>
        <v/>
      </c>
      <c r="C27" s="34">
        <f>'3. L-2 Dollar Certification'!H16</f>
        <v>0</v>
      </c>
      <c r="D27" s="519"/>
      <c r="E27" s="520"/>
      <c r="F27" s="16">
        <f t="shared" si="0"/>
        <v>0</v>
      </c>
      <c r="G27" s="25"/>
      <c r="H27" s="144" t="str">
        <f t="shared" si="1"/>
        <v/>
      </c>
    </row>
    <row r="28" spans="2:8" ht="16.899999999999999" customHeight="1" x14ac:dyDescent="0.25">
      <c r="B28" s="66" t="str">
        <f>IF('3. L-2 Dollar Certification'!B17="","",'3. L-2 Dollar Certification'!B17)</f>
        <v/>
      </c>
      <c r="C28" s="34">
        <f>'3. L-2 Dollar Certification'!H17</f>
        <v>0</v>
      </c>
      <c r="D28" s="519"/>
      <c r="E28" s="520"/>
      <c r="F28" s="16">
        <f t="shared" si="0"/>
        <v>0</v>
      </c>
      <c r="G28" s="25"/>
      <c r="H28" s="144" t="str">
        <f t="shared" si="1"/>
        <v/>
      </c>
    </row>
    <row r="29" spans="2:8" ht="16.899999999999999" customHeight="1" x14ac:dyDescent="0.25">
      <c r="B29" s="66" t="str">
        <f>IF('3. L-2 Dollar Certification'!B18="","",'3. L-2 Dollar Certification'!B18)</f>
        <v/>
      </c>
      <c r="C29" s="34">
        <f>'3. L-2 Dollar Certification'!H18</f>
        <v>0</v>
      </c>
      <c r="D29" s="519"/>
      <c r="E29" s="520"/>
      <c r="F29" s="16">
        <f t="shared" si="0"/>
        <v>0</v>
      </c>
      <c r="G29" s="25"/>
      <c r="H29" s="144" t="str">
        <f t="shared" si="1"/>
        <v/>
      </c>
    </row>
    <row r="30" spans="2:8" ht="16.899999999999999" customHeight="1" x14ac:dyDescent="0.25">
      <c r="B30" s="66" t="str">
        <f>IF('3. L-2 Dollar Certification'!B19="","",'3. L-2 Dollar Certification'!B19)</f>
        <v/>
      </c>
      <c r="C30" s="34">
        <f>'3. L-2 Dollar Certification'!H19</f>
        <v>0</v>
      </c>
      <c r="D30" s="519"/>
      <c r="E30" s="520"/>
      <c r="F30" s="16">
        <f t="shared" si="0"/>
        <v>0</v>
      </c>
      <c r="G30" s="25"/>
      <c r="H30" s="144" t="str">
        <f t="shared" si="1"/>
        <v/>
      </c>
    </row>
    <row r="31" spans="2:8" ht="16.899999999999999" customHeight="1" x14ac:dyDescent="0.25">
      <c r="B31" s="66" t="str">
        <f>IF('3. L-2 Dollar Certification'!B20="","",'3. L-2 Dollar Certification'!B20)</f>
        <v/>
      </c>
      <c r="C31" s="34">
        <f>'3. L-2 Dollar Certification'!H20</f>
        <v>0</v>
      </c>
      <c r="D31" s="519"/>
      <c r="E31" s="520"/>
      <c r="F31" s="16">
        <f t="shared" si="0"/>
        <v>0</v>
      </c>
      <c r="G31" s="25"/>
      <c r="H31" s="144" t="str">
        <f t="shared" si="1"/>
        <v/>
      </c>
    </row>
    <row r="32" spans="2:8" ht="16.899999999999999" customHeight="1" x14ac:dyDescent="0.25">
      <c r="B32" s="66" t="str">
        <f>IF('3. L-2 Dollar Certification'!B21="","",'3. L-2 Dollar Certification'!B21)</f>
        <v/>
      </c>
      <c r="C32" s="34">
        <f>'3. L-2 Dollar Certification'!H21</f>
        <v>0</v>
      </c>
      <c r="D32" s="519"/>
      <c r="E32" s="520"/>
      <c r="F32" s="16">
        <f t="shared" si="0"/>
        <v>0</v>
      </c>
      <c r="G32" s="25"/>
      <c r="H32" s="144" t="str">
        <f t="shared" si="1"/>
        <v/>
      </c>
    </row>
    <row r="33" spans="2:8" ht="16.899999999999999" customHeight="1" x14ac:dyDescent="0.25">
      <c r="B33" s="66" t="str">
        <f>IF('3. L-2 Dollar Certification'!B22="","",'3. L-2 Dollar Certification'!B22)</f>
        <v/>
      </c>
      <c r="C33" s="34">
        <f>'3. L-2 Dollar Certification'!H22</f>
        <v>0</v>
      </c>
      <c r="D33" s="519"/>
      <c r="E33" s="520"/>
      <c r="F33" s="16">
        <f t="shared" si="0"/>
        <v>0</v>
      </c>
      <c r="G33" s="25"/>
      <c r="H33" s="144" t="str">
        <f t="shared" si="1"/>
        <v/>
      </c>
    </row>
    <row r="34" spans="2:8" ht="16.899999999999999" customHeight="1" x14ac:dyDescent="0.25">
      <c r="B34" s="66" t="str">
        <f>IF('3. L-2 Dollar Certification'!B23="","",'3. L-2 Dollar Certification'!B23)</f>
        <v/>
      </c>
      <c r="C34" s="34">
        <f>'3. L-2 Dollar Certification'!H23</f>
        <v>0</v>
      </c>
      <c r="D34" s="519"/>
      <c r="E34" s="520"/>
      <c r="F34" s="16">
        <f t="shared" si="0"/>
        <v>0</v>
      </c>
      <c r="G34" s="25"/>
      <c r="H34" s="144" t="str">
        <f t="shared" si="1"/>
        <v/>
      </c>
    </row>
    <row r="35" spans="2:8" ht="16.899999999999999" customHeight="1" x14ac:dyDescent="0.25">
      <c r="B35" s="66" t="str">
        <f>IF('3. L-2 Dollar Certification'!B24="","",'3. L-2 Dollar Certification'!B24)</f>
        <v/>
      </c>
      <c r="C35" s="34">
        <f>'3. L-2 Dollar Certification'!H24</f>
        <v>0</v>
      </c>
      <c r="D35" s="519"/>
      <c r="E35" s="520"/>
      <c r="F35" s="16">
        <f t="shared" si="0"/>
        <v>0</v>
      </c>
      <c r="G35" s="25"/>
      <c r="H35" s="144" t="str">
        <f t="shared" si="1"/>
        <v/>
      </c>
    </row>
    <row r="36" spans="2:8" ht="16.899999999999999" customHeight="1" x14ac:dyDescent="0.25">
      <c r="B36" s="66" t="str">
        <f>IF('3. L-2 Dollar Certification'!B25="","",'3. L-2 Dollar Certification'!B25)</f>
        <v/>
      </c>
      <c r="C36" s="34">
        <f>'3. L-2 Dollar Certification'!H25</f>
        <v>0</v>
      </c>
      <c r="D36" s="519"/>
      <c r="E36" s="520"/>
      <c r="F36" s="16">
        <f t="shared" si="0"/>
        <v>0</v>
      </c>
      <c r="G36" s="25"/>
      <c r="H36" s="144" t="str">
        <f t="shared" si="1"/>
        <v/>
      </c>
    </row>
    <row r="37" spans="2:8" ht="16.899999999999999" customHeight="1" x14ac:dyDescent="0.25">
      <c r="B37" s="66" t="str">
        <f>IF('3. L-2 Dollar Certification'!B26="","",'3. L-2 Dollar Certification'!B26)</f>
        <v/>
      </c>
      <c r="C37" s="34">
        <f>'3. L-2 Dollar Certification'!H26</f>
        <v>0</v>
      </c>
      <c r="D37" s="519"/>
      <c r="E37" s="520"/>
      <c r="F37" s="16">
        <f t="shared" si="0"/>
        <v>0</v>
      </c>
      <c r="G37" s="25"/>
      <c r="H37" s="144" t="str">
        <f t="shared" si="1"/>
        <v/>
      </c>
    </row>
    <row r="38" spans="2:8" ht="16.899999999999999" customHeight="1" x14ac:dyDescent="0.25">
      <c r="B38" s="66" t="str">
        <f>IF('3. L-2 Dollar Certification'!B27="","",'3. L-2 Dollar Certification'!B27)</f>
        <v>County Road &amp; Bridge:</v>
      </c>
      <c r="C38" s="34">
        <f>'3. L-2 Dollar Certification'!H27</f>
        <v>0</v>
      </c>
      <c r="D38" s="519"/>
      <c r="E38" s="520"/>
      <c r="F38" s="16">
        <f>IFERROR(IF(C38="","",ROUND(C38/($C$16+$D38),9)),0)</f>
        <v>0</v>
      </c>
      <c r="G38" s="25"/>
      <c r="H38" s="144" t="str">
        <f t="shared" si="1"/>
        <v/>
      </c>
    </row>
    <row r="39" spans="2:8" ht="16.899999999999999" customHeight="1" x14ac:dyDescent="0.25">
      <c r="B39" s="66" t="str">
        <f>IF('3. L-2 Dollar Certification'!C28="","",'3. L-2 Dollar Certification'!C28)</f>
        <v>I.C. §40-801(1)(a)</v>
      </c>
      <c r="C39" s="34">
        <f>'3. L-2 Dollar Certification'!H28</f>
        <v>0</v>
      </c>
      <c r="D39" s="519"/>
      <c r="E39" s="520"/>
      <c r="F39" s="16">
        <f t="shared" ref="F39:F40" si="2">IFERROR(IF(C39="","",ROUND(C39/($C$16+$D39),9)),0)</f>
        <v>0</v>
      </c>
      <c r="G39" s="25"/>
      <c r="H39" s="144" t="str">
        <f t="shared" si="1"/>
        <v/>
      </c>
    </row>
    <row r="40" spans="2:8" ht="16.899999999999999" customHeight="1" thickBot="1" x14ac:dyDescent="0.3">
      <c r="B40" s="99" t="str">
        <f>IF('3. L-2 Dollar Certification'!C29="","",'3. L-2 Dollar Certification'!C29)</f>
        <v>I.C. §40-801(1)(b)</v>
      </c>
      <c r="C40" s="98">
        <f>'3. L-2 Dollar Certification'!H29</f>
        <v>0</v>
      </c>
      <c r="D40" s="531"/>
      <c r="E40" s="532"/>
      <c r="F40" s="96">
        <f t="shared" si="2"/>
        <v>0</v>
      </c>
      <c r="G40" s="100"/>
      <c r="H40" s="152" t="str">
        <f t="shared" si="1"/>
        <v/>
      </c>
    </row>
    <row r="41" spans="2:8" ht="16.899999999999999" customHeight="1" thickTop="1" thickBot="1" x14ac:dyDescent="0.3">
      <c r="B41" s="55" t="s">
        <v>51</v>
      </c>
      <c r="C41" s="56">
        <f>SUM(C20:C40)</f>
        <v>0</v>
      </c>
      <c r="D41" s="566"/>
      <c r="E41" s="567"/>
      <c r="F41" s="69">
        <f>SUM(F20:F40)</f>
        <v>0</v>
      </c>
      <c r="G41" s="568"/>
      <c r="H41" s="569"/>
    </row>
    <row r="42" spans="2:8" ht="16.899999999999999" customHeight="1" thickBot="1" x14ac:dyDescent="0.3">
      <c r="B42" s="555" t="s">
        <v>49</v>
      </c>
      <c r="C42" s="556"/>
      <c r="D42" s="556"/>
      <c r="E42" s="556"/>
      <c r="F42" s="556"/>
      <c r="G42" s="556"/>
      <c r="H42" s="557"/>
    </row>
    <row r="43" spans="2:8" ht="16.899999999999999" customHeight="1" x14ac:dyDescent="0.25">
      <c r="B43" s="153">
        <f>'3. L-2 Dollar Certification'!B35</f>
        <v>0</v>
      </c>
      <c r="C43" s="42">
        <f>'3. L-2 Dollar Certification'!H35</f>
        <v>0</v>
      </c>
      <c r="D43" s="573"/>
      <c r="E43" s="574"/>
      <c r="F43" s="154">
        <f t="shared" ref="F43:F52" si="3">IFERROR(IF(C43="","",ROUND(C43/($C$15+$D43),9)),0)</f>
        <v>0</v>
      </c>
      <c r="G43" s="43"/>
      <c r="H43" s="146" t="str">
        <f>IF(OR(F43="",G43=""),"", IF(F43&gt;G43,"Over Max",""))</f>
        <v/>
      </c>
    </row>
    <row r="44" spans="2:8" ht="16.899999999999999" customHeight="1" x14ac:dyDescent="0.25">
      <c r="B44" s="66">
        <f>'3. L-2 Dollar Certification'!B36</f>
        <v>0</v>
      </c>
      <c r="C44" s="42">
        <f>'3. L-2 Dollar Certification'!H36</f>
        <v>0</v>
      </c>
      <c r="D44" s="573"/>
      <c r="E44" s="574"/>
      <c r="F44" s="16">
        <f t="shared" si="3"/>
        <v>0</v>
      </c>
      <c r="G44" s="43"/>
      <c r="H44" s="144" t="str">
        <f t="shared" ref="H44:H52" si="4">IF(OR(F44="",G44=""),"", IF(F44&gt;G44,"Over Max",""))</f>
        <v/>
      </c>
    </row>
    <row r="45" spans="2:8" ht="16.899999999999999" customHeight="1" x14ac:dyDescent="0.25">
      <c r="B45" s="67">
        <f>'3. L-2 Dollar Certification'!B37</f>
        <v>0</v>
      </c>
      <c r="C45" s="33">
        <f>'3. L-2 Dollar Certification'!H37</f>
        <v>0</v>
      </c>
      <c r="D45" s="533"/>
      <c r="E45" s="533"/>
      <c r="F45" s="16">
        <f t="shared" si="3"/>
        <v>0</v>
      </c>
      <c r="G45" s="25"/>
      <c r="H45" s="144" t="str">
        <f t="shared" si="4"/>
        <v/>
      </c>
    </row>
    <row r="46" spans="2:8" ht="16.899999999999999" customHeight="1" x14ac:dyDescent="0.25">
      <c r="B46" s="67">
        <f>'3. L-2 Dollar Certification'!B38</f>
        <v>0</v>
      </c>
      <c r="C46" s="33">
        <f>'3. L-2 Dollar Certification'!H38</f>
        <v>0</v>
      </c>
      <c r="D46" s="533"/>
      <c r="E46" s="533"/>
      <c r="F46" s="16">
        <f t="shared" si="3"/>
        <v>0</v>
      </c>
      <c r="G46" s="25"/>
      <c r="H46" s="144" t="str">
        <f t="shared" si="4"/>
        <v/>
      </c>
    </row>
    <row r="47" spans="2:8" ht="16.899999999999999" customHeight="1" x14ac:dyDescent="0.25">
      <c r="B47" s="97">
        <f>'3. L-2 Dollar Certification'!B39</f>
        <v>0</v>
      </c>
      <c r="C47" s="42">
        <f>'3. L-2 Dollar Certification'!H39</f>
        <v>0</v>
      </c>
      <c r="D47" s="572"/>
      <c r="E47" s="572"/>
      <c r="F47" s="16">
        <f t="shared" si="3"/>
        <v>0</v>
      </c>
      <c r="G47" s="25"/>
      <c r="H47" s="144" t="str">
        <f t="shared" si="4"/>
        <v/>
      </c>
    </row>
    <row r="48" spans="2:8" ht="16.899999999999999" customHeight="1" x14ac:dyDescent="0.25">
      <c r="B48" s="67">
        <f>'3. L-2 Dollar Certification'!B40</f>
        <v>0</v>
      </c>
      <c r="C48" s="33">
        <f>'3. L-2 Dollar Certification'!H40</f>
        <v>0</v>
      </c>
      <c r="D48" s="533"/>
      <c r="E48" s="533"/>
      <c r="F48" s="16">
        <f t="shared" si="3"/>
        <v>0</v>
      </c>
      <c r="G48" s="25"/>
      <c r="H48" s="144" t="str">
        <f t="shared" si="4"/>
        <v/>
      </c>
    </row>
    <row r="49" spans="2:8" ht="16.899999999999999" customHeight="1" x14ac:dyDescent="0.25">
      <c r="B49" s="67">
        <f>'3. L-2 Dollar Certification'!B41</f>
        <v>0</v>
      </c>
      <c r="C49" s="33">
        <f>'3. L-2 Dollar Certification'!H41</f>
        <v>0</v>
      </c>
      <c r="D49" s="533"/>
      <c r="E49" s="533"/>
      <c r="F49" s="16">
        <f t="shared" si="3"/>
        <v>0</v>
      </c>
      <c r="G49" s="25"/>
      <c r="H49" s="144" t="str">
        <f t="shared" si="4"/>
        <v/>
      </c>
    </row>
    <row r="50" spans="2:8" ht="16.899999999999999" customHeight="1" x14ac:dyDescent="0.25">
      <c r="B50" s="67">
        <f>'3. L-2 Dollar Certification'!B42</f>
        <v>0</v>
      </c>
      <c r="C50" s="33">
        <f>'3. L-2 Dollar Certification'!H42</f>
        <v>0</v>
      </c>
      <c r="D50" s="533"/>
      <c r="E50" s="533"/>
      <c r="F50" s="16">
        <f t="shared" si="3"/>
        <v>0</v>
      </c>
      <c r="G50" s="25"/>
      <c r="H50" s="144" t="str">
        <f t="shared" si="4"/>
        <v/>
      </c>
    </row>
    <row r="51" spans="2:8" ht="16.899999999999999" customHeight="1" x14ac:dyDescent="0.25">
      <c r="B51" s="67">
        <f>'3. L-2 Dollar Certification'!B43</f>
        <v>0</v>
      </c>
      <c r="C51" s="33">
        <f>'3. L-2 Dollar Certification'!H43</f>
        <v>0</v>
      </c>
      <c r="D51" s="533"/>
      <c r="E51" s="533"/>
      <c r="F51" s="16">
        <f t="shared" si="3"/>
        <v>0</v>
      </c>
      <c r="G51" s="25"/>
      <c r="H51" s="144" t="str">
        <f t="shared" si="4"/>
        <v/>
      </c>
    </row>
    <row r="52" spans="2:8" ht="16.899999999999999" customHeight="1" thickBot="1" x14ac:dyDescent="0.3">
      <c r="B52" s="68">
        <f>'3. L-2 Dollar Certification'!B44</f>
        <v>0</v>
      </c>
      <c r="C52" s="64">
        <f>'3. L-2 Dollar Certification'!H44</f>
        <v>0</v>
      </c>
      <c r="D52" s="575"/>
      <c r="E52" s="576"/>
      <c r="F52" s="96">
        <f t="shared" si="3"/>
        <v>0</v>
      </c>
      <c r="G52" s="65"/>
      <c r="H52" s="152" t="str">
        <f t="shared" si="4"/>
        <v/>
      </c>
    </row>
    <row r="53" spans="2:8" ht="16.899999999999999" customHeight="1" thickTop="1" thickBot="1" x14ac:dyDescent="0.3">
      <c r="B53" s="55" t="s">
        <v>51</v>
      </c>
      <c r="C53" s="56">
        <f>SUM(C43:C52)</f>
        <v>0</v>
      </c>
      <c r="D53" s="566"/>
      <c r="E53" s="567"/>
      <c r="F53" s="69">
        <f>SUM(F43:F52)</f>
        <v>0</v>
      </c>
      <c r="G53" s="570"/>
      <c r="H53" s="571"/>
    </row>
    <row r="54" spans="2:8" ht="16.899999999999999" customHeight="1" thickBot="1" x14ac:dyDescent="0.3">
      <c r="B54" s="52" t="s">
        <v>50</v>
      </c>
      <c r="C54" s="17">
        <f>C41+C53</f>
        <v>0</v>
      </c>
      <c r="D54" s="564"/>
      <c r="E54" s="565"/>
      <c r="F54" s="70">
        <f>F41+F53</f>
        <v>0</v>
      </c>
      <c r="G54" s="562"/>
      <c r="H54" s="563"/>
    </row>
    <row r="55" spans="2:8" ht="16.899999999999999" customHeight="1" x14ac:dyDescent="0.25">
      <c r="B55" s="2" t="s">
        <v>320</v>
      </c>
    </row>
  </sheetData>
  <sheetProtection algorithmName="SHA-512" hashValue="TPyAZrU87cA2HrW5DQJRYQHkcIKZx0ugQiK3iMgyOyoyTMbDBUgKM1oCDRTPKaraJVkOuX5QTDu6zcR5z854Sw==" saltValue="dkQu7AcYsW2iZ/McQF8CLA==" spinCount="100000" sheet="1" selectLockedCells="1"/>
  <mergeCells count="56">
    <mergeCell ref="G54:H54"/>
    <mergeCell ref="B42:H42"/>
    <mergeCell ref="D54:E54"/>
    <mergeCell ref="D41:E41"/>
    <mergeCell ref="G41:H41"/>
    <mergeCell ref="D53:E53"/>
    <mergeCell ref="G53:H53"/>
    <mergeCell ref="D46:E46"/>
    <mergeCell ref="D47:E47"/>
    <mergeCell ref="D48:E48"/>
    <mergeCell ref="D45:E45"/>
    <mergeCell ref="D43:E43"/>
    <mergeCell ref="D44:E44"/>
    <mergeCell ref="D52:E52"/>
    <mergeCell ref="D49:E49"/>
    <mergeCell ref="D51:E51"/>
    <mergeCell ref="B2:H3"/>
    <mergeCell ref="B11:B14"/>
    <mergeCell ref="D21:E21"/>
    <mergeCell ref="D20:E20"/>
    <mergeCell ref="D19:E19"/>
    <mergeCell ref="B8:H10"/>
    <mergeCell ref="C4:H4"/>
    <mergeCell ref="B18:H18"/>
    <mergeCell ref="F15:H15"/>
    <mergeCell ref="B5:H5"/>
    <mergeCell ref="E11:E14"/>
    <mergeCell ref="F11:H12"/>
    <mergeCell ref="F13:H13"/>
    <mergeCell ref="F14:H14"/>
    <mergeCell ref="B7:H7"/>
    <mergeCell ref="D40:E40"/>
    <mergeCell ref="D38:E38"/>
    <mergeCell ref="D37:E37"/>
    <mergeCell ref="D50:E50"/>
    <mergeCell ref="D32:E32"/>
    <mergeCell ref="D36:E36"/>
    <mergeCell ref="D35:E35"/>
    <mergeCell ref="D34:E34"/>
    <mergeCell ref="D33:E33"/>
    <mergeCell ref="D39:E39"/>
    <mergeCell ref="D31:E31"/>
    <mergeCell ref="D30:E30"/>
    <mergeCell ref="D29:E29"/>
    <mergeCell ref="F16:H16"/>
    <mergeCell ref="B6:C6"/>
    <mergeCell ref="E6:H6"/>
    <mergeCell ref="C11:C14"/>
    <mergeCell ref="D11:D14"/>
    <mergeCell ref="D28:E28"/>
    <mergeCell ref="D26:E26"/>
    <mergeCell ref="D24:E24"/>
    <mergeCell ref="D23:E23"/>
    <mergeCell ref="D22:E22"/>
    <mergeCell ref="D27:E27"/>
    <mergeCell ref="D25:E25"/>
  </mergeCells>
  <conditionalFormatting sqref="B8">
    <cfRule type="expression" dxfId="8" priority="1">
      <formula>OR($D$6="",$D$6="No")</formula>
    </cfRule>
  </conditionalFormatting>
  <conditionalFormatting sqref="B55:H55">
    <cfRule type="expression" dxfId="7" priority="7">
      <formula>OR($D$6="",$D$6="No")</formula>
    </cfRule>
  </conditionalFormatting>
  <conditionalFormatting sqref="D11:E15">
    <cfRule type="expression" dxfId="6" priority="2">
      <formula>OR($D$6="",$D$6="No")</formula>
    </cfRule>
  </conditionalFormatting>
  <conditionalFormatting sqref="D16:E16">
    <cfRule type="expression" dxfId="5" priority="3">
      <formula>OR($D$6="",$D$6="No")</formula>
    </cfRule>
  </conditionalFormatting>
  <conditionalFormatting sqref="D20:E40 D43:E52">
    <cfRule type="expression" dxfId="4" priority="9">
      <formula>OR($D$6="",$D$6="No")</formula>
    </cfRule>
  </conditionalFormatting>
  <conditionalFormatting sqref="F11:H12">
    <cfRule type="expression" dxfId="3" priority="5">
      <formula>OR($D$6="",$D$6="No")</formula>
    </cfRule>
  </conditionalFormatting>
  <conditionalFormatting sqref="F13:H16">
    <cfRule type="expression" dxfId="2" priority="6">
      <formula>OR($D$6="",$D$6="No")</formula>
    </cfRule>
  </conditionalFormatting>
  <conditionalFormatting sqref="H20:H40">
    <cfRule type="containsText" dxfId="1" priority="11" operator="containsText" text="Over">
      <formula>NOT(ISERROR(SEARCH("Over",H20)))</formula>
    </cfRule>
  </conditionalFormatting>
  <conditionalFormatting sqref="H43:H52">
    <cfRule type="containsText" dxfId="0" priority="14" operator="containsText" text="Over">
      <formula>NOT(ISERROR(SEARCH("Over",H43)))</formula>
    </cfRule>
  </conditionalFormatting>
  <dataValidations count="1">
    <dataValidation type="list" allowBlank="1" showInputMessage="1" showErrorMessage="1" sqref="D6" xr:uid="{D69AA037-8025-4C49-8137-D2500ACC0680}">
      <formula1>YesNo</formula1>
    </dataValidation>
  </dataValidations>
  <printOptions horizontalCentered="1"/>
  <pageMargins left="0" right="0.25" top="0.75" bottom="0.75" header="0.3" footer="0.3"/>
  <pageSetup scale="5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BC00-4536-5F47-8EAF-EA2B9D65D578}">
  <sheetPr codeName="Sheet11">
    <pageSetUpPr fitToPage="1"/>
  </sheetPr>
  <dimension ref="A1:I34"/>
  <sheetViews>
    <sheetView showGridLines="0" zoomScale="90" zoomScaleNormal="90" workbookViewId="0">
      <selection activeCell="F10" sqref="F10"/>
    </sheetView>
  </sheetViews>
  <sheetFormatPr defaultColWidth="8.75" defaultRowHeight="16.899999999999999" customHeight="1" x14ac:dyDescent="0.25"/>
  <cols>
    <col min="1" max="1" width="2.75" style="2" customWidth="1"/>
    <col min="2" max="2" width="19.75" style="2" customWidth="1"/>
    <col min="3" max="4" width="14.75" style="2" customWidth="1"/>
    <col min="5" max="5" width="15.5" style="2" customWidth="1"/>
    <col min="6" max="6" width="19" style="2" customWidth="1"/>
    <col min="7" max="7" width="14.75" style="2" customWidth="1"/>
    <col min="8" max="8" width="17.75" style="2" bestFit="1" customWidth="1"/>
    <col min="9" max="9" width="14.25" style="2" customWidth="1"/>
    <col min="10" max="16384" width="8.75" style="2"/>
  </cols>
  <sheetData>
    <row r="1" spans="1:9" ht="16.899999999999999" customHeight="1" thickBot="1" x14ac:dyDescent="0.3">
      <c r="A1" s="39"/>
    </row>
    <row r="2" spans="1:9" ht="16.899999999999999" customHeight="1" x14ac:dyDescent="0.25">
      <c r="B2" s="585" t="str">
        <f>LEFT('1. Dashboard'!B8,4)&amp;" Voter Approved Fund Tracker
Attach to L-2 Form If Applicable"</f>
        <v>2025 Voter Approved Fund Tracker
Attach to L-2 Form If Applicable</v>
      </c>
      <c r="C2" s="586"/>
      <c r="D2" s="586"/>
      <c r="E2" s="586"/>
      <c r="F2" s="586"/>
      <c r="G2" s="586"/>
      <c r="H2" s="586"/>
      <c r="I2" s="587"/>
    </row>
    <row r="3" spans="1:9" ht="16.899999999999999" customHeight="1" thickBot="1" x14ac:dyDescent="0.3">
      <c r="B3" s="588"/>
      <c r="C3" s="589"/>
      <c r="D3" s="589"/>
      <c r="E3" s="589"/>
      <c r="F3" s="589"/>
      <c r="G3" s="589"/>
      <c r="H3" s="589"/>
      <c r="I3" s="590"/>
    </row>
    <row r="4" spans="1:9" ht="16.899999999999999" customHeight="1" x14ac:dyDescent="0.25">
      <c r="B4" s="433" t="str">
        <f>IF(DistrictName&lt;&gt;0,"District Name: "&amp;DistrictName&amp;" and "&amp;DistrictName&amp;" Road &amp; Bridge","District Name:")</f>
        <v>District Name:</v>
      </c>
      <c r="C4" s="434"/>
      <c r="D4" s="434"/>
      <c r="E4" s="434"/>
      <c r="F4" s="434"/>
      <c r="G4" s="434"/>
      <c r="H4" s="434"/>
      <c r="I4" s="435"/>
    </row>
    <row r="5" spans="1:9" ht="16.899999999999999" customHeight="1" x14ac:dyDescent="0.25">
      <c r="B5" s="591" t="s">
        <v>21</v>
      </c>
      <c r="C5" s="592"/>
      <c r="D5" s="592"/>
      <c r="E5" s="593"/>
      <c r="F5" s="15" t="s">
        <v>31</v>
      </c>
      <c r="G5" s="612" t="s">
        <v>9</v>
      </c>
      <c r="H5" s="612" t="s">
        <v>22</v>
      </c>
      <c r="I5" s="609" t="s">
        <v>23</v>
      </c>
    </row>
    <row r="6" spans="1:9" ht="16.899999999999999" customHeight="1" x14ac:dyDescent="0.25">
      <c r="B6" s="594"/>
      <c r="C6" s="595"/>
      <c r="D6" s="595"/>
      <c r="E6" s="596"/>
      <c r="F6" s="607" t="s">
        <v>33</v>
      </c>
      <c r="G6" s="613"/>
      <c r="H6" s="613"/>
      <c r="I6" s="610"/>
    </row>
    <row r="7" spans="1:9" ht="16.899999999999999" customHeight="1" thickBot="1" x14ac:dyDescent="0.3">
      <c r="B7" s="597"/>
      <c r="C7" s="598"/>
      <c r="D7" s="598"/>
      <c r="E7" s="599"/>
      <c r="F7" s="608"/>
      <c r="G7" s="614"/>
      <c r="H7" s="614"/>
      <c r="I7" s="611"/>
    </row>
    <row r="8" spans="1:9" ht="4.9000000000000004" customHeight="1" thickBot="1" x14ac:dyDescent="0.3">
      <c r="B8" s="12"/>
      <c r="C8" s="12"/>
      <c r="D8" s="12"/>
      <c r="E8" s="12"/>
      <c r="F8" s="13"/>
      <c r="G8" s="14"/>
      <c r="H8" s="14"/>
      <c r="I8" s="14"/>
    </row>
    <row r="9" spans="1:9" ht="16.899999999999999" customHeight="1" thickBot="1" x14ac:dyDescent="0.3">
      <c r="B9" s="600" t="str">
        <f>"Override Funds Available to All Districts"</f>
        <v>Override Funds Available to All Districts</v>
      </c>
      <c r="C9" s="601"/>
      <c r="D9" s="601"/>
      <c r="E9" s="601"/>
      <c r="F9" s="601"/>
      <c r="G9" s="601"/>
      <c r="H9" s="601"/>
      <c r="I9" s="602"/>
    </row>
    <row r="10" spans="1:9" ht="16.899999999999999" customHeight="1" x14ac:dyDescent="0.25">
      <c r="B10" s="605" t="str">
        <f>"2 Yr Override I.C. §63-802"</f>
        <v>2 Yr Override I.C. §63-802</v>
      </c>
      <c r="C10" s="606"/>
      <c r="D10" s="606"/>
      <c r="E10" s="606"/>
      <c r="F10" s="77"/>
      <c r="G10" s="48"/>
      <c r="H10" s="48"/>
      <c r="I10" s="26"/>
    </row>
    <row r="11" spans="1:9" ht="16.899999999999999" customHeight="1" thickBot="1" x14ac:dyDescent="0.3">
      <c r="B11" s="603" t="str">
        <f>"Permanent Override I.C.§63-802"</f>
        <v>Permanent Override I.C.§63-802</v>
      </c>
      <c r="C11" s="604"/>
      <c r="D11" s="604"/>
      <c r="E11" s="604"/>
      <c r="F11" s="116"/>
      <c r="G11" s="117"/>
      <c r="H11" s="117"/>
      <c r="I11" s="27"/>
    </row>
    <row r="12" spans="1:9" ht="16.899999999999999" customHeight="1" thickBot="1" x14ac:dyDescent="0.3"/>
    <row r="13" spans="1:9" ht="16.899999999999999" customHeight="1" thickBot="1" x14ac:dyDescent="0.3">
      <c r="B13" s="600" t="s">
        <v>24</v>
      </c>
      <c r="C13" s="601"/>
      <c r="D13" s="601"/>
      <c r="E13" s="601"/>
      <c r="F13" s="601"/>
      <c r="G13" s="601"/>
      <c r="H13" s="601"/>
      <c r="I13" s="602"/>
    </row>
    <row r="14" spans="1:9" ht="16.899999999999999" customHeight="1" x14ac:dyDescent="0.25">
      <c r="B14" s="634" t="s">
        <v>30</v>
      </c>
      <c r="C14" s="583" t="s">
        <v>9</v>
      </c>
      <c r="D14" s="583" t="s">
        <v>22</v>
      </c>
      <c r="E14" s="583" t="s">
        <v>25</v>
      </c>
      <c r="F14" s="583" t="s">
        <v>26</v>
      </c>
      <c r="G14" s="583" t="s">
        <v>27</v>
      </c>
      <c r="H14" s="583" t="s">
        <v>34</v>
      </c>
      <c r="I14" s="615" t="s">
        <v>35</v>
      </c>
    </row>
    <row r="15" spans="1:9" ht="16.899999999999999" customHeight="1" x14ac:dyDescent="0.25">
      <c r="B15" s="635"/>
      <c r="C15" s="584"/>
      <c r="D15" s="584"/>
      <c r="E15" s="584"/>
      <c r="F15" s="584"/>
      <c r="G15" s="584"/>
      <c r="H15" s="584"/>
      <c r="I15" s="616"/>
    </row>
    <row r="16" spans="1:9" ht="16.899999999999999" customHeight="1" x14ac:dyDescent="0.25">
      <c r="B16" s="635"/>
      <c r="C16" s="584"/>
      <c r="D16" s="584"/>
      <c r="E16" s="584"/>
      <c r="F16" s="584"/>
      <c r="G16" s="584"/>
      <c r="H16" s="584"/>
      <c r="I16" s="616"/>
    </row>
    <row r="17" spans="2:9" ht="16.899999999999999" customHeight="1" x14ac:dyDescent="0.25">
      <c r="B17" s="78"/>
      <c r="C17" s="75"/>
      <c r="D17" s="75"/>
      <c r="E17" s="28"/>
      <c r="F17" s="29"/>
      <c r="G17" s="29"/>
      <c r="H17" s="22" t="str">
        <f t="shared" ref="H17:H20" si="0">IF(F17="","",IF(F17=0,1,ROUND((G17/F17-1),2)))</f>
        <v/>
      </c>
      <c r="I17" s="23" t="str">
        <f>IF(AND(OR(H17&lt;-0.2, H17&gt;0.2), AND(F17&lt;&gt;"",G17&lt;&gt;"")),"YES","")</f>
        <v/>
      </c>
    </row>
    <row r="18" spans="2:9" ht="16.899999999999999" customHeight="1" x14ac:dyDescent="0.25">
      <c r="B18" s="78"/>
      <c r="C18" s="75"/>
      <c r="D18" s="75"/>
      <c r="E18" s="28"/>
      <c r="F18" s="29"/>
      <c r="G18" s="29"/>
      <c r="H18" s="22" t="str">
        <f t="shared" si="0"/>
        <v/>
      </c>
      <c r="I18" s="23" t="str">
        <f t="shared" ref="I18:I23" si="1">IF(AND(OR(H18&lt;-0.2, H18&gt;0.2), AND(F18&lt;&gt;"",G18&lt;&gt;"")),"YES","")</f>
        <v/>
      </c>
    </row>
    <row r="19" spans="2:9" ht="16.899999999999999" customHeight="1" x14ac:dyDescent="0.25">
      <c r="B19" s="78"/>
      <c r="C19" s="75"/>
      <c r="D19" s="75"/>
      <c r="E19" s="28"/>
      <c r="F19" s="29"/>
      <c r="G19" s="29"/>
      <c r="H19" s="22" t="str">
        <f t="shared" si="0"/>
        <v/>
      </c>
      <c r="I19" s="23" t="str">
        <f t="shared" si="1"/>
        <v/>
      </c>
    </row>
    <row r="20" spans="2:9" ht="16.899999999999999" customHeight="1" x14ac:dyDescent="0.25">
      <c r="B20" s="78"/>
      <c r="C20" s="75"/>
      <c r="D20" s="75"/>
      <c r="E20" s="28"/>
      <c r="F20" s="29"/>
      <c r="G20" s="29"/>
      <c r="H20" s="22" t="str">
        <f t="shared" si="0"/>
        <v/>
      </c>
      <c r="I20" s="23" t="str">
        <f t="shared" si="1"/>
        <v/>
      </c>
    </row>
    <row r="21" spans="2:9" ht="16.899999999999999" customHeight="1" x14ac:dyDescent="0.25">
      <c r="B21" s="78"/>
      <c r="C21" s="75"/>
      <c r="D21" s="75"/>
      <c r="E21" s="28"/>
      <c r="F21" s="29"/>
      <c r="G21" s="29"/>
      <c r="H21" s="22" t="str">
        <f t="shared" ref="H21:H23" si="2">IF(F21="","",IF(F21=0,1,ROUND((G21/F21-1),2)))</f>
        <v/>
      </c>
      <c r="I21" s="23" t="str">
        <f t="shared" si="1"/>
        <v/>
      </c>
    </row>
    <row r="22" spans="2:9" ht="16.899999999999999" customHeight="1" x14ac:dyDescent="0.25">
      <c r="B22" s="78"/>
      <c r="C22" s="75"/>
      <c r="D22" s="75"/>
      <c r="E22" s="28"/>
      <c r="F22" s="29"/>
      <c r="G22" s="29"/>
      <c r="H22" s="22" t="str">
        <f t="shared" si="2"/>
        <v/>
      </c>
      <c r="I22" s="23" t="str">
        <f t="shared" si="1"/>
        <v/>
      </c>
    </row>
    <row r="23" spans="2:9" ht="16.899999999999999" customHeight="1" thickBot="1" x14ac:dyDescent="0.3">
      <c r="B23" s="79"/>
      <c r="C23" s="80"/>
      <c r="D23" s="80"/>
      <c r="E23" s="59"/>
      <c r="F23" s="60"/>
      <c r="G23" s="60"/>
      <c r="H23" s="61" t="str">
        <f t="shared" si="2"/>
        <v/>
      </c>
      <c r="I23" s="62" t="str">
        <f t="shared" si="1"/>
        <v/>
      </c>
    </row>
    <row r="24" spans="2:9" ht="16.899999999999999" customHeight="1" thickBot="1" x14ac:dyDescent="0.3">
      <c r="B24" s="631" t="s">
        <v>28</v>
      </c>
      <c r="C24" s="632"/>
      <c r="D24" s="633"/>
      <c r="E24" s="633"/>
      <c r="F24" s="633"/>
      <c r="G24" s="58">
        <f>SUM(G17:G23)</f>
        <v>0</v>
      </c>
      <c r="H24" s="617"/>
      <c r="I24" s="618"/>
    </row>
    <row r="25" spans="2:9" ht="16.899999999999999" customHeight="1" x14ac:dyDescent="0.25">
      <c r="B25" s="10"/>
      <c r="C25" s="10"/>
      <c r="D25" s="7"/>
      <c r="E25" s="7"/>
      <c r="F25" s="7"/>
      <c r="G25" s="8"/>
      <c r="H25" s="9"/>
      <c r="I25" s="9"/>
    </row>
    <row r="26" spans="2:9" ht="16.899999999999999" customHeight="1" x14ac:dyDescent="0.25">
      <c r="B26" s="620" t="s">
        <v>29</v>
      </c>
      <c r="C26" s="620"/>
      <c r="D26" s="620"/>
      <c r="E26" s="620"/>
      <c r="F26" s="620"/>
      <c r="G26" s="620"/>
      <c r="H26" s="620"/>
      <c r="I26" s="620"/>
    </row>
    <row r="27" spans="2:9" ht="16.899999999999999" customHeight="1" x14ac:dyDescent="0.25">
      <c r="B27" s="628"/>
      <c r="C27" s="629"/>
      <c r="D27" s="629"/>
      <c r="E27" s="629"/>
      <c r="F27" s="629"/>
      <c r="G27" s="629"/>
      <c r="H27" s="629"/>
      <c r="I27" s="630"/>
    </row>
    <row r="28" spans="2:9" ht="16.899999999999999" customHeight="1" x14ac:dyDescent="0.25">
      <c r="B28" s="625"/>
      <c r="C28" s="626"/>
      <c r="D28" s="626"/>
      <c r="E28" s="626"/>
      <c r="F28" s="626"/>
      <c r="G28" s="626"/>
      <c r="H28" s="626"/>
      <c r="I28" s="627"/>
    </row>
    <row r="29" spans="2:9" ht="16.899999999999999" customHeight="1" x14ac:dyDescent="0.25">
      <c r="B29" s="625"/>
      <c r="C29" s="626"/>
      <c r="D29" s="626"/>
      <c r="E29" s="626"/>
      <c r="F29" s="626"/>
      <c r="G29" s="626"/>
      <c r="H29" s="626"/>
      <c r="I29" s="627"/>
    </row>
    <row r="30" spans="2:9" ht="16.899999999999999" customHeight="1" x14ac:dyDescent="0.25">
      <c r="B30" s="625"/>
      <c r="C30" s="626"/>
      <c r="D30" s="626"/>
      <c r="E30" s="626"/>
      <c r="F30" s="626"/>
      <c r="G30" s="626"/>
      <c r="H30" s="626"/>
      <c r="I30" s="627"/>
    </row>
    <row r="31" spans="2:9" ht="16.899999999999999" customHeight="1" x14ac:dyDescent="0.25">
      <c r="B31" s="625"/>
      <c r="C31" s="626"/>
      <c r="D31" s="626"/>
      <c r="E31" s="626"/>
      <c r="F31" s="626"/>
      <c r="G31" s="626"/>
      <c r="H31" s="626"/>
      <c r="I31" s="627"/>
    </row>
    <row r="32" spans="2:9" ht="16.899999999999999" customHeight="1" x14ac:dyDescent="0.25">
      <c r="B32" s="625"/>
      <c r="C32" s="626"/>
      <c r="D32" s="626"/>
      <c r="E32" s="626"/>
      <c r="F32" s="626"/>
      <c r="G32" s="626"/>
      <c r="H32" s="626"/>
      <c r="I32" s="627"/>
    </row>
    <row r="33" spans="2:9" ht="16.899999999999999" customHeight="1" x14ac:dyDescent="0.25">
      <c r="B33" s="622"/>
      <c r="C33" s="623"/>
      <c r="D33" s="623"/>
      <c r="E33" s="623"/>
      <c r="F33" s="623"/>
      <c r="G33" s="623"/>
      <c r="H33" s="623"/>
      <c r="I33" s="624"/>
    </row>
    <row r="34" spans="2:9" ht="16.899999999999999" customHeight="1" x14ac:dyDescent="0.25">
      <c r="B34" s="2" t="s">
        <v>120</v>
      </c>
      <c r="E34" s="619"/>
      <c r="F34" s="619"/>
      <c r="H34" s="621"/>
      <c r="I34" s="621"/>
    </row>
  </sheetData>
  <sheetProtection algorithmName="SHA-512" hashValue="Kq/MUXzvmiHhlqI1U/ZE98gZcyPbt7NgOkTMKe9BRCpQNzbdiMJF8Y7gsBzsjATlqHr6W1nhEEwMIuvqjEL34g==" saltValue="C/umBTIPPyhzHyVMJ/dxrA==" spinCount="100000" sheet="1" selectLockedCells="1"/>
  <protectedRanges>
    <protectedRange password="D9AD" sqref="H17:I25" name="Computation_1_1"/>
  </protectedRanges>
  <mergeCells count="31">
    <mergeCell ref="H24:I24"/>
    <mergeCell ref="B13:I13"/>
    <mergeCell ref="E34:F34"/>
    <mergeCell ref="B26:I26"/>
    <mergeCell ref="H34:I34"/>
    <mergeCell ref="B33:I33"/>
    <mergeCell ref="B32:I32"/>
    <mergeCell ref="B29:I29"/>
    <mergeCell ref="B28:I28"/>
    <mergeCell ref="B27:I27"/>
    <mergeCell ref="B31:I31"/>
    <mergeCell ref="B30:I30"/>
    <mergeCell ref="B24:F24"/>
    <mergeCell ref="B14:B16"/>
    <mergeCell ref="E14:E16"/>
    <mergeCell ref="D14:D16"/>
    <mergeCell ref="C14:C16"/>
    <mergeCell ref="B2:I3"/>
    <mergeCell ref="H14:H16"/>
    <mergeCell ref="G14:G16"/>
    <mergeCell ref="F14:F16"/>
    <mergeCell ref="B5:E7"/>
    <mergeCell ref="B9:I9"/>
    <mergeCell ref="B11:E11"/>
    <mergeCell ref="B10:E10"/>
    <mergeCell ref="F6:F7"/>
    <mergeCell ref="I5:I7"/>
    <mergeCell ref="H5:H7"/>
    <mergeCell ref="G5:G7"/>
    <mergeCell ref="I14:I16"/>
    <mergeCell ref="B4:I4"/>
  </mergeCells>
  <printOptions horizontalCentered="1"/>
  <pageMargins left="0.25" right="0.25" top="0.25" bottom="0.2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r l n F W u 4 v n K m k A A A A 9 g A A A B I A H A B D b 2 5 m a W c v U G F j a 2 F n Z S 5 4 b W w g o h g A K K A U A A A A A A A A A A A A A A A A A A A A A A A A A A A A h Y 9 N D o I w G E S v Q r q n P 2 D U k I + y c C u J C d G 4 b W q F R i i G F s v d X H g k r y B G U X c u 5 8 1 b z N y v N 8 i G p g 4 u q r O 6 N S l i m K J A G d k e t C l T 1 L t j u E Q Z h 4 2 Q J 1 G q Y J S N T Q Z 7 S F H l 3 D k h x H u P f Y z b r i Q R p Y z s 8 3 U h K 9 U I 9 J H 1 f z n U x j p h p E I c d q 8 x P M J s F m O 2 m G M K Z I K Q a / M V o n H v s / 2 B s O p r 1 3 e K K x N u C y B T B P L + w B 9 Q S w M E F A A C A A g A r l n F 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Z x V o o i k e 4 D g A A A B E A A A A T A B w A R m 9 y b X V s Y X M v U 2 V j d G l v b j E u b S C i G A A o o B Q A A A A A A A A A A A A A A A A A A A A A A A A A A A A r T k 0 u y c z P U w i G 0 I b W A F B L A Q I t A B Q A A g A I A K 5 Z x V r u L 5 y p p A A A A P Y A A A A S A A A A A A A A A A A A A A A A A A A A A A B D b 2 5 m a W c v U G F j a 2 F n Z S 5 4 b W x Q S w E C L Q A U A A I A C A C u W c V a D 8 r p q 6 Q A A A D p A A A A E w A A A A A A A A A A A A A A A A D w A A A A W 0 N v b n R l b n R f V H l w Z X N d L n h t b F B L A Q I t A B Q A A g A I A K 5 Z x 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e f 5 E f N I f d R J A M X k n + c D Z V A A A A A A I A A A A A A A N m A A D A A A A A E A A A A B V f 1 B a 3 x x + X 7 s K Q / E P e 9 Z E A A A A A B I A A A K A A A A A Q A A A A Z 1 g h H G Q Y M 6 9 g d 4 1 j I g 6 k A V A A A A C C k S n 4 H I E n t c G x X / T B 3 i w W I h e J / J 3 A Q + h v x t D + e p u 2 U f a 2 e v v + y L k N d h r c k q p 6 F i 4 C 9 x H i H h p O u d i 7 2 q B g S o K V 3 Q 1 z R J G + a F S q 1 N x c 7 X K g X R Q A A A A 1 H V Z 5 w n f 9 0 Y 0 3 / / 9 h X a c N Z v x Q a 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A03E2EA373DFBD498FB42C39A405DE83" ma:contentTypeVersion="10" ma:contentTypeDescription="Create a new document." ma:contentTypeScope="" ma:versionID="03d0dfa26eedd4aef57194e9c5f2645d">
  <xsd:schema xmlns:xsd="http://www.w3.org/2001/XMLSchema" xmlns:xs="http://www.w3.org/2001/XMLSchema" xmlns:p="http://schemas.microsoft.com/office/2006/metadata/properties" xmlns:ns3="26719e3b-3542-432b-a32e-972ad665fc82" xmlns:ns4="56ffe2c2-d06f-4c70-aafd-f032b72c4846" targetNamespace="http://schemas.microsoft.com/office/2006/metadata/properties" ma:root="true" ma:fieldsID="7e5022328c539b0fdb0a8b156f0435e8" ns3:_="" ns4:_="">
    <xsd:import namespace="26719e3b-3542-432b-a32e-972ad665fc82"/>
    <xsd:import namespace="56ffe2c2-d06f-4c70-aafd-f032b72c48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719e3b-3542-432b-a32e-972ad665fc8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ffe2c2-d06f-4c70-aafd-f032b72c484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16BD40-A8AB-4FFC-B314-EC33E697B421}">
  <ds:schemaRefs>
    <ds:schemaRef ds:uri="http://schemas.microsoft.com/DataMashup"/>
  </ds:schemaRefs>
</ds:datastoreItem>
</file>

<file path=customXml/itemProps2.xml><?xml version="1.0" encoding="utf-8"?>
<ds:datastoreItem xmlns:ds="http://schemas.openxmlformats.org/officeDocument/2006/customXml" ds:itemID="{F65A20B7-034C-47BD-B3EC-ADE7E84D2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719e3b-3542-432b-a32e-972ad665fc82"/>
    <ds:schemaRef ds:uri="56ffe2c2-d06f-4c70-aafd-f032b72c48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50921-0382-4792-91BE-5113F89AB909}">
  <ds:schemaRefs>
    <ds:schemaRef ds:uri="http://schemas.microsoft.com/office/2006/metadata/properties"/>
    <ds:schemaRef ds:uri="http://purl.org/dc/terms/"/>
    <ds:schemaRef ds:uri="http://purl.org/dc/elements/1.1/"/>
    <ds:schemaRef ds:uri="http://purl.org/dc/dcmitype/"/>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56ffe2c2-d06f-4c70-aafd-f032b72c4846"/>
    <ds:schemaRef ds:uri="26719e3b-3542-432b-a32e-972ad665fc82"/>
  </ds:schemaRefs>
</ds:datastoreItem>
</file>

<file path=customXml/itemProps4.xml><?xml version="1.0" encoding="utf-8"?>
<ds:datastoreItem xmlns:ds="http://schemas.openxmlformats.org/officeDocument/2006/customXml" ds:itemID="{425C01C7-4944-482A-A604-FB2AABFE76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Review_Extract_Data</vt:lpstr>
      <vt:lpstr>DataDump</vt:lpstr>
      <vt:lpstr>Hidden</vt:lpstr>
      <vt:lpstr>Instructions</vt:lpstr>
      <vt:lpstr>1. Dashboard</vt:lpstr>
      <vt:lpstr>2. L-2 Worksheet</vt:lpstr>
      <vt:lpstr>3. L-2 Dollar Certification</vt:lpstr>
      <vt:lpstr>4. Levy Rate Calculation</vt:lpstr>
      <vt:lpstr>5. Voter Tracker</vt:lpstr>
      <vt:lpstr>CountyList</vt:lpstr>
      <vt:lpstr>DistrictName</vt:lpstr>
      <vt:lpstr>'2. L-2 Worksheet'!Print_Area</vt:lpstr>
      <vt:lpstr>'3. L-2 Dollar Certification'!Print_Area</vt:lpstr>
      <vt:lpstr>'4. Levy Rate Calculation'!Print_Area</vt:lpstr>
      <vt:lpstr>'5. Voter Tracker'!Print_Area</vt:lpstr>
      <vt:lpstr>Instructions!Print_Area</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Dodge</cp:lastModifiedBy>
  <cp:lastPrinted>2025-01-23T23:37:13Z</cp:lastPrinted>
  <dcterms:created xsi:type="dcterms:W3CDTF">2021-03-02T15:46:05Z</dcterms:created>
  <dcterms:modified xsi:type="dcterms:W3CDTF">2025-06-09T13:25:28Z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0x010100A03E2EA373DFBD498FB42C39A405DE83</vt:lpwstr>
  </property>
</Properties>
</file>