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autoCompressPictures="0" defaultThemeVersion="166925"/>
  <mc:AlternateContent xmlns:mc="http://schemas.openxmlformats.org/markup-compatibility/2006">
    <mc:Choice Requires="x15">
      <x15ac:absPath xmlns:x15ac="http://schemas.microsoft.com/office/spreadsheetml/2010/11/ac" url="O:\AllisonD\Website Updates Documents\"/>
    </mc:Choice>
  </mc:AlternateContent>
  <xr:revisionPtr revIDLastSave="0" documentId="8_{79F05FF9-CCF3-4C7B-9FF2-290C4FFF7FF7}" xr6:coauthVersionLast="47" xr6:coauthVersionMax="47" xr10:uidLastSave="{00000000-0000-0000-0000-000000000000}"/>
  <bookViews>
    <workbookView xWindow="-120" yWindow="-120" windowWidth="29040" windowHeight="15720" tabRatio="797" firstSheet="3" activeTab="3" xr2:uid="{00000000-000D-0000-FFFF-FFFF00000000}"/>
  </bookViews>
  <sheets>
    <sheet name="Review_Extract_Data" sheetId="15" state="hidden" r:id="rId1"/>
    <sheet name="Data" sheetId="13" state="hidden" r:id="rId2"/>
    <sheet name="Hidden" sheetId="14" state="hidden" r:id="rId3"/>
    <sheet name="Instructions" sheetId="17" r:id="rId4"/>
    <sheet name="1. Dashboard" sheetId="16" r:id="rId5"/>
    <sheet name="2. L-2 Worksheet" sheetId="4" r:id="rId6"/>
    <sheet name="3. L-2 Dollar Certification" sheetId="7" r:id="rId7"/>
    <sheet name="FundLevelDataExtract" sheetId="18" state="hidden" r:id="rId8"/>
    <sheet name="4. Levy Rate Calculation" sheetId="10" r:id="rId9"/>
    <sheet name="5. Voter Tracker" sheetId="9" r:id="rId10"/>
  </sheets>
  <definedNames>
    <definedName name="_xlnm._FilterDatabase" localSheetId="1" hidden="1">Data!$A$1:$I$1334</definedName>
    <definedName name="AnnexationBudgetIncrease">'2. L-2 Worksheet'!$I$51</definedName>
    <definedName name="CountyList">Hidden!$A$2:$A$26</definedName>
    <definedName name="DistrictName">'1. Dashboard'!$G$10</definedName>
    <definedName name="HighestofLast3yrs">'2. L-2 Worksheet'!$I$20</definedName>
    <definedName name="MaxNonExemptLevy">'2. L-2 Worksheet'!$I$86</definedName>
    <definedName name="NewConstructionBudgetIncrease">'2. L-2 Worksheet'!$I$39</definedName>
    <definedName name="NonExemptLevyAmount">'3. L-2 Dollar Certification'!$H$31</definedName>
    <definedName name="_xlnm.Print_Area" localSheetId="4">'1. Dashboard'!$B$2:$I$70</definedName>
    <definedName name="_xlnm.Print_Area" localSheetId="5">'2. L-2 Worksheet'!$B$2:$I$86</definedName>
    <definedName name="_xlnm.Print_Area" localSheetId="6">'3. L-2 Dollar Certification'!$B$2:$H$61</definedName>
    <definedName name="_xlnm.Print_Area" localSheetId="8">'4. Levy Rate Calculation'!$B$2:$H$52</definedName>
    <definedName name="_xlnm.Print_Area" localSheetId="9">'5. Voter Tracker'!$B$2:$I$37</definedName>
    <definedName name="_xlnm.Print_Area" localSheetId="3">Instructions!$B$2:$S$16</definedName>
    <definedName name="_xlnm.Print_Titles" localSheetId="5">'2. L-2 Worksheet'!$17:$17</definedName>
    <definedName name="ReductionByPercentCap">'2. L-2 Worksheet'!$I$55</definedName>
    <definedName name="SCOstatus">'1. Dashboard'!$H$12</definedName>
    <definedName name="URbudgetIncrease">'2. L-2 Worksheet'!$I$65</definedName>
    <definedName name="YesNo">Hidden!$C$2:$C$4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6" i="16" l="1"/>
  <c r="B61" i="16" l="1"/>
  <c r="I68" i="16"/>
  <c r="I67" i="16"/>
  <c r="B68" i="16"/>
  <c r="B67" i="16"/>
  <c r="B49" i="16"/>
  <c r="B44" i="16"/>
  <c r="D6" i="10"/>
  <c r="G70" i="4"/>
  <c r="G69" i="4"/>
  <c r="E3" i="15"/>
  <c r="E2" i="15"/>
  <c r="H48" i="16"/>
  <c r="G23" i="4"/>
  <c r="G22" i="4"/>
  <c r="C47" i="7"/>
  <c r="B13" i="4"/>
  <c r="G77" i="4"/>
  <c r="AB2" i="15" s="1"/>
  <c r="G76" i="4"/>
  <c r="G75" i="4"/>
  <c r="G74" i="4"/>
  <c r="G68" i="4"/>
  <c r="G27" i="4"/>
  <c r="G26" i="4"/>
  <c r="B86" i="4"/>
  <c r="B65" i="16"/>
  <c r="AZ2" i="15"/>
  <c r="B12" i="16"/>
  <c r="I66" i="16"/>
  <c r="I65" i="16"/>
  <c r="M18" i="18"/>
  <c r="M17" i="18"/>
  <c r="M16" i="18"/>
  <c r="M15" i="18"/>
  <c r="M10" i="18"/>
  <c r="M8" i="18"/>
  <c r="M6" i="18"/>
  <c r="M5" i="18"/>
  <c r="M4" i="18"/>
  <c r="L18" i="18"/>
  <c r="L10" i="18"/>
  <c r="L8" i="18"/>
  <c r="L6" i="18"/>
  <c r="K8" i="18"/>
  <c r="K10" i="18"/>
  <c r="K11" i="18"/>
  <c r="K12" i="18"/>
  <c r="K13" i="18"/>
  <c r="J6" i="18"/>
  <c r="J8" i="18"/>
  <c r="J10" i="18"/>
  <c r="J15" i="18"/>
  <c r="J18" i="18"/>
  <c r="E24" i="18"/>
  <c r="F24" i="18"/>
  <c r="G24" i="18"/>
  <c r="H24" i="18"/>
  <c r="E25" i="18"/>
  <c r="F25" i="18"/>
  <c r="G25" i="18"/>
  <c r="H25" i="18"/>
  <c r="E26" i="18"/>
  <c r="F26" i="18"/>
  <c r="G26" i="18"/>
  <c r="H26" i="18"/>
  <c r="E27" i="18"/>
  <c r="F27" i="18"/>
  <c r="G27" i="18"/>
  <c r="H27" i="18"/>
  <c r="E28" i="18"/>
  <c r="F28" i="18"/>
  <c r="G28" i="18"/>
  <c r="H28" i="18"/>
  <c r="E29" i="18"/>
  <c r="F29" i="18"/>
  <c r="G29" i="18"/>
  <c r="H29" i="18"/>
  <c r="H23" i="18"/>
  <c r="G23" i="18"/>
  <c r="F23" i="18"/>
  <c r="E23" i="18"/>
  <c r="E3" i="18"/>
  <c r="F3" i="18"/>
  <c r="G3" i="18"/>
  <c r="H3" i="18"/>
  <c r="E4" i="18"/>
  <c r="F4" i="18"/>
  <c r="G4" i="18"/>
  <c r="H4" i="18"/>
  <c r="I4" i="18"/>
  <c r="L4" i="18" s="1"/>
  <c r="E5" i="18"/>
  <c r="F5" i="18"/>
  <c r="G5" i="18"/>
  <c r="H5" i="18"/>
  <c r="I5" i="18"/>
  <c r="L5" i="18" s="1"/>
  <c r="E6" i="18"/>
  <c r="F6" i="18"/>
  <c r="G6" i="18"/>
  <c r="H6" i="18"/>
  <c r="I6" i="18"/>
  <c r="K6" i="18" s="1"/>
  <c r="E7" i="18"/>
  <c r="F7" i="18"/>
  <c r="G7" i="18"/>
  <c r="H7" i="18"/>
  <c r="I7" i="18"/>
  <c r="J7" i="18" s="1"/>
  <c r="E8" i="18"/>
  <c r="F8" i="18"/>
  <c r="G8" i="18"/>
  <c r="H8" i="18"/>
  <c r="I8" i="18"/>
  <c r="E9" i="18"/>
  <c r="F9" i="18"/>
  <c r="G9" i="18"/>
  <c r="H9" i="18"/>
  <c r="I9" i="18"/>
  <c r="J9" i="18" s="1"/>
  <c r="E10" i="18"/>
  <c r="F10" i="18"/>
  <c r="G10" i="18"/>
  <c r="H10" i="18"/>
  <c r="I10" i="18"/>
  <c r="E11" i="18"/>
  <c r="F11" i="18"/>
  <c r="G11" i="18"/>
  <c r="H11" i="18"/>
  <c r="I11" i="18"/>
  <c r="J11" i="18" s="1"/>
  <c r="E12" i="18"/>
  <c r="F12" i="18"/>
  <c r="G12" i="18"/>
  <c r="H12" i="18"/>
  <c r="I12" i="18"/>
  <c r="M12" i="18" s="1"/>
  <c r="E13" i="18"/>
  <c r="F13" i="18"/>
  <c r="G13" i="18"/>
  <c r="H13" i="18"/>
  <c r="I13" i="18"/>
  <c r="M13" i="18" s="1"/>
  <c r="E14" i="18"/>
  <c r="F14" i="18"/>
  <c r="G14" i="18"/>
  <c r="H14" i="18"/>
  <c r="I14" i="18"/>
  <c r="M14" i="18" s="1"/>
  <c r="E15" i="18"/>
  <c r="F15" i="18"/>
  <c r="G15" i="18"/>
  <c r="H15" i="18"/>
  <c r="I15" i="18"/>
  <c r="K15" i="18" s="1"/>
  <c r="E16" i="18"/>
  <c r="F16" i="18"/>
  <c r="G16" i="18"/>
  <c r="H16" i="18"/>
  <c r="I16" i="18"/>
  <c r="L16" i="18" s="1"/>
  <c r="E17" i="18"/>
  <c r="F17" i="18"/>
  <c r="G17" i="18"/>
  <c r="H17" i="18"/>
  <c r="I17" i="18"/>
  <c r="L17" i="18" s="1"/>
  <c r="E18" i="18"/>
  <c r="F18" i="18"/>
  <c r="G18" i="18"/>
  <c r="H18" i="18"/>
  <c r="I18" i="18"/>
  <c r="K18" i="18" s="1"/>
  <c r="E19" i="18"/>
  <c r="F19" i="18"/>
  <c r="G19" i="18"/>
  <c r="H19" i="18"/>
  <c r="E20" i="18"/>
  <c r="F20" i="18"/>
  <c r="G20" i="18"/>
  <c r="H20" i="18"/>
  <c r="E21" i="18"/>
  <c r="F21" i="18"/>
  <c r="G21" i="18"/>
  <c r="H21" i="18"/>
  <c r="E22" i="18"/>
  <c r="F22" i="18"/>
  <c r="G22" i="18"/>
  <c r="H22" i="18"/>
  <c r="F2" i="18"/>
  <c r="G2" i="18"/>
  <c r="H2" i="18"/>
  <c r="E2" i="18"/>
  <c r="D22" i="18"/>
  <c r="D21" i="18"/>
  <c r="B22" i="18"/>
  <c r="B21" i="18"/>
  <c r="D24" i="18"/>
  <c r="D25" i="18"/>
  <c r="D26" i="18"/>
  <c r="D27" i="18"/>
  <c r="D28" i="18"/>
  <c r="D29" i="18"/>
  <c r="D23" i="18"/>
  <c r="B24" i="18"/>
  <c r="B25" i="18"/>
  <c r="B26" i="18"/>
  <c r="B27" i="18"/>
  <c r="B28" i="18"/>
  <c r="B29" i="18"/>
  <c r="C4" i="18"/>
  <c r="C5" i="18"/>
  <c r="C6" i="18"/>
  <c r="C7" i="18"/>
  <c r="C8" i="18"/>
  <c r="C9" i="18"/>
  <c r="C10" i="18"/>
  <c r="C11" i="18"/>
  <c r="C12" i="18"/>
  <c r="C13" i="18"/>
  <c r="C14" i="18"/>
  <c r="C15" i="18"/>
  <c r="C16" i="18"/>
  <c r="C17" i="18"/>
  <c r="C18" i="18"/>
  <c r="D3" i="18"/>
  <c r="D4" i="18"/>
  <c r="D5" i="18"/>
  <c r="D6" i="18"/>
  <c r="D7" i="18"/>
  <c r="D8" i="18"/>
  <c r="D9" i="18"/>
  <c r="D10" i="18"/>
  <c r="D11" i="18"/>
  <c r="D12" i="18"/>
  <c r="D13" i="18"/>
  <c r="D14" i="18"/>
  <c r="D15" i="18"/>
  <c r="D16" i="18"/>
  <c r="D17" i="18"/>
  <c r="D18" i="18"/>
  <c r="D19" i="18"/>
  <c r="D20" i="18"/>
  <c r="D2" i="18"/>
  <c r="B23" i="18"/>
  <c r="A24" i="18"/>
  <c r="A25" i="18"/>
  <c r="A26" i="18"/>
  <c r="A27" i="18"/>
  <c r="A28" i="18"/>
  <c r="A29" i="18"/>
  <c r="A23" i="18"/>
  <c r="B3" i="18"/>
  <c r="B4" i="18"/>
  <c r="B5" i="18"/>
  <c r="B6" i="18"/>
  <c r="B7" i="18"/>
  <c r="B8" i="18"/>
  <c r="B9" i="18"/>
  <c r="B10" i="18"/>
  <c r="B11" i="18"/>
  <c r="B12" i="18"/>
  <c r="B13" i="18"/>
  <c r="B14" i="18"/>
  <c r="B15" i="18"/>
  <c r="B16" i="18"/>
  <c r="B17" i="18"/>
  <c r="B18" i="18"/>
  <c r="B19" i="18"/>
  <c r="B20" i="18"/>
  <c r="B2" i="18"/>
  <c r="A20" i="18"/>
  <c r="A3" i="18"/>
  <c r="A4" i="18"/>
  <c r="A5" i="18"/>
  <c r="A6" i="18"/>
  <c r="A7" i="18"/>
  <c r="A8" i="18"/>
  <c r="A9" i="18"/>
  <c r="A10" i="18"/>
  <c r="A11" i="18"/>
  <c r="A12" i="18"/>
  <c r="A13" i="18"/>
  <c r="A14" i="18"/>
  <c r="A15" i="18"/>
  <c r="A16" i="18"/>
  <c r="A17" i="18"/>
  <c r="A18" i="18"/>
  <c r="A19" i="18"/>
  <c r="A2" i="18"/>
  <c r="C46" i="7"/>
  <c r="B45" i="7"/>
  <c r="G47" i="7"/>
  <c r="G46" i="7"/>
  <c r="G45" i="7"/>
  <c r="G49" i="7"/>
  <c r="B23" i="4"/>
  <c r="B22" i="4"/>
  <c r="B58" i="16"/>
  <c r="B54" i="16"/>
  <c r="L9" i="18" l="1"/>
  <c r="J5" i="18"/>
  <c r="K9" i="18"/>
  <c r="M7" i="18"/>
  <c r="L11" i="18"/>
  <c r="K7" i="18"/>
  <c r="L12" i="18"/>
  <c r="M9" i="18"/>
  <c r="J14" i="18"/>
  <c r="L13" i="18"/>
  <c r="J13" i="18"/>
  <c r="K17" i="18"/>
  <c r="K5" i="18"/>
  <c r="L14" i="18"/>
  <c r="M11" i="18"/>
  <c r="J16" i="18"/>
  <c r="J12" i="18"/>
  <c r="K16" i="18"/>
  <c r="K4" i="18"/>
  <c r="L15" i="18"/>
  <c r="J17" i="18"/>
  <c r="J4" i="18"/>
  <c r="L7" i="18"/>
  <c r="K14" i="18"/>
  <c r="AX3" i="15"/>
  <c r="AY3" i="15"/>
  <c r="AY2" i="15"/>
  <c r="H23" i="9" l="1"/>
  <c r="I23" i="9" s="1"/>
  <c r="H22" i="9"/>
  <c r="I22" i="9" s="1"/>
  <c r="H21" i="9"/>
  <c r="I21" i="9" s="1"/>
  <c r="H20" i="9"/>
  <c r="I20" i="9" s="1"/>
  <c r="H19" i="9"/>
  <c r="I19" i="9" s="1"/>
  <c r="H18" i="9"/>
  <c r="I18" i="9" s="1"/>
  <c r="H17" i="9"/>
  <c r="I17" i="9" s="1"/>
  <c r="C3" i="15"/>
  <c r="C2" i="15"/>
  <c r="D3" i="15"/>
  <c r="D2" i="15"/>
  <c r="B34" i="16"/>
  <c r="B22" i="16"/>
  <c r="B19" i="16"/>
  <c r="B2" i="7"/>
  <c r="B17" i="4"/>
  <c r="G42" i="4"/>
  <c r="G41" i="4"/>
  <c r="G24" i="16"/>
  <c r="G23" i="16"/>
  <c r="G43" i="4" l="1"/>
  <c r="G44" i="4"/>
  <c r="B42" i="4"/>
  <c r="B46" i="4"/>
  <c r="B45" i="4"/>
  <c r="C25" i="18"/>
  <c r="C26" i="18"/>
  <c r="C2" i="18"/>
  <c r="C27" i="18"/>
  <c r="C28" i="18"/>
  <c r="C29" i="18"/>
  <c r="C23" i="18"/>
  <c r="C22" i="18"/>
  <c r="C21" i="18"/>
  <c r="C3" i="18"/>
  <c r="C24" i="18"/>
  <c r="C19" i="18"/>
  <c r="C20" i="18"/>
  <c r="M3" i="15"/>
  <c r="M2" i="15"/>
  <c r="G4" i="4"/>
  <c r="E4" i="4"/>
  <c r="B83" i="4"/>
  <c r="I4" i="4"/>
  <c r="B25" i="4"/>
  <c r="B28" i="4"/>
  <c r="B31" i="4"/>
  <c r="B41" i="4"/>
  <c r="C30" i="7"/>
  <c r="C29" i="7"/>
  <c r="E6" i="10"/>
  <c r="B40" i="10" l="1"/>
  <c r="A22" i="18"/>
  <c r="B39" i="10"/>
  <c r="A21" i="18"/>
  <c r="AQ2" i="15"/>
  <c r="AQ3" i="15" s="1"/>
  <c r="F16" i="10"/>
  <c r="F15" i="10"/>
  <c r="F14" i="10"/>
  <c r="F13" i="10"/>
  <c r="B4" i="9" l="1"/>
  <c r="B4" i="7"/>
  <c r="C4" i="10"/>
  <c r="D19" i="10"/>
  <c r="C11" i="10"/>
  <c r="G60" i="4"/>
  <c r="T3" i="15" s="1"/>
  <c r="G58" i="4"/>
  <c r="T2" i="15" s="1"/>
  <c r="G30" i="16"/>
  <c r="G29" i="16"/>
  <c r="B18" i="4" l="1"/>
  <c r="B3" i="4"/>
  <c r="G28" i="16"/>
  <c r="G27" i="16"/>
  <c r="G20" i="16"/>
  <c r="G19" i="16"/>
  <c r="G17" i="16"/>
  <c r="G16" i="16"/>
  <c r="G14" i="16"/>
  <c r="G13" i="16"/>
  <c r="B52" i="4"/>
  <c r="AM1" i="15"/>
  <c r="AL1" i="15"/>
  <c r="AK1" i="15"/>
  <c r="B2" i="15"/>
  <c r="B3" i="15" s="1"/>
  <c r="E18" i="4" l="1"/>
  <c r="G78" i="4" l="1"/>
  <c r="G79" i="4"/>
  <c r="G82" i="4"/>
  <c r="G83" i="4"/>
  <c r="B32" i="4"/>
  <c r="B29" i="4"/>
  <c r="B26" i="4"/>
  <c r="D5" i="4"/>
  <c r="B15" i="4"/>
  <c r="B14" i="4"/>
  <c r="B5" i="4"/>
  <c r="G59" i="4"/>
  <c r="G62" i="4" s="1"/>
  <c r="G57" i="4"/>
  <c r="G61" i="4" s="1"/>
  <c r="G33" i="4"/>
  <c r="G32" i="4"/>
  <c r="G30" i="4"/>
  <c r="G46" i="4" s="1"/>
  <c r="G29" i="4"/>
  <c r="G45" i="4" s="1"/>
  <c r="B2" i="9"/>
  <c r="B2" i="10"/>
  <c r="B64" i="16"/>
  <c r="B63" i="16"/>
  <c r="I84" i="4" l="1"/>
  <c r="AA2" i="15"/>
  <c r="I80" i="4"/>
  <c r="B49" i="7"/>
  <c r="G6" i="4"/>
  <c r="I5" i="4"/>
  <c r="G5" i="4"/>
  <c r="I6" i="4"/>
  <c r="E14" i="4"/>
  <c r="E6" i="4"/>
  <c r="I13" i="4"/>
  <c r="E5" i="4"/>
  <c r="G13" i="4"/>
  <c r="E13" i="4"/>
  <c r="I12" i="4"/>
  <c r="G12" i="4"/>
  <c r="E12" i="4"/>
  <c r="I11" i="4"/>
  <c r="G11" i="4"/>
  <c r="E11" i="4"/>
  <c r="I14" i="4"/>
  <c r="I10" i="4"/>
  <c r="G14" i="4"/>
  <c r="E10" i="4"/>
  <c r="H47" i="7"/>
  <c r="Y2" i="15"/>
  <c r="G8" i="4"/>
  <c r="I8" i="4"/>
  <c r="E9" i="4"/>
  <c r="G9" i="4"/>
  <c r="G10" i="4"/>
  <c r="E8" i="4"/>
  <c r="I9" i="4"/>
  <c r="D6" i="4"/>
  <c r="G2" i="15" l="1"/>
  <c r="G3" i="15" s="1"/>
  <c r="E7" i="4"/>
  <c r="E15" i="4" s="1"/>
  <c r="I7" i="4"/>
  <c r="I15" i="4" s="1"/>
  <c r="G7" i="4"/>
  <c r="G15" i="4" s="1"/>
  <c r="I64" i="16" l="1"/>
  <c r="I20" i="4"/>
  <c r="G71" i="4"/>
  <c r="I21" i="4"/>
  <c r="I22" i="4" l="1"/>
  <c r="I23" i="4"/>
  <c r="H65" i="16"/>
  <c r="G54" i="4"/>
  <c r="J23" i="4"/>
  <c r="J36" i="4" s="1"/>
  <c r="J22" i="4"/>
  <c r="J35" i="4" s="1"/>
  <c r="H3" i="15"/>
  <c r="H66" i="16"/>
  <c r="H64" i="16"/>
  <c r="H2" i="15"/>
  <c r="G44" i="7"/>
  <c r="AP2" i="15"/>
  <c r="AP3" i="15"/>
  <c r="AO3" i="15"/>
  <c r="AO2" i="15"/>
  <c r="AN3" i="15"/>
  <c r="AN2" i="15"/>
  <c r="G36" i="4" l="1"/>
  <c r="G48" i="4"/>
  <c r="G50" i="4" s="1"/>
  <c r="G35" i="4"/>
  <c r="G47" i="4"/>
  <c r="G49" i="4" s="1"/>
  <c r="J47" i="4"/>
  <c r="J48" i="4"/>
  <c r="J39" i="4"/>
  <c r="J65" i="4"/>
  <c r="I59" i="16"/>
  <c r="H59" i="16" s="1"/>
  <c r="B34" i="7"/>
  <c r="I51" i="4" l="1"/>
  <c r="I61" i="16" s="1"/>
  <c r="H61" i="16" s="1"/>
  <c r="G64" i="4"/>
  <c r="U3" i="15" s="1"/>
  <c r="G38" i="4"/>
  <c r="G37" i="4"/>
  <c r="G63" i="4"/>
  <c r="J51" i="4"/>
  <c r="O3" i="15"/>
  <c r="N3" i="15"/>
  <c r="N2" i="15"/>
  <c r="AM2" i="15"/>
  <c r="AE2" i="15"/>
  <c r="AD2" i="15"/>
  <c r="AC2" i="15"/>
  <c r="Z2" i="15"/>
  <c r="S3" i="15"/>
  <c r="S2" i="15"/>
  <c r="J3" i="15"/>
  <c r="J2" i="15"/>
  <c r="F3" i="15"/>
  <c r="F2" i="15"/>
  <c r="I39" i="4" l="1"/>
  <c r="G53" i="4" s="1"/>
  <c r="I65" i="4"/>
  <c r="I63" i="16" s="1"/>
  <c r="H63" i="16" s="1"/>
  <c r="I70" i="16"/>
  <c r="O2" i="15"/>
  <c r="U2" i="15"/>
  <c r="G16" i="10"/>
  <c r="H16" i="10"/>
  <c r="Q2" i="15" l="1"/>
  <c r="J55" i="4"/>
  <c r="J66" i="4" s="1"/>
  <c r="J72" i="4" s="1"/>
  <c r="J86" i="4" s="1"/>
  <c r="H70" i="16"/>
  <c r="X2" i="15"/>
  <c r="I55" i="4"/>
  <c r="I66" i="4" s="1"/>
  <c r="I60" i="16"/>
  <c r="H60" i="16" s="1"/>
  <c r="P2" i="15"/>
  <c r="I3" i="15"/>
  <c r="I72" i="4" l="1"/>
  <c r="I86" i="4" s="1"/>
  <c r="H52" i="16"/>
  <c r="H50" i="16"/>
  <c r="I62" i="16"/>
  <c r="H62" i="16" s="1"/>
  <c r="I2" i="15"/>
  <c r="K3" i="15"/>
  <c r="K2" i="15"/>
  <c r="I69" i="16" l="1"/>
  <c r="H69" i="16" s="1"/>
  <c r="H68" i="16"/>
  <c r="H67" i="16"/>
  <c r="L3" i="15"/>
  <c r="L2" i="15"/>
  <c r="B9" i="9" l="1"/>
  <c r="B11" i="9"/>
  <c r="B10" i="9"/>
  <c r="B15" i="10" l="1"/>
  <c r="R2" i="15" l="1"/>
  <c r="Q3" i="15"/>
  <c r="H32" i="7"/>
  <c r="H27" i="7"/>
  <c r="I20" i="18" s="1"/>
  <c r="H41" i="7"/>
  <c r="I29" i="18" s="1"/>
  <c r="H40" i="7"/>
  <c r="I28" i="18" s="1"/>
  <c r="H39" i="7"/>
  <c r="I27" i="18" s="1"/>
  <c r="H38" i="7"/>
  <c r="I26" i="18" s="1"/>
  <c r="H37" i="7"/>
  <c r="I25" i="18" s="1"/>
  <c r="H36" i="7"/>
  <c r="I24" i="18" s="1"/>
  <c r="M24" i="18" l="1"/>
  <c r="J24" i="18"/>
  <c r="K24" i="18"/>
  <c r="M27" i="18"/>
  <c r="K27" i="18"/>
  <c r="J27" i="18"/>
  <c r="J25" i="18"/>
  <c r="K25" i="18"/>
  <c r="M25" i="18"/>
  <c r="M26" i="18"/>
  <c r="K26" i="18"/>
  <c r="J26" i="18"/>
  <c r="K29" i="18"/>
  <c r="M29" i="18"/>
  <c r="J29" i="18"/>
  <c r="M28" i="18"/>
  <c r="J28" i="18"/>
  <c r="K28" i="18"/>
  <c r="AF2" i="15"/>
  <c r="F31" i="7"/>
  <c r="E31" i="7"/>
  <c r="D31" i="7"/>
  <c r="B46" i="10" l="1"/>
  <c r="B47" i="10"/>
  <c r="B48" i="10"/>
  <c r="B49" i="10"/>
  <c r="C46" i="10"/>
  <c r="F46" i="10" s="1"/>
  <c r="C47" i="10"/>
  <c r="F47" i="10" s="1"/>
  <c r="C48" i="10"/>
  <c r="F48" i="10" s="1"/>
  <c r="C49" i="10"/>
  <c r="F49" i="10" s="1"/>
  <c r="E42" i="7"/>
  <c r="E43" i="7" s="1"/>
  <c r="F42" i="7"/>
  <c r="F43" i="7" s="1"/>
  <c r="AI2" i="15" s="1"/>
  <c r="D42" i="7"/>
  <c r="D43" i="7" s="1"/>
  <c r="H49" i="10" l="1"/>
  <c r="L29" i="18"/>
  <c r="H48" i="10"/>
  <c r="L28" i="18"/>
  <c r="H47" i="10"/>
  <c r="L27" i="18"/>
  <c r="H46" i="10"/>
  <c r="L26" i="18"/>
  <c r="B44" i="10"/>
  <c r="B45" i="10"/>
  <c r="B43" i="10"/>
  <c r="C45" i="10" l="1"/>
  <c r="F45" i="10" s="1"/>
  <c r="C44" i="10"/>
  <c r="F44" i="10" s="1"/>
  <c r="H44" i="10" l="1"/>
  <c r="L24" i="18"/>
  <c r="H45" i="10"/>
  <c r="L25" i="18"/>
  <c r="B27" i="10"/>
  <c r="B28" i="10"/>
  <c r="B29" i="10"/>
  <c r="B30" i="10"/>
  <c r="B31" i="10"/>
  <c r="B32" i="10"/>
  <c r="B33" i="10"/>
  <c r="B34" i="10"/>
  <c r="B35" i="10"/>
  <c r="B36" i="10"/>
  <c r="B37" i="10"/>
  <c r="B38" i="10"/>
  <c r="B21" i="10" l="1"/>
  <c r="B22" i="10"/>
  <c r="B23" i="10"/>
  <c r="B24" i="10"/>
  <c r="B25" i="10"/>
  <c r="B26" i="10"/>
  <c r="B20" i="10" l="1"/>
  <c r="H15" i="10" l="1"/>
  <c r="G15" i="10"/>
  <c r="G24" i="9"/>
  <c r="H29" i="7" l="1"/>
  <c r="I21" i="18" s="1"/>
  <c r="H9" i="7"/>
  <c r="I2" i="18" s="1"/>
  <c r="K21" i="18" l="1"/>
  <c r="M21" i="18"/>
  <c r="J21" i="18"/>
  <c r="M2" i="18"/>
  <c r="K2" i="18"/>
  <c r="J2" i="18"/>
  <c r="C39" i="10"/>
  <c r="F39" i="10" s="1"/>
  <c r="H39" i="10" l="1"/>
  <c r="L21" i="18"/>
  <c r="H30" i="7"/>
  <c r="H10" i="7"/>
  <c r="I3" i="18" s="1"/>
  <c r="C20" i="10"/>
  <c r="F20" i="10" s="1"/>
  <c r="C40" i="10" l="1"/>
  <c r="F40" i="10" s="1"/>
  <c r="H40" i="10" s="1"/>
  <c r="I22" i="18"/>
  <c r="K3" i="18"/>
  <c r="M3" i="18"/>
  <c r="J3" i="18"/>
  <c r="H20" i="10"/>
  <c r="L2" i="18"/>
  <c r="C21" i="10"/>
  <c r="F21" i="10" s="1"/>
  <c r="H11" i="7"/>
  <c r="C22" i="10" s="1"/>
  <c r="F22" i="10" s="1"/>
  <c r="H22" i="10" s="1"/>
  <c r="AW3" i="15" l="1"/>
  <c r="J22" i="18"/>
  <c r="K22" i="18"/>
  <c r="M22" i="18"/>
  <c r="L22" i="18"/>
  <c r="H21" i="10"/>
  <c r="L3" i="18"/>
  <c r="H12" i="7"/>
  <c r="H13" i="7" l="1"/>
  <c r="C23" i="10"/>
  <c r="F23" i="10" s="1"/>
  <c r="H23" i="10" s="1"/>
  <c r="C24" i="10" l="1"/>
  <c r="F24" i="10" s="1"/>
  <c r="H24" i="10" s="1"/>
  <c r="H14" i="7"/>
  <c r="H35" i="7"/>
  <c r="I23" i="18" s="1"/>
  <c r="J23" i="18" l="1"/>
  <c r="K23" i="18"/>
  <c r="M23" i="18"/>
  <c r="H15" i="7"/>
  <c r="C26" i="10" s="1"/>
  <c r="F26" i="10" s="1"/>
  <c r="H26" i="10" s="1"/>
  <c r="C25" i="10"/>
  <c r="F25" i="10" s="1"/>
  <c r="H25" i="10" s="1"/>
  <c r="G42" i="7"/>
  <c r="H16" i="7" l="1"/>
  <c r="H42" i="7"/>
  <c r="AH2" i="15" s="1"/>
  <c r="C43" i="10"/>
  <c r="F43" i="10" s="1"/>
  <c r="AX2" i="15" l="1"/>
  <c r="L23" i="18"/>
  <c r="H43" i="10"/>
  <c r="C27" i="10"/>
  <c r="F27" i="10" s="1"/>
  <c r="H27" i="10" s="1"/>
  <c r="H17" i="7"/>
  <c r="C28" i="10" s="1"/>
  <c r="F28" i="10" s="1"/>
  <c r="H28" i="10" s="1"/>
  <c r="C50" i="10"/>
  <c r="H18" i="7" l="1"/>
  <c r="C29" i="10" s="1"/>
  <c r="F29" i="10" s="1"/>
  <c r="F50" i="10"/>
  <c r="H29" i="10" l="1"/>
  <c r="AS2" i="15"/>
  <c r="H19" i="7"/>
  <c r="C30" i="10" s="1"/>
  <c r="F30" i="10" s="1"/>
  <c r="H30" i="10" s="1"/>
  <c r="H20" i="7" l="1"/>
  <c r="C31" i="10" s="1"/>
  <c r="F31" i="10" s="1"/>
  <c r="H31" i="10" l="1"/>
  <c r="H21" i="7"/>
  <c r="C32" i="10" s="1"/>
  <c r="F32" i="10" s="1"/>
  <c r="H32" i="10" s="1"/>
  <c r="H22" i="7" l="1"/>
  <c r="C33" i="10" s="1"/>
  <c r="F33" i="10" s="1"/>
  <c r="H33" i="10" l="1"/>
  <c r="H23" i="7"/>
  <c r="C34" i="10" s="1"/>
  <c r="F34" i="10" s="1"/>
  <c r="H34" i="10" s="1"/>
  <c r="H24" i="7" l="1"/>
  <c r="C35" i="10" s="1"/>
  <c r="F35" i="10" s="1"/>
  <c r="H35" i="10" l="1"/>
  <c r="AK2" i="15"/>
  <c r="H25" i="7"/>
  <c r="C36" i="10" s="1"/>
  <c r="F36" i="10" s="1"/>
  <c r="H36" i="10" s="1"/>
  <c r="H26" i="7" l="1"/>
  <c r="AV2" i="15" l="1"/>
  <c r="I19" i="18"/>
  <c r="C37" i="10"/>
  <c r="F37" i="10" s="1"/>
  <c r="L19" i="18" s="1"/>
  <c r="AG2" i="15"/>
  <c r="G31" i="7"/>
  <c r="G43" i="7" s="1"/>
  <c r="AJ2" i="15" s="1"/>
  <c r="H28" i="7"/>
  <c r="M19" i="18" l="1"/>
  <c r="J19" i="18"/>
  <c r="K19" i="18"/>
  <c r="H37" i="10"/>
  <c r="AW2" i="15"/>
  <c r="AG3" i="15"/>
  <c r="AV3" i="15"/>
  <c r="C38" i="10"/>
  <c r="F38" i="10" s="1"/>
  <c r="H38" i="10" s="1"/>
  <c r="H31" i="7"/>
  <c r="H45" i="7" s="1"/>
  <c r="AL2" i="15" l="1"/>
  <c r="AR3" i="15"/>
  <c r="AT3" i="15"/>
  <c r="H43" i="7"/>
  <c r="C41" i="10"/>
  <c r="C51" i="10" s="1"/>
  <c r="F41" i="10" l="1"/>
  <c r="AT2" i="15" s="1"/>
  <c r="F51" i="10" l="1"/>
  <c r="AR2"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tc={3E94F99E-BBF6-4BBB-8D7F-A9385964CBF8}</author>
    <author>tc={887874F3-6649-4294-83E8-26D277E7E1B8}</author>
    <author>tc={F003EF1D-C3F4-4A2D-808F-63C5302D5124}</author>
    <author>tc={E8401FBE-EC75-4DD5-A3AC-63305CF5B155}</author>
    <author>tc={C552397B-2BFE-48B5-888D-0FAFCBB5D609}</author>
    <author>tc={7EB1B5C1-48CC-43F2-9337-4054738B594F}</author>
    <author>tc={5DCE5089-F8CF-4D3B-A705-DF6872294F2C}</author>
    <author>tc={BEBF6E3D-09CA-4694-A6E2-B25DF6FE817C}</author>
    <author>tc={D48CB916-4521-4D0D-A290-2AB3BEDF063E}</author>
  </authors>
  <commentList>
    <comment ref="A1" authorId="0" shapeId="0" xr:uid="{3E94F99E-BBF6-4BBB-8D7F-A9385964CBF8}">
      <text>
        <t>[Threaded comment]
Your version of Excel allows you to read this threaded comment; however, any edits to it will get removed if the file is opened in a newer version of Excel. Learn more: https://go.microsoft.com/fwlink/?linkid=870924
Comment:
    For the formulas to match values correctly, BearLake, NezPerce, and TwinFalls counties cannot have spaces in their names.</t>
      </text>
    </comment>
    <comment ref="C1" authorId="1" shapeId="0" xr:uid="{887874F3-6649-4294-83E8-26D277E7E1B8}">
      <text>
        <t>[Threaded comment]
Your version of Excel allows you to read this threaded comment; however, any edits to it will get removed if the file is opened in a newer version of Excel. Learn more: https://go.microsoft.com/fwlink/?linkid=870924
Comment:
    For the L-2 to fill data correctly, this tab must remain sorted alphabetically by DistName.
Reply:
    Highlighted counties MUST use this form. The other listed counties may use this form but it shouldn't be different from the "General" form.</t>
      </text>
    </comment>
    <comment ref="H1" authorId="2" shapeId="0" xr:uid="{F003EF1D-C3F4-4A2D-808F-63C5302D5124}">
      <text>
        <t>[Threaded comment]
Your version of Excel allows you to read this threaded comment; however, any edits to it will get removed if the file is opened in a newer version of Excel. Learn more: https://go.microsoft.com/fwlink/?linkid=870924
Comment:
    Updated to 2025 OP values on 12/29/2025</t>
      </text>
    </comment>
    <comment ref="I1" authorId="3" shapeId="0" xr:uid="{E8401FBE-EC75-4DD5-A3AC-63305CF5B155}">
      <text>
        <t>[Threaded comment]
Your version of Excel allows you to read this threaded comment; however, any edits to it will get removed if the file is opened in a newer version of Excel. Learn more: https://go.microsoft.com/fwlink/?linkid=870924
Comment:
    Updated to 2025 OP values on 12/29/2025</t>
      </text>
    </comment>
    <comment ref="L1" authorId="4" shapeId="0" xr:uid="{C552397B-2BFE-48B5-888D-0FAFCBB5D609}">
      <text>
        <t>[Threaded comment]
Your version of Excel allows you to read this threaded comment; however, any edits to it will get removed if the file is opened in a newer version of Excel. Learn more: https://go.microsoft.com/fwlink/?linkid=870924
Comment:
    Updated 3/20/23 with figures that include the R&amp;B</t>
      </text>
    </comment>
    <comment ref="U1" authorId="5" shapeId="0" xr:uid="{7EB1B5C1-48CC-43F2-9337-4054738B594F}">
      <text>
        <t>[Threaded comment]
Your version of Excel allows you to read this threaded comment; however, any edits to it will get removed if the file is opened in a newer version of Excel. Learn more: https://go.microsoft.com/fwlink/?linkid=870924
Comment:
    If an error was determined to be a budget error where the budget grew incorrectly and was corrected with a reduction in the following year, those reductions are NOT treated as replacements. 
If an error was a valuation error that resulted in too much revenue for the district (but budget was set correctly), then the reduction in the following year would be treated as replacements.</t>
      </text>
    </comment>
    <comment ref="Z1" authorId="6" shapeId="0" xr:uid="{5DCE5089-F8CF-4D3B-A705-DF6872294F2C}">
      <text>
        <t>[Threaded comment]
Your version of Excel allows you to read this threaded comment; however, any edits to it will get removed if the file is opened in a newer version of Excel. Learn more: https://go.microsoft.com/fwlink/?linkid=870924
Comment:
    2026 Forgone amounts updated - 1/2/2026</t>
      </text>
    </comment>
    <comment ref="C12" authorId="7" shapeId="0" xr:uid="{BEBF6E3D-09CA-4694-A6E2-B25DF6FE817C}">
      <text>
        <t>[Threaded comment]
Your version of Excel allows you to read this threaded comment; however, any edits to it will get removed if the file is opened in a newer version of Excel. Learn more: https://go.microsoft.com/fwlink/?linkid=870924
Comment:
    Hasn't levied for R&amp;B for over 3 yrs</t>
      </text>
    </comment>
    <comment ref="C22" authorId="8" shapeId="0" xr:uid="{D48CB916-4521-4D0D-A290-2AB3BEDF063E}">
      <text>
        <t>[Threaded comment]
Your version of Excel allows you to read this threaded comment; however, any edits to it will get removed if the file is opened in a newer version of Excel. Learn more: https://go.microsoft.com/fwlink/?linkid=870924
Comment:
    Did not levy for R&amp;B in 2021</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tc={50D2A384-A6A2-44C2-865B-69A641B7D144}</author>
    <author>tc={CA58D89E-B1D5-4B19-BA9B-9D399917ADC8}</author>
    <author>tc={B64F125E-AF15-463F-9624-B08869E85DBE}</author>
    <author>tc={1E3FF760-EB62-42E4-97A1-F019FA214901}</author>
  </authors>
  <commentList>
    <comment ref="H13" authorId="0" shapeId="0" xr:uid="{50D2A384-A6A2-44C2-865B-69A641B7D144}">
      <text>
        <t>[Threaded comment]
Your version of Excel allows you to read this threaded comment; however, any edits to it will get removed if the file is opened in a newer version of Excel. Learn more: https://go.microsoft.com/fwlink/?linkid=870924
Comment:
    Change this value if you would like to calculate a maximum using less than 3% base budget growth.
The default is set to 3% because this form’s purpose is to calculate the legal maximum.</t>
      </text>
    </comment>
    <comment ref="B49" authorId="1" shapeId="0" xr:uid="{CA58D89E-B1D5-4B19-BA9B-9D399917ADC8}">
      <text>
        <t>[Threaded comment]
Your version of Excel allows you to read this threaded comment; however, any edits to it will get removed if the file is opened in a newer version of Excel. Learn more: https://go.microsoft.com/fwlink/?linkid=870924
Comment:
    Once all the above boxes are completed, you can look at the L-2 Worksheet tab to review what the maximum property tax budget would be without using forgone amounts. This information can be used to guide your decision in this box.</t>
      </text>
    </comment>
    <comment ref="I65" authorId="2" shapeId="0" xr:uid="{B64F125E-AF15-463F-9624-B08869E85DBE}">
      <text>
        <t>[Threaded comment]
Your version of Excel allows you to read this threaded comment; however, any edits to it will get removed if the file is opened in a newer version of Excel. Learn more: https://go.microsoft.com/fwlink/?linkid=870924
Comment:
    In 2026, the new kWh/therms tax will reduce property tax revenue for all taxing districts. 
In subsequent years, increases in kWh/therms tax will result in decreasing property tax (and vice versa).</t>
      </text>
    </comment>
    <comment ref="H69" authorId="3" shapeId="0" xr:uid="{1E3FF760-EB62-42E4-97A1-F019FA214901}">
      <text>
        <t>[Threaded comment]
Your version of Excel allows you to read this threaded comment; however, any edits to it will get removed if the file is opened in a newer version of Excel. Learn more: https://go.microsoft.com/fwlink/?linkid=870924
Comment:
    If forgone amounts have been recovered into the budget, then this figure will not equal the sum of the above percentages because forgone recovery percentages (1% &amp; 3%) are based on the budget after the initial increases have been allowed.</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tc={690176EA-5F06-4F30-B8A6-206AB8A10730}</author>
    <author>tc={A4425859-192B-478C-A2AA-BFB58207FFC6}</author>
  </authors>
  <commentList>
    <comment ref="H45" authorId="0" shapeId="0" xr:uid="{690176EA-5F06-4F30-B8A6-206AB8A10730}">
      <text>
        <t>[Threaded comment]
Your version of Excel allows you to read this threaded comment; however, any edits to it will get removed if the file is opened in a newer version of Excel. Learn more: https://go.microsoft.com/fwlink/?linkid=870924
Comment:
    This amount should be the sum of the growth from: 3%, new construction, annexations, and expiring urban renewal minus the amount of growth being taken.
Reply:
    Should also allow the county to reserve the full 3% as forgone if they select less than 3% on the dashboard.</t>
      </text>
    </comment>
    <comment ref="H46" authorId="1" shapeId="0" xr:uid="{A4425859-192B-478C-A2AA-BFB58207FFC6}">
      <text>
        <t>[Threaded comment]
Your version of Excel allows you to read this threaded comment; however, any edits to it will get removed if the file is opened in a newer version of Excel. Learn more: https://go.microsoft.com/fwlink/?linkid=870924
Comment:
    If there is an amount in the box below, this box should be blank (the box below expands your budget growth this year and this amount reserves excess growth for the future; there should not be excess growth to reserve for the future if extra budget growth is needed via recovering forgone).</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tc={BE325DE1-AA0D-4C5B-B7DD-4EDF52E3D4B7}</author>
  </authors>
  <commentList>
    <comment ref="C1" authorId="0" shapeId="0" xr:uid="{BE325DE1-AA0D-4C5B-B7DD-4EDF52E3D4B7}">
      <text>
        <t>[Threaded comment]
Your version of Excel allows you to read this threaded comment; however, any edits to it will get removed if the file is opened in a newer version of Excel. Learn more: https://go.microsoft.com/fwlink/?linkid=870924
Comment:
    CommonKey without the county indicator</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tc={D2BAE6D6-0F23-46D6-8ABB-B25CF97CA56D}</author>
  </authors>
  <commentList>
    <comment ref="C11" authorId="0" shapeId="0" xr:uid="{D2BAE6D6-0F23-46D6-8ABB-B25CF97CA56D}">
      <text>
        <t>[Threaded comment]
Your version of Excel allows you to read this threaded comment; however, any edits to it will get removed if the file is opened in a newer version of Excel. Learn more: https://go.microsoft.com/fwlink/?linkid=870924
Comment:
    This needs to include Operating Property Value from current year.</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tc={D103061B-9660-4367-8DE1-87364F7AF059}</author>
  </authors>
  <commentList>
    <comment ref="B35" authorId="0" shapeId="0" xr:uid="{D103061B-9660-4367-8DE1-87364F7AF059}">
      <text>
        <t>[Threaded comment]
Your version of Excel allows you to read this threaded comment; however, any edits to it will get removed if the file is opened in a newer version of Excel. Learn more: https://go.microsoft.com/fwlink/?linkid=870924
Comment:
    KwH/Therm taxes are apportioned based on 2025 property tax levies and these apportionments are required to be adjusted for expiring bonds.</t>
      </text>
    </comment>
  </commentList>
</comments>
</file>

<file path=xl/sharedStrings.xml><?xml version="1.0" encoding="utf-8"?>
<sst xmlns="http://schemas.openxmlformats.org/spreadsheetml/2006/main" count="507" uniqueCount="409">
  <si>
    <t>District Name:</t>
  </si>
  <si>
    <t>(4)</t>
  </si>
  <si>
    <t>(3)</t>
  </si>
  <si>
    <t>(2)</t>
  </si>
  <si>
    <t>(1)</t>
  </si>
  <si>
    <t>1st Calendar Year Levied</t>
  </si>
  <si>
    <t>Date</t>
  </si>
  <si>
    <t>Title</t>
  </si>
  <si>
    <t>Signature of District Representative</t>
  </si>
  <si>
    <t>Column Total:</t>
  </si>
  <si>
    <t>Balance to be levied</t>
  </si>
  <si>
    <t>Fund</t>
  </si>
  <si>
    <t>Contact Name and Mailing Address</t>
  </si>
  <si>
    <t>Email Address</t>
  </si>
  <si>
    <t>Phone Number (###) ###-### EXT ###</t>
  </si>
  <si>
    <t>Fax Number (###) ###-###</t>
  </si>
  <si>
    <t>I certify that the amounts shown above accurately reflect the budget being certified in accordance with the provisions of I.C. §63-803.
To the best of my knowledge, this district has established and adopted this budget in accordance with all provisions of Idaho Law.</t>
  </si>
  <si>
    <t>Fund Name</t>
  </si>
  <si>
    <t>Term of Initiative</t>
  </si>
  <si>
    <t>Annual Amount Authorized by Voters</t>
  </si>
  <si>
    <t>District Bond Initiative (Voter Approved Bonds)</t>
  </si>
  <si>
    <t>Amount Authorized by Voters</t>
  </si>
  <si>
    <t>Prior Year 
P-Tax $</t>
  </si>
  <si>
    <t>Current Year
P-Tax $</t>
  </si>
  <si>
    <t xml:space="preserve">Current Year's Total Bond Fund (Reported on L-2 Col. 6):  </t>
  </si>
  <si>
    <t>Explanation (If Required):</t>
  </si>
  <si>
    <t>Date of Election
(If current year attach copy of Ballot)</t>
  </si>
  <si>
    <t>Date of Election</t>
  </si>
  <si>
    <r>
      <t xml:space="preserve">Other revenue </t>
    </r>
    <r>
      <rPr>
        <i/>
        <u/>
        <sz val="12"/>
        <rFont val="Calibri"/>
        <family val="2"/>
      </rPr>
      <t>NOT</t>
    </r>
    <r>
      <rPr>
        <sz val="12"/>
        <rFont val="Calibri"/>
        <family val="2"/>
      </rPr>
      <t xml:space="preserve"> shown in Column 5</t>
    </r>
  </si>
  <si>
    <t>(If current year, attach copy of Ballot)</t>
  </si>
  <si>
    <t>% Change
(+/- 20% Explan-
ation Required)</t>
  </si>
  <si>
    <t>"YES" = Explanation 
Required</t>
  </si>
  <si>
    <t>County</t>
  </si>
  <si>
    <t>Levy Calculation Area</t>
  </si>
  <si>
    <t>Levy Rate</t>
  </si>
  <si>
    <t>Maximum Levy Rate</t>
  </si>
  <si>
    <t>(the "L-2 Worksheet" and applicable "Voter Approved Fund Tracker" and budget publication must be attached)</t>
  </si>
  <si>
    <t>Balance to be levied
Col. 2 minus (Cols. 3+4+5)</t>
  </si>
  <si>
    <t>Cash Forward
Balance</t>
  </si>
  <si>
    <t>Total Approved
Budget*</t>
  </si>
  <si>
    <t>*Do not include revenue allocated to urban renewal agencies</t>
  </si>
  <si>
    <t>County Road &amp; Bridge</t>
  </si>
  <si>
    <t>Column Subtotal:</t>
  </si>
  <si>
    <t>Exempt Funds</t>
  </si>
  <si>
    <t>Total</t>
  </si>
  <si>
    <t>Subtotal</t>
  </si>
  <si>
    <t>Bannock County</t>
  </si>
  <si>
    <t>Bear Lake County</t>
  </si>
  <si>
    <t>Benewah County</t>
  </si>
  <si>
    <t>Bingham County</t>
  </si>
  <si>
    <t>Boise County</t>
  </si>
  <si>
    <t>Bonner County</t>
  </si>
  <si>
    <t>Bonneville County</t>
  </si>
  <si>
    <t>Boundary County</t>
  </si>
  <si>
    <t>Caribou County</t>
  </si>
  <si>
    <t>Cassia County</t>
  </si>
  <si>
    <t>Franklin County</t>
  </si>
  <si>
    <t>Fremont County</t>
  </si>
  <si>
    <t>Gem County</t>
  </si>
  <si>
    <t>Idaho County</t>
  </si>
  <si>
    <t>Jefferson County</t>
  </si>
  <si>
    <t>Madison County</t>
  </si>
  <si>
    <t>Nez Perce County</t>
  </si>
  <si>
    <t>Owyhee County</t>
  </si>
  <si>
    <t>Payette County</t>
  </si>
  <si>
    <t>Teton County</t>
  </si>
  <si>
    <t>Valley County</t>
  </si>
  <si>
    <t>Washington County</t>
  </si>
  <si>
    <t>DistName</t>
  </si>
  <si>
    <t>Bannock</t>
  </si>
  <si>
    <t>Benewah</t>
  </si>
  <si>
    <t>Bingham</t>
  </si>
  <si>
    <t>Boise</t>
  </si>
  <si>
    <t>Bonner</t>
  </si>
  <si>
    <t>Bonneville</t>
  </si>
  <si>
    <t>Boundary</t>
  </si>
  <si>
    <t>Caribou</t>
  </si>
  <si>
    <t>Cassia</t>
  </si>
  <si>
    <t>Franklin</t>
  </si>
  <si>
    <t>Fremont</t>
  </si>
  <si>
    <t>Gem</t>
  </si>
  <si>
    <t>Idaho</t>
  </si>
  <si>
    <t>Jefferson</t>
  </si>
  <si>
    <t>Madison</t>
  </si>
  <si>
    <t>Owyhee</t>
  </si>
  <si>
    <t>Payette</t>
  </si>
  <si>
    <t>Teton</t>
  </si>
  <si>
    <t>Valley</t>
  </si>
  <si>
    <t>Washington</t>
  </si>
  <si>
    <t>NezPerce</t>
  </si>
  <si>
    <t>BearLake</t>
  </si>
  <si>
    <t>CoName</t>
  </si>
  <si>
    <t>CatName</t>
  </si>
  <si>
    <t>Ag Equipment Replacement</t>
  </si>
  <si>
    <t>NON-LEVIED FUNDS (must net zero)</t>
  </si>
  <si>
    <t>(24)</t>
  </si>
  <si>
    <t>(6a)</t>
  </si>
  <si>
    <t>(6b)</t>
  </si>
  <si>
    <t>County Road &amp; Bridge:</t>
  </si>
  <si>
    <t>County Road &amp; Bridge fund amount for the year indicated in line 1</t>
  </si>
  <si>
    <t>(7a)</t>
  </si>
  <si>
    <t>(7b)</t>
  </si>
  <si>
    <t>(8a)</t>
  </si>
  <si>
    <t>(8b)</t>
  </si>
  <si>
    <t>(9a)</t>
  </si>
  <si>
    <t>(9b)</t>
  </si>
  <si>
    <t>(12a)</t>
  </si>
  <si>
    <t>(12b)</t>
  </si>
  <si>
    <t>(13a)</t>
  </si>
  <si>
    <t>(13b)</t>
  </si>
  <si>
    <t>(28)</t>
  </si>
  <si>
    <t>New Construction Budget Increases (NOT including expiring Urban Renewal):</t>
  </si>
  <si>
    <t>Expiring Urban Renewal Budget Increases:</t>
  </si>
  <si>
    <t>Attach to your L-2 form.</t>
  </si>
  <si>
    <t>^^This fund is not shared with the cities within your district.</t>
  </si>
  <si>
    <t>Clearwater County</t>
  </si>
  <si>
    <t>Shoshone County</t>
  </si>
  <si>
    <t>(25)</t>
  </si>
  <si>
    <t>(29)</t>
  </si>
  <si>
    <t>NewConstruction</t>
  </si>
  <si>
    <t>SolarTaxCurrentYear</t>
  </si>
  <si>
    <t>RecHE</t>
  </si>
  <si>
    <t>OtherReductions</t>
  </si>
  <si>
    <t>ForgoneRecovered_general</t>
  </si>
  <si>
    <t>ForgoneRecovered_capitalprojects</t>
  </si>
  <si>
    <t>NewConstructionBudgetIncrease</t>
  </si>
  <si>
    <t>MaxNonExemptLevy</t>
  </si>
  <si>
    <t>Non-ExemptLeviedAmount</t>
  </si>
  <si>
    <t>ExemptLeviedAmount</t>
  </si>
  <si>
    <t>Other Revenue/HB292 Funds for Schools</t>
  </si>
  <si>
    <t>Replacements Listed</t>
  </si>
  <si>
    <t>2013 Personal Property Replacement</t>
  </si>
  <si>
    <t>2022 Personal Property Replacement</t>
  </si>
  <si>
    <t>3% Budget Increase</t>
  </si>
  <si>
    <t>NCPrelimLevyRate</t>
  </si>
  <si>
    <t>Maximum Allowable Non-Exempt Property Tax Amount to be Levied:</t>
  </si>
  <si>
    <t>^A proportionate share of the property tax portion of this fund is shared with each city within your district.</t>
  </si>
  <si>
    <t>NetTaxableValueForLevyRateCalculation</t>
  </si>
  <si>
    <t>IncrementValue</t>
  </si>
  <si>
    <t>Post2007IncrementValue</t>
  </si>
  <si>
    <t>NonExemptLevyRate</t>
  </si>
  <si>
    <t>ExemptLevyRate</t>
  </si>
  <si>
    <t>TotalLevyRate</t>
  </si>
  <si>
    <t>Printed Name</t>
  </si>
  <si>
    <t>(5a)</t>
  </si>
  <si>
    <t>(5b)</t>
  </si>
  <si>
    <t>(10)</t>
  </si>
  <si>
    <t>Total new construction roll budget increase (line 9a + line 9b)</t>
  </si>
  <si>
    <t>(11a)</t>
  </si>
  <si>
    <t>(11b)</t>
  </si>
  <si>
    <t>2023SolarTax</t>
  </si>
  <si>
    <t>Countywide</t>
  </si>
  <si>
    <t>Yearly amount of the agricultural equipment replacement money</t>
  </si>
  <si>
    <t>Yearly amount of the 2013 personal property replacement money</t>
  </si>
  <si>
    <t>Yearly amount of the 2022 personal property replacement money</t>
  </si>
  <si>
    <t>Allowable Base Budget Calculation:</t>
  </si>
  <si>
    <t>(3a)</t>
  </si>
  <si>
    <t>(4a)</t>
  </si>
  <si>
    <t>2024SolarTax</t>
  </si>
  <si>
    <t>Instructions &amp; Notes</t>
  </si>
  <si>
    <t>Enter values or select text in the fields that are this color:</t>
  </si>
  <si>
    <t>Fields that turn red are above their cap or conflict with another field:</t>
  </si>
  <si>
    <t>Incorrect values</t>
  </si>
  <si>
    <t>If prompted: click "Enable Editing" or "Enable Content" on Excel Workbook</t>
  </si>
  <si>
    <t>No</t>
  </si>
  <si>
    <t>Yes</t>
  </si>
  <si>
    <t>"Recovered/Recaptured Property Tax and Refund List" form data</t>
  </si>
  <si>
    <t>Did this district receive Solar Farm Tax?
(Column 1 of "Recovered/Recaptured Property Tax and Refund List")</t>
  </si>
  <si>
    <t>Did this district receive income from recovered homeowner's exemptions?
(Column 2 of the "Recovered/Recaptured Property Tax and Refund List")</t>
  </si>
  <si>
    <t>Enter the amount received from recovered homeowner's exemptions:</t>
  </si>
  <si>
    <t>Does the "Recovered/Recaptured Property Tax and Refund List" form have any amounts in column 3 for this district? (Recaptured QIE)</t>
  </si>
  <si>
    <t>Enter the amount received from recaptured QIE:</t>
  </si>
  <si>
    <t>Does the "Recovered/Recaptured Property Tax and Refund List" form have any amounts in column 4 for this district? (Other reductions)</t>
  </si>
  <si>
    <t>District's Existing Forgone Balance:</t>
  </si>
  <si>
    <t>Max Forgone Allowed to Recover for Maintenance &amp; Operations (up to 1%):</t>
  </si>
  <si>
    <t>Enter Amount of Forgone to be Recovered for Maintenance &amp; Operations:</t>
  </si>
  <si>
    <t>Max Forgone Allowed to Recover for Capital Projects (up to 3%):</t>
  </si>
  <si>
    <t>Enter Amount of Forgone to be Recovered for Capital Projects:</t>
  </si>
  <si>
    <t>Non-Exempt Budget Increase Calculation Summary</t>
  </si>
  <si>
    <t>Base budget increase selected (up to 3% selected above)</t>
  </si>
  <si>
    <t>New construction budget increase</t>
  </si>
  <si>
    <t>Effect of 8% cap on new construction &amp; annexation increases</t>
  </si>
  <si>
    <t>Other reductions to levying authority</t>
  </si>
  <si>
    <t>Total non-exempt budget increase</t>
  </si>
  <si>
    <t>Recovery of Forgone Amounts:</t>
  </si>
  <si>
    <t>Does this county have expiring Urban Renewal?</t>
  </si>
  <si>
    <t>Previous Three Years' Property Tax Budget Data</t>
  </si>
  <si>
    <t>Amounts from 'Maximum Budget &amp; Forgone Amounts Worksheet':</t>
  </si>
  <si>
    <t>Agricultural Equipment Replacement Money (+)</t>
  </si>
  <si>
    <t>2013 Personal Property Replacement Money (+)</t>
  </si>
  <si>
    <t>2022 Personal Property Replacement Money (+)</t>
  </si>
  <si>
    <t>Recovered Homeowner's Exemptions (+)</t>
  </si>
  <si>
    <t>Other Reductions (+)</t>
  </si>
  <si>
    <t>2023 County non-exempt Budget</t>
  </si>
  <si>
    <t>2024 County non-exempt Budget</t>
  </si>
  <si>
    <t>2023 County R&amp;B non-exempt Budget</t>
  </si>
  <si>
    <t>2024 County R&amp;B non-exempt Budget</t>
  </si>
  <si>
    <t>TOTAL</t>
  </si>
  <si>
    <t>2022 PP Rep_TOTAL_after2024cityhwyadjustments</t>
  </si>
  <si>
    <t>2023 Rec. H/E</t>
  </si>
  <si>
    <t>2024 Rec. H/E</t>
  </si>
  <si>
    <t>2023 Capital Projects - Forgone recovered</t>
  </si>
  <si>
    <t>2024 Capital Projects - Forgone recovered</t>
  </si>
  <si>
    <t>2023 Other Reductions</t>
  </si>
  <si>
    <t>2024 Other Reductions</t>
  </si>
  <si>
    <t>(26)</t>
  </si>
  <si>
    <t>(27)</t>
  </si>
  <si>
    <t>Total accrued forgone balance (from the 'Maximum Budget and Forgone Amount Worksheet')</t>
  </si>
  <si>
    <t>Property Tax Replacements:</t>
  </si>
  <si>
    <t>Recovered Homeowner's Exemption property tax</t>
  </si>
  <si>
    <t>Recaptured QIE</t>
  </si>
  <si>
    <t>Other reductions reported in column 4 of the Recovered/Recaptured Property Tax list</t>
  </si>
  <si>
    <t>(30)</t>
  </si>
  <si>
    <t>(31)</t>
  </si>
  <si>
    <t>Other Subtractions from Levying Authority:</t>
  </si>
  <si>
    <t>Select County with Road &amp; Bridge Fund 
from the Drop Down Menu:</t>
  </si>
  <si>
    <t>Highest Budget year of last 3 yrs</t>
  </si>
  <si>
    <t>Highest Budget of last 3 yrs plus rep.</t>
  </si>
  <si>
    <t>Solar Farm Tax received in the highest budget of the last 3 years (added back in after all growth calculations)</t>
  </si>
  <si>
    <t>Previously Forgone Increases &amp; Previous Solar Farm Tax:</t>
  </si>
  <si>
    <t>Maximum Allowable Non-Exempt Property Tax That Can Be Levied (Including Forgone Amount):</t>
  </si>
  <si>
    <r>
      <rPr>
        <b/>
        <sz val="12"/>
        <color theme="1"/>
        <rFont val="Calibri"/>
        <family val="2"/>
        <scheme val="minor"/>
      </rPr>
      <t>Dashboard tab</t>
    </r>
    <r>
      <rPr>
        <sz val="12"/>
        <color theme="1"/>
        <rFont val="Calibri"/>
        <family val="2"/>
        <scheme val="minor"/>
      </rPr>
      <t xml:space="preserve"> - input values necessary to calculate the maximum allowable non-exempt property tax budget and appropriate budget reductions</t>
    </r>
  </si>
  <si>
    <r>
      <rPr>
        <b/>
        <sz val="12"/>
        <color theme="1"/>
        <rFont val="Calibri"/>
        <family val="2"/>
        <scheme val="minor"/>
      </rPr>
      <t>L-2 Worksheet</t>
    </r>
    <r>
      <rPr>
        <sz val="12"/>
        <color theme="1"/>
        <rFont val="Calibri"/>
        <family val="2"/>
        <scheme val="minor"/>
      </rPr>
      <t xml:space="preserve"> - review the calculation of the maximum allowable non-exempt property tax budget</t>
    </r>
  </si>
  <si>
    <r>
      <rPr>
        <b/>
        <sz val="12"/>
        <color theme="1"/>
        <rFont val="Calibri"/>
        <family val="2"/>
        <scheme val="minor"/>
      </rPr>
      <t>L-2 Dollar Certification</t>
    </r>
    <r>
      <rPr>
        <sz val="12"/>
        <color theme="1"/>
        <rFont val="Calibri"/>
        <family val="2"/>
        <scheme val="minor"/>
      </rPr>
      <t xml:space="preserve"> - input budget figures for the current year's property tax budget request certification</t>
    </r>
  </si>
  <si>
    <t>White cells have values calculated/filled automatically</t>
  </si>
  <si>
    <t>Green cells require you to enter information</t>
  </si>
  <si>
    <t>Red cells exceed a cap or conflict with other data</t>
  </si>
  <si>
    <t>If prompted by a yellow banner near the top, select "Enable editing" or "Enable content"</t>
  </si>
  <si>
    <t xml:space="preserve">If there are any questions or issues with the form, contact Ben Seloske for assistance at (208) 334-7541 or ben.seloske@tax.idaho.gov </t>
  </si>
  <si>
    <t>LevyRateWoutSDFF</t>
  </si>
  <si>
    <t>Non-exempt budget plus rep. except solar and "other reductions"</t>
  </si>
  <si>
    <t>Percent Base Budget Growth Requested 
     (max 3%)</t>
  </si>
  <si>
    <t>Enter the value of the expiring Urban Renewal 
to be reduced to 80%:</t>
  </si>
  <si>
    <t>Enter the value of the expiring Urban Renewal 
to be reduced to 90%:</t>
  </si>
  <si>
    <t>Expiring Urban Renewal Increment Value to be Reduced to 80% for the County</t>
  </si>
  <si>
    <t>Expiring Urban Renewal Increment Value to be Reduced to 80% for the County Road &amp; Bridge</t>
  </si>
  <si>
    <t>Expiring Urban Renewal Increment Value to be Reduced to 90% for the County</t>
  </si>
  <si>
    <t>Expiring Urban Renewal Increment Value to be Reduced to 90% for the County Road &amp; Bridge</t>
  </si>
  <si>
    <t>Total Expiring Urban Renewal Increment Value after Reductions for the County</t>
  </si>
  <si>
    <t>Total Expiring Urban Renewal Increment Value after Reductions for the County Road &amp; Bridge</t>
  </si>
  <si>
    <t>(14a)</t>
  </si>
  <si>
    <t>(14b)</t>
  </si>
  <si>
    <t>(32)</t>
  </si>
  <si>
    <t>Does this District Overlap any Urban Renewal RAAs?</t>
  </si>
  <si>
    <t>Total Net Increment Value</t>
  </si>
  <si>
    <t>Increment Value of Post-2007 RAAs or Annexations</t>
  </si>
  <si>
    <t>(16)</t>
  </si>
  <si>
    <t>ExpiringURbefore80%</t>
  </si>
  <si>
    <t>ExpiringURbefore90%</t>
  </si>
  <si>
    <t>TotalExpiringUR_BudgetIncrease</t>
  </si>
  <si>
    <t>"Over Max"</t>
  </si>
  <si>
    <t>CountyNoURFunds</t>
  </si>
  <si>
    <t>- I.C.§63-1305 Judgments</t>
  </si>
  <si>
    <t>- Temporary Overrides</t>
  </si>
  <si>
    <t>- Bonds passed after 2007</t>
  </si>
  <si>
    <t>- Bonds passed before 2008 &amp; RAA created/modified after 2007</t>
  </si>
  <si>
    <t>IncrementAdded?</t>
  </si>
  <si>
    <t>*Leave blank if the fund should generate revenue for all Urban Renewal, add increment value for all RAAs that should NOT get revenue from the specific fund.</t>
  </si>
  <si>
    <t>commonkey</t>
  </si>
  <si>
    <t>R&amp;B_commonkey</t>
  </si>
  <si>
    <t>3-2-3</t>
  </si>
  <si>
    <t>3-11-71</t>
  </si>
  <si>
    <t>4-2-4</t>
  </si>
  <si>
    <t>4-11-72</t>
  </si>
  <si>
    <t>5-2-5</t>
  </si>
  <si>
    <t>5-11-73</t>
  </si>
  <si>
    <t>6-2-6</t>
  </si>
  <si>
    <t>6-11-74</t>
  </si>
  <si>
    <t>8-2-8</t>
  </si>
  <si>
    <t>8-11-76</t>
  </si>
  <si>
    <t>9-2-9</t>
  </si>
  <si>
    <t>9-11-105</t>
  </si>
  <si>
    <t>10-2-10</t>
  </si>
  <si>
    <t>10-11-77</t>
  </si>
  <si>
    <t>11-2-11</t>
  </si>
  <si>
    <t>11-11-78</t>
  </si>
  <si>
    <t>15-2-15</t>
  </si>
  <si>
    <t>15-11-82</t>
  </si>
  <si>
    <t>16-2-16</t>
  </si>
  <si>
    <t>16-11-15</t>
  </si>
  <si>
    <t>18-2-18</t>
  </si>
  <si>
    <t>18-11-85</t>
  </si>
  <si>
    <t>21-2-21</t>
  </si>
  <si>
    <t>21-11-87</t>
  </si>
  <si>
    <t>22-2-22</t>
  </si>
  <si>
    <t>22-11-88</t>
  </si>
  <si>
    <t>23-2-23</t>
  </si>
  <si>
    <t>23-11-89</t>
  </si>
  <si>
    <t>25-2-25</t>
  </si>
  <si>
    <t>25-11-91</t>
  </si>
  <si>
    <t>26-2-26</t>
  </si>
  <si>
    <t>26-11-92</t>
  </si>
  <si>
    <t>33-2-33</t>
  </si>
  <si>
    <t>33-11-95</t>
  </si>
  <si>
    <t>35-2-35</t>
  </si>
  <si>
    <t>35-11-96</t>
  </si>
  <si>
    <t>37-2-37</t>
  </si>
  <si>
    <t>37-11-98</t>
  </si>
  <si>
    <t>38-2-38</t>
  </si>
  <si>
    <t>38-11-99</t>
  </si>
  <si>
    <t>40-2-40</t>
  </si>
  <si>
    <t>40-11-100</t>
  </si>
  <si>
    <t>41-2-41</t>
  </si>
  <si>
    <t>41-11-101</t>
  </si>
  <si>
    <t>43-2-43</t>
  </si>
  <si>
    <t>43-11-103</t>
  </si>
  <si>
    <t>44-2-44</t>
  </si>
  <si>
    <t>44-11-104</t>
  </si>
  <si>
    <t>Clearwater</t>
  </si>
  <si>
    <t>Shoshone</t>
  </si>
  <si>
    <t>1=thisformrequired</t>
  </si>
  <si>
    <t>2026 L-2 DASHBOARD (County w/R&amp;B)</t>
  </si>
  <si>
    <t>Enter any other reductions to levying authority for 2026:</t>
  </si>
  <si>
    <t>2026 Net Taxable Value+Sub-roll</t>
  </si>
  <si>
    <t>TaxYear</t>
  </si>
  <si>
    <t>2025 Rec. H/E</t>
  </si>
  <si>
    <t>2025 Other Reductions</t>
  </si>
  <si>
    <t>2025 Capital Projects - Forgone recovered</t>
  </si>
  <si>
    <t>2025 County non-exempt Budget</t>
  </si>
  <si>
    <t>2025 County R&amp;B non-exempt Budget</t>
  </si>
  <si>
    <t>2025SolarTax</t>
  </si>
  <si>
    <t>New construction preliminary levy rate for County minus County Road &amp; Bridge                                            
          (line 1 - line 2 + line 3) divided by (line 5a + line 6a)</t>
  </si>
  <si>
    <t>New construction preliminary levy rate for County Road &amp; Bridge                                                                       
          (line 2 + line 4) divided by (line 5b + line 6b)</t>
  </si>
  <si>
    <t>New construction allowable budget increase for County minus County Road &amp; Bridge (multiply line 7a by line 8a)</t>
  </si>
  <si>
    <t>New construction allowable budget increase for County Road &amp; Bridge (multiply line 7b by line 8b)</t>
  </si>
  <si>
    <t>URquestion</t>
  </si>
  <si>
    <t>Enter the value of the annexed area:
      (reported by County Assessor at 100%)</t>
  </si>
  <si>
    <t>Annexation Budget Increases:</t>
  </si>
  <si>
    <t>90% of Annexation Value for County minus County Road &amp; Bridge</t>
  </si>
  <si>
    <t>90% of Annexation Value for County Road &amp; Bridge</t>
  </si>
  <si>
    <t>(15a)</t>
  </si>
  <si>
    <t>(15b)</t>
  </si>
  <si>
    <t>Annexation preliminary levy rate for County minus County Road &amp; Bridge                                            
          (line 1 - line 2 + line 3) divided by (line 5a + line 6a + line 13a)</t>
  </si>
  <si>
    <t>Annexation preliminary levy rate for County Road &amp; Bridge                                                                       
          (line 2 + line 4) divided by (line 5b + line 6b + line 13b)</t>
  </si>
  <si>
    <t>Annexation allowable budget increase for County minus County Road &amp; Bridge (multiply line 12a by line 14a)</t>
  </si>
  <si>
    <t>Annexation allowable budget increase for County Road &amp; Bridge (multiply line 12b by line 14b)</t>
  </si>
  <si>
    <t>2025County_OperatingProperty</t>
  </si>
  <si>
    <t>2025CountyRoad&amp;Bridge_OperatingProperty</t>
  </si>
  <si>
    <t>Total annexation roll budget increase (line 15a + line 15b)</t>
  </si>
  <si>
    <t>(20a)</t>
  </si>
  <si>
    <t>(20b)</t>
  </si>
  <si>
    <t>(33)</t>
  </si>
  <si>
    <t>(34)</t>
  </si>
  <si>
    <t>(35)</t>
  </si>
  <si>
    <t>(36)</t>
  </si>
  <si>
    <t>(37)</t>
  </si>
  <si>
    <t>(38)</t>
  </si>
  <si>
    <t>Total Replacements (for balancing purposes; values from "L-2 Worksheet")</t>
  </si>
  <si>
    <t>Highest Non-Exempt P-Tax Budget + P-Tax Replacement (from the 'Maximum Budget and Forgone Amount Worksheet')
     Including County Road &amp; Bridge fund</t>
  </si>
  <si>
    <t>Funds for this type of district that should NOT 
generate revenue for Urban Renewal RAAs include:</t>
  </si>
  <si>
    <t>2026 Forgone</t>
  </si>
  <si>
    <t>SCOcompliancestatus</t>
  </si>
  <si>
    <t>AnnexPrelimLevyRate</t>
  </si>
  <si>
    <t>levy rate paying to all RAAs</t>
  </si>
  <si>
    <t>levy rate paying to pre-2008 RAAs</t>
  </si>
  <si>
    <t>levy rate paying to NO RAAs</t>
  </si>
  <si>
    <t>Budget increases disallowed for non-compliance with SCO</t>
  </si>
  <si>
    <t>DistID</t>
  </si>
  <si>
    <t>FundName</t>
  </si>
  <si>
    <t>TotalApprovedBudget</t>
  </si>
  <si>
    <t>CashForward</t>
  </si>
  <si>
    <t>OtherRevenue</t>
  </si>
  <si>
    <t>ReplacementsSolarSubtractions</t>
  </si>
  <si>
    <t>LeviedAmount</t>
  </si>
  <si>
    <t>NetValue</t>
  </si>
  <si>
    <t>URadded</t>
  </si>
  <si>
    <t>LevyRate</t>
  </si>
  <si>
    <t>MaxRate</t>
  </si>
  <si>
    <t>In an effort to simplify the L-2 process, we have given the L-2 form a "Dashboard" tab that populates the proper fields of the L-2 Worksheet.</t>
  </si>
  <si>
    <t>Estimated tax for the current tax year from rate-regulated electric &amp; gas companies</t>
  </si>
  <si>
    <t>(39)</t>
  </si>
  <si>
    <t>Did this district levy for a bond in 2025 (prior year) that has now expired?</t>
  </si>
  <si>
    <t>Please list the amount levied in 2025 for the bond(s) which is(are) now expired:</t>
  </si>
  <si>
    <t>ExpiredBondsforKwH-thermTaxAdjustment</t>
  </si>
  <si>
    <t>Total of Budget Increases Listed Above (Add lines 3+4+10+16)</t>
  </si>
  <si>
    <t>Max 8% Cap on Budget Increases Listed Above (line 1 * 8%)</t>
  </si>
  <si>
    <t>(17)</t>
  </si>
  <si>
    <t>(18)</t>
  </si>
  <si>
    <t>8% Cap Adjustment for Non-Exempt Budget (line 18 minus line 17 or zero, whichever is smaller)</t>
  </si>
  <si>
    <t>(19)</t>
  </si>
  <si>
    <t>(21a)</t>
  </si>
  <si>
    <t>(21b)</t>
  </si>
  <si>
    <t>(22a)</t>
  </si>
  <si>
    <t>(22b)</t>
  </si>
  <si>
    <t>(23a)</t>
  </si>
  <si>
    <t>(23b)</t>
  </si>
  <si>
    <t>Expiring Urban Renewal budget increase for County minus County Road &amp; Bridge
          (line 22a multiplied by line 8a)</t>
  </si>
  <si>
    <t>Expiring Urban Renewal budget increase for County Road &amp; Bridge
          (line 22b multiplied by line 8b)</t>
  </si>
  <si>
    <t>Total budget increase from expiring Urban Renewal (line 23a + line 23b)</t>
  </si>
  <si>
    <t>Total Non-Exempt Property Tax Budget After Increases Calculated Above (line 1 + line 3 + line 4 + line 10 + line 16 + line 19 + line 24)</t>
  </si>
  <si>
    <t>Forgone amount to be recovered in this year's budget for Maintenance &amp; Operations (up to 1% of line 25)</t>
  </si>
  <si>
    <t>Forgone amount to be recovered in this year's budget for Capital Projects (up to 3% of line 25)</t>
  </si>
  <si>
    <t>Total of Property Tax Replacements to be subtracted from levying authority (add lines 30 thru 35)</t>
  </si>
  <si>
    <t>(40)</t>
  </si>
  <si>
    <t>Total of other subtractions to be made from levying authority (Add lines 37 &amp; 38)</t>
  </si>
  <si>
    <t>Property Tax Replacement Plus Solar (Line 36 + Line 39 of 'L-2 Worksheet')</t>
  </si>
  <si>
    <t xml:space="preserve"> </t>
  </si>
  <si>
    <t>SCObudgetpenalty</t>
  </si>
  <si>
    <t>AnnexationValueOutsidePercentCap</t>
  </si>
  <si>
    <t>AnnexBudgetIncreaseOutsidePercentCap</t>
  </si>
  <si>
    <t>Rate-Regulated Electric &amp; Gas Utility Taxes (kWh/therms tax)</t>
  </si>
  <si>
    <t>Maximum Non-Exempt Property Tax Budget After All Allowable Increases and Before Subtractions (line 25 + lines 26 thru 28)</t>
  </si>
  <si>
    <t>PercentCap</t>
  </si>
  <si>
    <t>Percent Capped?</t>
  </si>
  <si>
    <t>GrowthLostToPercentCap</t>
  </si>
  <si>
    <t>RecQIE</t>
  </si>
  <si>
    <t>kWh-thermTaxRevenue</t>
  </si>
  <si>
    <t>AnnexationValueUnderPercentCap</t>
  </si>
  <si>
    <t>AnnexBudgetIncreaseUnderPercentCap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</si>
</sst>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_);\(&quot;$&quot;#,##0\)"/>
    <numFmt numFmtId="42" formatCode="_(&quot;$&quot;* #,##0_);_(&quot;$&quot;* \(#,##0\);_(&quot;$&quot;* &quot;-&quot;_);_(@_)"/>
    <numFmt numFmtId="44" formatCode="_(&quot;$&quot;* #,##0.00_);_(&quot;$&quot;* \(#,##0.00\);_(&quot;$&quot;* &quot;-&quot;??_);_(@_)"/>
    <numFmt numFmtId="43" formatCode="_(* #,##0.00_);_(* \(#,##0.00\);_(* &quot;-&quot;??_);_(@_)"/>
    <numFmt numFmtId="164" formatCode="&quot;$&quot;#,##0"/>
    <numFmt numFmtId="165" formatCode="_(* #,##0_);_(* \(#,##0\);_(* &quot;-&quot;??_);_(@_)"/>
    <numFmt numFmtId="166" formatCode="&quot;District Name:&quot;\ #"/>
    <numFmt numFmtId="167" formatCode="0.000000000"/>
    <numFmt numFmtId="168" formatCode="_(&quot;$&quot;* #,##0_);_(&quot;$&quot;* \(#,##0\);_(&quot;$&quot;* &quot;-&quot;??_);_(@_)"/>
    <numFmt numFmtId="169" formatCode="yyyy"/>
    <numFmt numFmtId="170" formatCode="m/d/yyyy;@"/>
    <numFmt numFmtId="171" formatCode="0.000%"/>
    <numFmt numFmtId="172" formatCode="#,##0.000000000_);\(#,##0.000000000\)"/>
    <numFmt numFmtId="173" formatCode="_(* #,##0.000000000_);_(* \(#,##0.000000000\);_(* &quot;-&quot;??_);_(@_)"/>
    <numFmt numFmtId="174" formatCode="&quot;This value is over the limit&quot;\ #"/>
    <numFmt numFmtId="175" formatCode="0.0000"/>
  </numFmts>
  <fonts count="26" x14ac:knownFonts="1">
    <font>
      <sz val="12"/>
      <color theme="1"/>
      <name val="Calibri"/>
      <family val="2"/>
      <scheme val="minor"/>
    </font>
    <font>
      <u/>
      <sz val="12"/>
      <color theme="10"/>
      <name val="Calibri"/>
      <family val="2"/>
      <scheme val="minor"/>
    </font>
    <font>
      <u/>
      <sz val="12"/>
      <color theme="11"/>
      <name val="Calibri"/>
      <family val="2"/>
      <scheme val="minor"/>
    </font>
    <font>
      <sz val="12"/>
      <color theme="1"/>
      <name val="Calibri"/>
      <family val="2"/>
    </font>
    <font>
      <b/>
      <sz val="12"/>
      <color theme="1"/>
      <name val="Calibri"/>
      <family val="2"/>
    </font>
    <font>
      <sz val="12"/>
      <name val="Times New Roman"/>
      <family val="1"/>
    </font>
    <font>
      <sz val="12"/>
      <name val="Calibri"/>
      <family val="2"/>
    </font>
    <font>
      <sz val="12"/>
      <color theme="1"/>
      <name val="Calibri"/>
      <family val="2"/>
      <scheme val="minor"/>
    </font>
    <font>
      <b/>
      <sz val="12"/>
      <name val="Calibri"/>
      <family val="2"/>
    </font>
    <font>
      <i/>
      <u/>
      <sz val="12"/>
      <name val="Calibri"/>
      <family val="2"/>
    </font>
    <font>
      <b/>
      <sz val="14"/>
      <name val="Calibri"/>
      <family val="2"/>
    </font>
    <font>
      <b/>
      <sz val="18"/>
      <name val="Calibri"/>
      <family val="2"/>
    </font>
    <font>
      <b/>
      <sz val="20"/>
      <color theme="1"/>
      <name val="Calibri"/>
      <family val="2"/>
    </font>
    <font>
      <sz val="12"/>
      <color theme="9" tint="0.39997558519241921"/>
      <name val="Calibri"/>
      <family val="2"/>
    </font>
    <font>
      <b/>
      <sz val="16"/>
      <name val="Calibri"/>
      <family val="2"/>
    </font>
    <font>
      <b/>
      <sz val="14"/>
      <color theme="1"/>
      <name val="Calibri"/>
      <family val="2"/>
      <scheme val="minor"/>
    </font>
    <font>
      <b/>
      <sz val="18"/>
      <color theme="1"/>
      <name val="Calibri"/>
      <family val="2"/>
      <scheme val="minor"/>
    </font>
    <font>
      <b/>
      <sz val="12"/>
      <color theme="1"/>
      <name val="Calibri"/>
      <family val="2"/>
      <scheme val="minor"/>
    </font>
    <font>
      <b/>
      <sz val="20"/>
      <color theme="1"/>
      <name val="Calibri"/>
      <family val="2"/>
      <scheme val="minor"/>
    </font>
    <font>
      <b/>
      <sz val="26"/>
      <name val="Calibri"/>
      <family val="2"/>
    </font>
    <font>
      <sz val="8"/>
      <name val="Calibri"/>
      <family val="2"/>
      <scheme val="minor"/>
    </font>
    <font>
      <b/>
      <sz val="22"/>
      <name val="Calibri"/>
      <family val="2"/>
    </font>
    <font>
      <b/>
      <sz val="12"/>
      <color rgb="FFFF0000"/>
      <name val="Calibri"/>
      <family val="2"/>
    </font>
    <font>
      <sz val="12"/>
      <color theme="0"/>
      <name val="Calibri"/>
      <family val="2"/>
      <scheme val="minor"/>
    </font>
    <font>
      <b/>
      <sz val="14"/>
      <color theme="1"/>
      <name val="Calibri"/>
      <family val="2"/>
    </font>
    <font>
      <sz val="14"/>
      <color theme="1"/>
      <name val="Calibri"/>
      <family val="2"/>
    </font>
  </fonts>
  <fills count="14">
    <fill>
      <patternFill patternType="none"/>
    </fill>
    <fill>
      <patternFill patternType="gray125"/>
    </fill>
    <fill>
      <patternFill patternType="solid">
        <fgColor theme="0"/>
        <bgColor indexed="64"/>
      </patternFill>
    </fill>
    <fill>
      <patternFill patternType="solid">
        <fgColor indexed="43"/>
        <bgColor indexed="64"/>
      </patternFill>
    </fill>
    <fill>
      <patternFill patternType="solid">
        <fgColor indexed="22"/>
        <bgColor indexed="64"/>
      </patternFill>
    </fill>
    <fill>
      <patternFill patternType="solid">
        <fgColor rgb="FFFFFF99"/>
        <bgColor indexed="64"/>
      </patternFill>
    </fill>
    <fill>
      <patternFill patternType="solid">
        <fgColor rgb="FFFFFF00"/>
        <bgColor indexed="64"/>
      </patternFill>
    </fill>
    <fill>
      <patternFill patternType="solid">
        <fgColor theme="5" tint="0.79998168889431442"/>
        <bgColor indexed="64"/>
      </patternFill>
    </fill>
    <fill>
      <patternFill patternType="solid">
        <fgColor rgb="FFC0C0C0"/>
        <bgColor indexed="64"/>
      </patternFill>
    </fill>
    <fill>
      <patternFill patternType="solid">
        <fgColor theme="9" tint="0.59999389629810485"/>
        <bgColor indexed="64"/>
      </patternFill>
    </fill>
    <fill>
      <patternFill patternType="solid">
        <fgColor rgb="FFFCE4D6"/>
        <bgColor indexed="64"/>
      </patternFill>
    </fill>
    <fill>
      <patternFill patternType="solid">
        <fgColor theme="0"/>
        <bgColor theme="0"/>
      </patternFill>
    </fill>
    <fill>
      <patternFill patternType="solid">
        <fgColor theme="9" tint="0.59999389629810485"/>
        <bgColor theme="0"/>
      </patternFill>
    </fill>
    <fill>
      <patternFill patternType="solid">
        <fgColor rgb="FFEFBAC0"/>
        <bgColor indexed="64"/>
      </patternFill>
    </fill>
  </fills>
  <borders count="81">
    <border>
      <left/>
      <right/>
      <top/>
      <bottom/>
      <diagonal/>
    </border>
    <border>
      <left style="thin">
        <color auto="1"/>
      </left>
      <right style="thin">
        <color auto="1"/>
      </right>
      <top style="thin">
        <color auto="1"/>
      </top>
      <bottom style="thin">
        <color auto="1"/>
      </bottom>
      <diagonal/>
    </border>
    <border>
      <left style="medium">
        <color auto="1"/>
      </left>
      <right/>
      <top/>
      <bottom/>
      <diagonal/>
    </border>
    <border>
      <left/>
      <right style="medium">
        <color auto="1"/>
      </right>
      <top/>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right/>
      <top/>
      <bottom style="medium">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style="medium">
        <color indexed="64"/>
      </right>
      <top/>
      <bottom style="medium">
        <color indexed="64"/>
      </bottom>
      <diagonal/>
    </border>
    <border>
      <left style="thin">
        <color auto="1"/>
      </left>
      <right style="thin">
        <color auto="1"/>
      </right>
      <top/>
      <bottom style="medium">
        <color indexed="64"/>
      </bottom>
      <diagonal/>
    </border>
    <border>
      <left/>
      <right style="thin">
        <color auto="1"/>
      </right>
      <top/>
      <bottom style="medium">
        <color auto="1"/>
      </bottom>
      <diagonal/>
    </border>
    <border>
      <left/>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bottom style="thin">
        <color auto="1"/>
      </bottom>
      <diagonal/>
    </border>
    <border>
      <left/>
      <right style="medium">
        <color auto="1"/>
      </right>
      <top/>
      <bottom style="thin">
        <color auto="1"/>
      </bottom>
      <diagonal/>
    </border>
    <border>
      <left/>
      <right style="thin">
        <color auto="1"/>
      </right>
      <top/>
      <bottom style="thin">
        <color auto="1"/>
      </bottom>
      <diagonal/>
    </border>
    <border>
      <left style="thin">
        <color indexed="64"/>
      </left>
      <right style="thin">
        <color auto="1"/>
      </right>
      <top/>
      <bottom style="thin">
        <color auto="1"/>
      </bottom>
      <diagonal/>
    </border>
    <border>
      <left style="thin">
        <color indexed="64"/>
      </left>
      <right/>
      <top/>
      <bottom style="medium">
        <color auto="1"/>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thin">
        <color indexed="64"/>
      </top>
      <bottom style="medium">
        <color indexed="64"/>
      </bottom>
      <diagonal/>
    </border>
    <border>
      <left style="thin">
        <color auto="1"/>
      </left>
      <right style="thin">
        <color auto="1"/>
      </right>
      <top style="thin">
        <color auto="1"/>
      </top>
      <bottom style="medium">
        <color indexed="64"/>
      </bottom>
      <diagonal/>
    </border>
    <border>
      <left style="thin">
        <color indexed="64"/>
      </left>
      <right style="thin">
        <color auto="1"/>
      </right>
      <top/>
      <bottom/>
      <diagonal/>
    </border>
    <border>
      <left style="thin">
        <color auto="1"/>
      </left>
      <right style="medium">
        <color auto="1"/>
      </right>
      <top/>
      <bottom/>
      <diagonal/>
    </border>
    <border>
      <left style="thin">
        <color indexed="64"/>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style="medium">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style="thin">
        <color indexed="64"/>
      </bottom>
      <diagonal/>
    </border>
    <border>
      <left style="medium">
        <color auto="1"/>
      </left>
      <right style="thin">
        <color indexed="64"/>
      </right>
      <top/>
      <bottom style="thin">
        <color auto="1"/>
      </bottom>
      <diagonal/>
    </border>
    <border>
      <left style="medium">
        <color auto="1"/>
      </left>
      <right style="thin">
        <color indexed="64"/>
      </right>
      <top/>
      <bottom style="medium">
        <color auto="1"/>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top/>
      <bottom/>
      <diagonal/>
    </border>
    <border>
      <left style="medium">
        <color indexed="64"/>
      </left>
      <right style="thin">
        <color auto="1"/>
      </right>
      <top style="thin">
        <color auto="1"/>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medium">
        <color auto="1"/>
      </right>
      <top style="thin">
        <color auto="1"/>
      </top>
      <bottom/>
      <diagonal/>
    </border>
    <border>
      <left style="thin">
        <color indexed="64"/>
      </left>
      <right style="thin">
        <color indexed="64"/>
      </right>
      <top style="medium">
        <color auto="1"/>
      </top>
      <bottom style="medium">
        <color auto="1"/>
      </bottom>
      <diagonal/>
    </border>
    <border>
      <left/>
      <right style="thin">
        <color indexed="64"/>
      </right>
      <top style="medium">
        <color auto="1"/>
      </top>
      <bottom style="medium">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auto="1"/>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style="medium">
        <color auto="1"/>
      </right>
      <top style="thin">
        <color auto="1"/>
      </top>
      <bottom style="double">
        <color indexed="64"/>
      </bottom>
      <diagonal/>
    </border>
    <border>
      <left/>
      <right style="thin">
        <color auto="1"/>
      </right>
      <top style="thin">
        <color auto="1"/>
      </top>
      <bottom style="double">
        <color indexed="64"/>
      </bottom>
      <diagonal/>
    </border>
    <border>
      <left style="thin">
        <color auto="1"/>
      </left>
      <right/>
      <top style="double">
        <color indexed="64"/>
      </top>
      <bottom style="medium">
        <color indexed="64"/>
      </bottom>
      <diagonal/>
    </border>
    <border>
      <left style="thin">
        <color auto="1"/>
      </left>
      <right/>
      <top style="medium">
        <color auto="1"/>
      </top>
      <bottom style="thin">
        <color auto="1"/>
      </bottom>
      <diagonal/>
    </border>
    <border>
      <left/>
      <right style="medium">
        <color indexed="64"/>
      </right>
      <top style="double">
        <color indexed="64"/>
      </top>
      <bottom style="medium">
        <color indexed="64"/>
      </bottom>
      <diagonal/>
    </border>
    <border>
      <left style="medium">
        <color auto="1"/>
      </left>
      <right/>
      <top style="thin">
        <color auto="1"/>
      </top>
      <bottom style="double">
        <color indexed="64"/>
      </bottom>
      <diagonal/>
    </border>
    <border>
      <left style="medium">
        <color auto="1"/>
      </left>
      <right style="thin">
        <color auto="1"/>
      </right>
      <top/>
      <bottom style="double">
        <color indexed="64"/>
      </bottom>
      <diagonal/>
    </border>
    <border>
      <left style="thin">
        <color auto="1"/>
      </left>
      <right style="thin">
        <color auto="1"/>
      </right>
      <top/>
      <bottom style="double">
        <color indexed="64"/>
      </bottom>
      <diagonal/>
    </border>
    <border>
      <left style="thin">
        <color indexed="64"/>
      </left>
      <right/>
      <top/>
      <bottom style="double">
        <color indexed="64"/>
      </bottom>
      <diagonal/>
    </border>
    <border>
      <left/>
      <right style="thin">
        <color auto="1"/>
      </right>
      <top/>
      <bottom style="double">
        <color indexed="64"/>
      </bottom>
      <diagonal/>
    </border>
    <border>
      <left style="medium">
        <color indexed="64"/>
      </left>
      <right style="medium">
        <color indexed="64"/>
      </right>
      <top style="medium">
        <color indexed="64"/>
      </top>
      <bottom style="medium">
        <color auto="1"/>
      </bottom>
      <diagonal/>
    </border>
    <border>
      <left style="thin">
        <color indexed="64"/>
      </left>
      <right/>
      <top style="thin">
        <color auto="1"/>
      </top>
      <bottom style="double">
        <color auto="1"/>
      </bottom>
      <diagonal/>
    </border>
    <border>
      <left style="thin">
        <color indexed="64"/>
      </left>
      <right/>
      <top style="medium">
        <color indexed="64"/>
      </top>
      <bottom style="medium">
        <color indexed="64"/>
      </bottom>
      <diagonal/>
    </border>
    <border>
      <left style="thin">
        <color auto="1"/>
      </left>
      <right/>
      <top style="medium">
        <color auto="1"/>
      </top>
      <bottom/>
      <diagonal/>
    </border>
    <border>
      <left/>
      <right/>
      <top/>
      <bottom style="dotted">
        <color auto="1"/>
      </bottom>
      <diagonal/>
    </border>
  </borders>
  <cellStyleXfs count="12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43" fontId="5" fillId="0" borderId="0" applyFon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5" fillId="0" borderId="0"/>
    <xf numFmtId="43" fontId="5" fillId="0" borderId="0" applyFont="0" applyFill="0" applyBorder="0" applyAlignment="0" applyProtection="0"/>
    <xf numFmtId="44" fontId="7" fillId="0" borderId="0" applyFont="0" applyFill="0" applyBorder="0" applyAlignment="0" applyProtection="0"/>
    <xf numFmtId="9" fontId="5" fillId="0" borderId="0" applyFont="0" applyFill="0" applyBorder="0" applyAlignment="0" applyProtection="0"/>
    <xf numFmtId="0" fontId="5" fillId="0" borderId="0"/>
    <xf numFmtId="44"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cellStyleXfs>
  <cellXfs count="683">
    <xf numFmtId="0" fontId="0" fillId="0" borderId="0" xfId="0"/>
    <xf numFmtId="0" fontId="5" fillId="0" borderId="0" xfId="114"/>
    <xf numFmtId="0" fontId="6" fillId="0" borderId="0" xfId="114" applyFont="1"/>
    <xf numFmtId="169" fontId="6" fillId="0" borderId="0" xfId="114" applyNumberFormat="1" applyFont="1"/>
    <xf numFmtId="0" fontId="6" fillId="0" borderId="0" xfId="118" applyFont="1"/>
    <xf numFmtId="0" fontId="8" fillId="0" borderId="0" xfId="118" applyFont="1"/>
    <xf numFmtId="0" fontId="8" fillId="0" borderId="0" xfId="114" applyFont="1"/>
    <xf numFmtId="0" fontId="6" fillId="0" borderId="0" xfId="114" applyFont="1" applyAlignment="1">
      <alignment horizontal="right"/>
    </xf>
    <xf numFmtId="168" fontId="3" fillId="0" borderId="0" xfId="119" applyNumberFormat="1" applyFont="1" applyFill="1" applyBorder="1"/>
    <xf numFmtId="9" fontId="3" fillId="0" borderId="0" xfId="117" applyFont="1" applyFill="1" applyBorder="1" applyAlignment="1">
      <alignment horizontal="center"/>
    </xf>
    <xf numFmtId="0" fontId="6" fillId="0" borderId="0" xfId="114" applyFont="1" applyAlignment="1">
      <alignment horizontal="right" wrapText="1"/>
    </xf>
    <xf numFmtId="0" fontId="6" fillId="2" borderId="1" xfId="114" applyFont="1" applyFill="1" applyBorder="1" applyAlignment="1">
      <alignment horizontal="center"/>
    </xf>
    <xf numFmtId="0" fontId="4" fillId="2" borderId="0" xfId="114" applyFont="1" applyFill="1" applyAlignment="1">
      <alignment horizontal="center" vertical="center"/>
    </xf>
    <xf numFmtId="0" fontId="4" fillId="2" borderId="0" xfId="114" applyFont="1" applyFill="1" applyAlignment="1">
      <alignment horizontal="center" vertical="top" wrapText="1"/>
    </xf>
    <xf numFmtId="0" fontId="4" fillId="2" borderId="0" xfId="114" applyFont="1" applyFill="1" applyAlignment="1">
      <alignment horizontal="center" vertical="center" wrapText="1"/>
    </xf>
    <xf numFmtId="0" fontId="4" fillId="5" borderId="45" xfId="114" applyFont="1" applyFill="1" applyBorder="1" applyAlignment="1">
      <alignment horizontal="center" wrapText="1"/>
    </xf>
    <xf numFmtId="167" fontId="6" fillId="2" borderId="1" xfId="114" applyNumberFormat="1" applyFont="1" applyFill="1" applyBorder="1"/>
    <xf numFmtId="37" fontId="8" fillId="2" borderId="24" xfId="65" applyNumberFormat="1" applyFont="1" applyFill="1" applyBorder="1" applyProtection="1"/>
    <xf numFmtId="0" fontId="8" fillId="7" borderId="0" xfId="114" applyFont="1" applyFill="1" applyAlignment="1">
      <alignment horizontal="right" vertical="center" wrapText="1"/>
    </xf>
    <xf numFmtId="0" fontId="8" fillId="7" borderId="58" xfId="114" applyFont="1" applyFill="1" applyBorder="1" applyAlignment="1">
      <alignment horizontal="right" vertical="center" wrapText="1"/>
    </xf>
    <xf numFmtId="0" fontId="6" fillId="2" borderId="4" xfId="114" applyFont="1" applyFill="1" applyBorder="1" applyAlignment="1">
      <alignment horizontal="center"/>
    </xf>
    <xf numFmtId="164" fontId="6" fillId="2" borderId="4" xfId="114" applyNumberFormat="1" applyFont="1" applyFill="1" applyBorder="1" applyAlignment="1">
      <alignment vertical="center" wrapText="1"/>
    </xf>
    <xf numFmtId="171" fontId="3" fillId="2" borderId="1" xfId="117" applyNumberFormat="1" applyFont="1" applyFill="1" applyBorder="1" applyProtection="1"/>
    <xf numFmtId="0" fontId="3" fillId="2" borderId="4" xfId="114" applyFont="1" applyFill="1" applyBorder="1" applyAlignment="1">
      <alignment horizontal="center"/>
    </xf>
    <xf numFmtId="164" fontId="6" fillId="9" borderId="1" xfId="65" applyNumberFormat="1" applyFont="1" applyFill="1" applyBorder="1" applyProtection="1">
      <protection locked="0"/>
    </xf>
    <xf numFmtId="0" fontId="6" fillId="9" borderId="1" xfId="114" applyFont="1" applyFill="1" applyBorder="1" applyProtection="1">
      <protection locked="0"/>
    </xf>
    <xf numFmtId="164" fontId="6" fillId="9" borderId="12" xfId="114" applyNumberFormat="1" applyFont="1" applyFill="1" applyBorder="1" applyProtection="1">
      <protection locked="0"/>
    </xf>
    <xf numFmtId="164" fontId="6" fillId="9" borderId="7" xfId="114" applyNumberFormat="1" applyFont="1" applyFill="1" applyBorder="1" applyProtection="1">
      <protection locked="0"/>
    </xf>
    <xf numFmtId="164" fontId="6" fillId="9" borderId="1" xfId="114" applyNumberFormat="1" applyFont="1" applyFill="1" applyBorder="1" applyAlignment="1" applyProtection="1">
      <alignment horizontal="center"/>
      <protection locked="0"/>
    </xf>
    <xf numFmtId="164" fontId="3" fillId="9" borderId="1" xfId="119" applyNumberFormat="1" applyFont="1" applyFill="1" applyBorder="1" applyProtection="1">
      <protection locked="0"/>
    </xf>
    <xf numFmtId="0" fontId="8" fillId="7" borderId="10" xfId="114" applyFont="1" applyFill="1" applyBorder="1" applyAlignment="1">
      <alignment horizontal="right" vertical="center" wrapText="1"/>
    </xf>
    <xf numFmtId="5" fontId="3" fillId="9" borderId="1" xfId="65" applyNumberFormat="1" applyFont="1" applyFill="1" applyBorder="1" applyAlignment="1" applyProtection="1">
      <alignment horizontal="right"/>
      <protection locked="0"/>
    </xf>
    <xf numFmtId="164" fontId="6" fillId="2" borderId="12" xfId="114" applyNumberFormat="1" applyFont="1" applyFill="1" applyBorder="1" applyAlignment="1">
      <alignment horizontal="right" vertical="center" wrapText="1"/>
    </xf>
    <xf numFmtId="5" fontId="6" fillId="2" borderId="1" xfId="65" applyNumberFormat="1" applyFont="1" applyFill="1" applyBorder="1" applyProtection="1"/>
    <xf numFmtId="5" fontId="6" fillId="2" borderId="45" xfId="65" applyNumberFormat="1" applyFont="1" applyFill="1" applyBorder="1" applyProtection="1"/>
    <xf numFmtId="164" fontId="6" fillId="0" borderId="0" xfId="114" applyNumberFormat="1" applyFont="1"/>
    <xf numFmtId="42" fontId="6" fillId="0" borderId="0" xfId="114" applyNumberFormat="1" applyFont="1"/>
    <xf numFmtId="0" fontId="6" fillId="2" borderId="13" xfId="121" applyFont="1" applyFill="1" applyBorder="1"/>
    <xf numFmtId="0" fontId="8" fillId="5" borderId="49" xfId="114" applyFont="1" applyFill="1" applyBorder="1" applyAlignment="1">
      <alignment horizontal="center"/>
    </xf>
    <xf numFmtId="0" fontId="6" fillId="0" borderId="0" xfId="114" applyFont="1" applyProtection="1">
      <protection locked="0"/>
    </xf>
    <xf numFmtId="0" fontId="6" fillId="0" borderId="16" xfId="114" applyFont="1" applyBorder="1"/>
    <xf numFmtId="5" fontId="6" fillId="9" borderId="1" xfId="65" applyNumberFormat="1" applyFont="1" applyFill="1" applyBorder="1" applyAlignment="1" applyProtection="1">
      <alignment horizontal="right"/>
      <protection locked="0"/>
    </xf>
    <xf numFmtId="5" fontId="6" fillId="2" borderId="32" xfId="65" applyNumberFormat="1" applyFont="1" applyFill="1" applyBorder="1" applyProtection="1"/>
    <xf numFmtId="0" fontId="6" fillId="9" borderId="32" xfId="114" applyFont="1" applyFill="1" applyBorder="1" applyProtection="1">
      <protection locked="0"/>
    </xf>
    <xf numFmtId="164" fontId="4" fillId="0" borderId="24" xfId="65" applyNumberFormat="1" applyFont="1" applyBorder="1"/>
    <xf numFmtId="164" fontId="4" fillId="0" borderId="23" xfId="65" applyNumberFormat="1" applyFont="1" applyBorder="1"/>
    <xf numFmtId="164" fontId="3" fillId="0" borderId="37" xfId="65" applyNumberFormat="1" applyFont="1" applyBorder="1"/>
    <xf numFmtId="164" fontId="3" fillId="0" borderId="65" xfId="65" applyNumberFormat="1" applyFont="1" applyBorder="1"/>
    <xf numFmtId="0" fontId="6" fillId="9" borderId="40" xfId="114" applyFont="1" applyFill="1" applyBorder="1" applyProtection="1">
      <protection locked="0"/>
    </xf>
    <xf numFmtId="164" fontId="3" fillId="0" borderId="7" xfId="65" applyNumberFormat="1" applyFont="1" applyBorder="1"/>
    <xf numFmtId="164" fontId="6" fillId="2" borderId="4" xfId="65" applyNumberFormat="1" applyFont="1" applyFill="1" applyBorder="1"/>
    <xf numFmtId="164" fontId="6" fillId="2" borderId="15" xfId="65" applyNumberFormat="1" applyFont="1" applyFill="1" applyBorder="1"/>
    <xf numFmtId="0" fontId="8" fillId="2" borderId="51" xfId="114" applyFont="1" applyFill="1" applyBorder="1" applyAlignment="1">
      <alignment horizontal="left"/>
    </xf>
    <xf numFmtId="5" fontId="3" fillId="9" borderId="32" xfId="65" applyNumberFormat="1" applyFont="1" applyFill="1" applyBorder="1" applyAlignment="1" applyProtection="1">
      <alignment horizontal="right"/>
      <protection locked="0"/>
    </xf>
    <xf numFmtId="164" fontId="3" fillId="0" borderId="0" xfId="114" applyNumberFormat="1" applyFont="1"/>
    <xf numFmtId="0" fontId="6" fillId="2" borderId="51" xfId="114" applyFont="1" applyFill="1" applyBorder="1" applyAlignment="1">
      <alignment horizontal="left"/>
    </xf>
    <xf numFmtId="37" fontId="6" fillId="2" borderId="24" xfId="65" applyNumberFormat="1" applyFont="1" applyFill="1" applyBorder="1" applyProtection="1"/>
    <xf numFmtId="0" fontId="8" fillId="5" borderId="40" xfId="114" applyFont="1" applyFill="1" applyBorder="1" applyAlignment="1">
      <alignment horizontal="center"/>
    </xf>
    <xf numFmtId="168" fontId="3" fillId="0" borderId="24" xfId="119" applyNumberFormat="1" applyFont="1" applyBorder="1"/>
    <xf numFmtId="164" fontId="6" fillId="9" borderId="37" xfId="114" applyNumberFormat="1" applyFont="1" applyFill="1" applyBorder="1" applyAlignment="1" applyProtection="1">
      <alignment horizontal="center"/>
      <protection locked="0"/>
    </xf>
    <xf numFmtId="164" fontId="3" fillId="9" borderId="37" xfId="119" applyNumberFormat="1" applyFont="1" applyFill="1" applyBorder="1" applyProtection="1">
      <protection locked="0"/>
    </xf>
    <xf numFmtId="171" fontId="3" fillId="2" borderId="37" xfId="117" applyNumberFormat="1" applyFont="1" applyFill="1" applyBorder="1" applyProtection="1"/>
    <xf numFmtId="0" fontId="3" fillId="2" borderId="7" xfId="114" applyFont="1" applyFill="1" applyBorder="1" applyAlignment="1">
      <alignment horizontal="center"/>
    </xf>
    <xf numFmtId="5" fontId="6" fillId="9" borderId="45" xfId="65" applyNumberFormat="1" applyFont="1" applyFill="1" applyBorder="1" applyAlignment="1" applyProtection="1">
      <alignment horizontal="right"/>
      <protection locked="0"/>
    </xf>
    <xf numFmtId="5" fontId="6" fillId="2" borderId="73" xfId="65" applyNumberFormat="1" applyFont="1" applyFill="1" applyBorder="1" applyProtection="1"/>
    <xf numFmtId="0" fontId="6" fillId="9" borderId="73" xfId="114" applyFont="1" applyFill="1" applyBorder="1" applyProtection="1">
      <protection locked="0"/>
    </xf>
    <xf numFmtId="0" fontId="6" fillId="2" borderId="13" xfId="114" applyFont="1" applyFill="1" applyBorder="1"/>
    <xf numFmtId="0" fontId="6" fillId="2" borderId="13" xfId="65" applyNumberFormat="1" applyFont="1" applyFill="1" applyBorder="1" applyProtection="1"/>
    <xf numFmtId="0" fontId="6" fillId="2" borderId="72" xfId="65" applyNumberFormat="1" applyFont="1" applyFill="1" applyBorder="1" applyProtection="1"/>
    <xf numFmtId="172" fontId="6" fillId="2" borderId="24" xfId="65" applyNumberFormat="1" applyFont="1" applyFill="1" applyBorder="1" applyProtection="1"/>
    <xf numFmtId="172" fontId="8" fillId="2" borderId="24" xfId="65" applyNumberFormat="1" applyFont="1" applyFill="1" applyBorder="1" applyProtection="1"/>
    <xf numFmtId="165" fontId="0" fillId="0" borderId="0" xfId="123" applyNumberFormat="1" applyFont="1"/>
    <xf numFmtId="0" fontId="6" fillId="0" borderId="14" xfId="114" applyFont="1" applyBorder="1" applyAlignment="1">
      <alignment horizontal="center"/>
    </xf>
    <xf numFmtId="0" fontId="6" fillId="0" borderId="43" xfId="114" applyFont="1" applyBorder="1" applyAlignment="1">
      <alignment horizontal="left"/>
    </xf>
    <xf numFmtId="5" fontId="6" fillId="0" borderId="45" xfId="65" applyNumberFormat="1" applyFont="1" applyFill="1" applyBorder="1" applyAlignment="1" applyProtection="1">
      <alignment horizontal="right"/>
    </xf>
    <xf numFmtId="0" fontId="6" fillId="9" borderId="1" xfId="114" applyFont="1" applyFill="1" applyBorder="1" applyAlignment="1" applyProtection="1">
      <alignment horizontal="center"/>
      <protection locked="0"/>
    </xf>
    <xf numFmtId="0" fontId="6" fillId="9" borderId="4" xfId="114" applyFont="1" applyFill="1" applyBorder="1" applyAlignment="1" applyProtection="1">
      <alignment vertical="center" wrapText="1"/>
      <protection locked="0"/>
    </xf>
    <xf numFmtId="170" fontId="6" fillId="9" borderId="40" xfId="114" applyNumberFormat="1" applyFont="1" applyFill="1" applyBorder="1" applyProtection="1">
      <protection locked="0"/>
    </xf>
    <xf numFmtId="170" fontId="6" fillId="9" borderId="13" xfId="114" applyNumberFormat="1" applyFont="1" applyFill="1" applyBorder="1" applyAlignment="1" applyProtection="1">
      <alignment horizontal="center"/>
      <protection locked="0"/>
    </xf>
    <xf numFmtId="170" fontId="6" fillId="9" borderId="55" xfId="114" applyNumberFormat="1" applyFont="1" applyFill="1" applyBorder="1" applyAlignment="1" applyProtection="1">
      <alignment horizontal="center"/>
      <protection locked="0"/>
    </xf>
    <xf numFmtId="0" fontId="6" fillId="9" borderId="37" xfId="114" applyFont="1" applyFill="1" applyBorder="1" applyAlignment="1" applyProtection="1">
      <alignment horizontal="center"/>
      <protection locked="0"/>
    </xf>
    <xf numFmtId="165" fontId="8" fillId="0" borderId="32" xfId="115" quotePrefix="1" applyNumberFormat="1" applyFont="1" applyBorder="1" applyAlignment="1" applyProtection="1">
      <alignment horizontal="center" vertical="center"/>
    </xf>
    <xf numFmtId="165" fontId="8" fillId="0" borderId="45" xfId="115" quotePrefix="1" applyNumberFormat="1" applyFont="1" applyBorder="1" applyAlignment="1" applyProtection="1">
      <alignment horizontal="center" vertical="center"/>
    </xf>
    <xf numFmtId="165" fontId="8" fillId="0" borderId="24" xfId="115" quotePrefix="1" applyNumberFormat="1" applyFont="1" applyBorder="1" applyAlignment="1" applyProtection="1">
      <alignment horizontal="center" vertical="center"/>
    </xf>
    <xf numFmtId="164" fontId="4" fillId="0" borderId="76" xfId="65" applyNumberFormat="1" applyFont="1" applyBorder="1"/>
    <xf numFmtId="164" fontId="4" fillId="10" borderId="3" xfId="65" applyNumberFormat="1" applyFont="1" applyFill="1" applyBorder="1"/>
    <xf numFmtId="165" fontId="8" fillId="0" borderId="1" xfId="115" quotePrefix="1" applyNumberFormat="1" applyFont="1" applyBorder="1" applyAlignment="1" applyProtection="1">
      <alignment horizontal="center" vertical="center"/>
    </xf>
    <xf numFmtId="167" fontId="3" fillId="0" borderId="1" xfId="115" applyNumberFormat="1" applyFont="1" applyBorder="1" applyAlignment="1" applyProtection="1">
      <alignment horizontal="right" vertical="center"/>
    </xf>
    <xf numFmtId="165" fontId="8" fillId="4" borderId="1" xfId="115" quotePrefix="1" applyNumberFormat="1" applyFont="1" applyFill="1" applyBorder="1" applyAlignment="1" applyProtection="1">
      <alignment horizontal="center" vertical="center"/>
    </xf>
    <xf numFmtId="165" fontId="8" fillId="4" borderId="4" xfId="115" quotePrefix="1" applyNumberFormat="1" applyFont="1" applyFill="1" applyBorder="1" applyAlignment="1" applyProtection="1">
      <alignment horizontal="center" vertical="center"/>
    </xf>
    <xf numFmtId="168" fontId="3" fillId="0" borderId="4" xfId="116" applyNumberFormat="1" applyFont="1" applyBorder="1" applyAlignment="1" applyProtection="1">
      <alignment vertical="center"/>
    </xf>
    <xf numFmtId="165" fontId="3" fillId="4" borderId="4" xfId="115" applyNumberFormat="1" applyFont="1" applyFill="1" applyBorder="1" applyAlignment="1" applyProtection="1">
      <alignment vertical="center"/>
    </xf>
    <xf numFmtId="0" fontId="6" fillId="7" borderId="2" xfId="114" applyFont="1" applyFill="1" applyBorder="1" applyAlignment="1">
      <alignment vertical="center" wrapText="1"/>
    </xf>
    <xf numFmtId="0" fontId="6" fillId="7" borderId="2" xfId="114" applyFont="1" applyFill="1" applyBorder="1" applyAlignment="1">
      <alignment vertical="center"/>
    </xf>
    <xf numFmtId="164" fontId="6" fillId="9" borderId="4" xfId="114" applyNumberFormat="1" applyFont="1" applyFill="1" applyBorder="1" applyAlignment="1" applyProtection="1">
      <alignment vertical="center" wrapText="1"/>
      <protection locked="0"/>
    </xf>
    <xf numFmtId="168" fontId="3" fillId="0" borderId="53" xfId="116" applyNumberFormat="1" applyFont="1" applyBorder="1" applyAlignment="1" applyProtection="1">
      <alignment vertical="center"/>
    </xf>
    <xf numFmtId="167" fontId="6" fillId="2" borderId="65" xfId="114" applyNumberFormat="1" applyFont="1" applyFill="1" applyBorder="1"/>
    <xf numFmtId="5" fontId="6" fillId="2" borderId="65" xfId="65" applyNumberFormat="1" applyFont="1" applyFill="1" applyBorder="1" applyProtection="1"/>
    <xf numFmtId="0" fontId="6" fillId="2" borderId="64" xfId="114" applyFont="1" applyFill="1" applyBorder="1"/>
    <xf numFmtId="0" fontId="6" fillId="9" borderId="65" xfId="114" applyFont="1" applyFill="1" applyBorder="1" applyProtection="1">
      <protection locked="0"/>
    </xf>
    <xf numFmtId="168" fontId="3" fillId="0" borderId="4" xfId="116" applyNumberFormat="1" applyFont="1" applyFill="1" applyBorder="1" applyAlignment="1" applyProtection="1">
      <alignment vertical="center"/>
    </xf>
    <xf numFmtId="165" fontId="8" fillId="4" borderId="38" xfId="115" quotePrefix="1" applyNumberFormat="1" applyFont="1" applyFill="1" applyBorder="1" applyAlignment="1" applyProtection="1">
      <alignment horizontal="center" vertical="center"/>
    </xf>
    <xf numFmtId="165" fontId="8" fillId="4" borderId="15" xfId="115" quotePrefix="1" applyNumberFormat="1" applyFont="1" applyFill="1" applyBorder="1" applyAlignment="1" applyProtection="1">
      <alignment horizontal="center" vertical="center"/>
    </xf>
    <xf numFmtId="165" fontId="8" fillId="4" borderId="19" xfId="115" quotePrefix="1" applyNumberFormat="1" applyFont="1" applyFill="1" applyBorder="1" applyAlignment="1" applyProtection="1">
      <alignment horizontal="center" vertical="center"/>
    </xf>
    <xf numFmtId="168" fontId="3" fillId="0" borderId="1" xfId="116" applyNumberFormat="1" applyFont="1" applyBorder="1" applyAlignment="1" applyProtection="1">
      <alignment vertical="center"/>
    </xf>
    <xf numFmtId="165" fontId="0" fillId="6" borderId="0" xfId="123" applyNumberFormat="1" applyFont="1" applyFill="1"/>
    <xf numFmtId="164" fontId="6" fillId="2" borderId="66" xfId="65" applyNumberFormat="1" applyFont="1" applyFill="1" applyBorder="1"/>
    <xf numFmtId="168" fontId="3" fillId="0" borderId="1" xfId="123" applyNumberFormat="1" applyFont="1" applyFill="1" applyBorder="1" applyAlignment="1" applyProtection="1">
      <alignment vertical="center"/>
    </xf>
    <xf numFmtId="168" fontId="3" fillId="0" borderId="32" xfId="123" applyNumberFormat="1" applyFont="1" applyBorder="1" applyAlignment="1" applyProtection="1">
      <alignment vertical="center"/>
    </xf>
    <xf numFmtId="168" fontId="3" fillId="0" borderId="32" xfId="123" applyNumberFormat="1" applyFont="1" applyFill="1" applyBorder="1" applyAlignment="1" applyProtection="1">
      <alignment vertical="center"/>
    </xf>
    <xf numFmtId="165" fontId="0" fillId="0" borderId="0" xfId="123" applyNumberFormat="1" applyFont="1" applyFill="1"/>
    <xf numFmtId="0" fontId="0" fillId="0" borderId="26" xfId="0" applyBorder="1"/>
    <xf numFmtId="173" fontId="0" fillId="0" borderId="0" xfId="123" applyNumberFormat="1" applyFont="1"/>
    <xf numFmtId="0" fontId="6" fillId="0" borderId="5" xfId="114" applyFont="1" applyBorder="1" applyAlignment="1">
      <alignment horizontal="left"/>
    </xf>
    <xf numFmtId="164" fontId="8" fillId="2" borderId="53" xfId="65" applyNumberFormat="1" applyFont="1" applyFill="1" applyBorder="1"/>
    <xf numFmtId="170" fontId="6" fillId="9" borderId="37" xfId="114" applyNumberFormat="1" applyFont="1" applyFill="1" applyBorder="1" applyProtection="1">
      <protection locked="0"/>
    </xf>
    <xf numFmtId="0" fontId="6" fillId="9" borderId="37" xfId="114" applyFont="1" applyFill="1" applyBorder="1" applyProtection="1">
      <protection locked="0"/>
    </xf>
    <xf numFmtId="0" fontId="8" fillId="2" borderId="1" xfId="114" applyFont="1" applyFill="1" applyBorder="1"/>
    <xf numFmtId="10" fontId="8" fillId="0" borderId="1" xfId="124" applyNumberFormat="1" applyFont="1" applyFill="1" applyBorder="1" applyAlignment="1">
      <alignment vertical="center"/>
    </xf>
    <xf numFmtId="168" fontId="8" fillId="0" borderId="4" xfId="116" applyNumberFormat="1" applyFont="1" applyFill="1" applyBorder="1" applyAlignment="1">
      <alignment vertical="center"/>
    </xf>
    <xf numFmtId="10" fontId="8" fillId="0" borderId="1" xfId="0" applyNumberFormat="1" applyFont="1" applyBorder="1" applyAlignment="1">
      <alignment vertical="center"/>
    </xf>
    <xf numFmtId="10" fontId="8" fillId="0" borderId="37" xfId="0" applyNumberFormat="1" applyFont="1" applyBorder="1" applyAlignment="1">
      <alignment vertical="center"/>
    </xf>
    <xf numFmtId="168" fontId="8" fillId="0" borderId="7" xfId="116" applyNumberFormat="1" applyFont="1" applyFill="1" applyBorder="1" applyAlignment="1">
      <alignment vertical="center"/>
    </xf>
    <xf numFmtId="0" fontId="8" fillId="2" borderId="1" xfId="0" applyFont="1" applyFill="1" applyBorder="1" applyAlignment="1">
      <alignment vertical="center"/>
    </xf>
    <xf numFmtId="0" fontId="8" fillId="2" borderId="32" xfId="0" applyFont="1" applyFill="1" applyBorder="1" applyAlignment="1">
      <alignment horizontal="left" vertical="center"/>
    </xf>
    <xf numFmtId="10" fontId="3" fillId="0" borderId="1" xfId="124" applyNumberFormat="1" applyFont="1" applyFill="1" applyBorder="1" applyAlignment="1" applyProtection="1">
      <alignment vertical="center"/>
    </xf>
    <xf numFmtId="0" fontId="8" fillId="5" borderId="12" xfId="114" applyFont="1" applyFill="1" applyBorder="1" applyAlignment="1" applyProtection="1">
      <alignment horizontal="center" vertical="center"/>
      <protection hidden="1"/>
    </xf>
    <xf numFmtId="168" fontId="6" fillId="0" borderId="4" xfId="116" applyNumberFormat="1" applyFont="1" applyBorder="1" applyAlignment="1" applyProtection="1">
      <alignment vertical="center" wrapText="1"/>
      <protection hidden="1"/>
    </xf>
    <xf numFmtId="168" fontId="6" fillId="0" borderId="7" xfId="116" applyNumberFormat="1" applyFont="1" applyBorder="1" applyAlignment="1" applyProtection="1">
      <alignment vertical="center" wrapText="1"/>
      <protection hidden="1"/>
    </xf>
    <xf numFmtId="168" fontId="6" fillId="0" borderId="53" xfId="116" applyNumberFormat="1" applyFont="1" applyBorder="1" applyAlignment="1" applyProtection="1">
      <alignment vertical="center" wrapText="1"/>
      <protection hidden="1"/>
    </xf>
    <xf numFmtId="168" fontId="6" fillId="0" borderId="15" xfId="116" applyNumberFormat="1" applyFont="1" applyBorder="1" applyAlignment="1" applyProtection="1">
      <alignment vertical="center" wrapText="1"/>
      <protection hidden="1"/>
    </xf>
    <xf numFmtId="0" fontId="6" fillId="0" borderId="31" xfId="114" applyFont="1" applyBorder="1" applyAlignment="1" applyProtection="1">
      <alignment vertical="center" wrapText="1"/>
      <protection hidden="1"/>
    </xf>
    <xf numFmtId="0" fontId="6" fillId="0" borderId="26" xfId="114" applyFont="1" applyBorder="1" applyAlignment="1" applyProtection="1">
      <alignment vertical="center" wrapText="1"/>
      <protection hidden="1"/>
    </xf>
    <xf numFmtId="0" fontId="6" fillId="0" borderId="26" xfId="114" applyFont="1" applyBorder="1" applyAlignment="1" applyProtection="1">
      <alignment horizontal="right" vertical="center" wrapText="1"/>
      <protection hidden="1"/>
    </xf>
    <xf numFmtId="168" fontId="0" fillId="0" borderId="0" xfId="116" applyNumberFormat="1" applyFont="1"/>
    <xf numFmtId="1" fontId="0" fillId="0" borderId="0" xfId="123" applyNumberFormat="1" applyFont="1"/>
    <xf numFmtId="168" fontId="3" fillId="0" borderId="38" xfId="123" applyNumberFormat="1" applyFont="1" applyFill="1" applyBorder="1" applyAlignment="1" applyProtection="1">
      <alignment vertical="center"/>
    </xf>
    <xf numFmtId="165" fontId="8" fillId="4" borderId="32" xfId="115" quotePrefix="1" applyNumberFormat="1" applyFont="1" applyFill="1" applyBorder="1" applyAlignment="1" applyProtection="1">
      <alignment horizontal="center" vertical="center"/>
    </xf>
    <xf numFmtId="0" fontId="0" fillId="0" borderId="3" xfId="0" applyBorder="1"/>
    <xf numFmtId="0" fontId="0" fillId="0" borderId="63" xfId="0" applyBorder="1"/>
    <xf numFmtId="0" fontId="8" fillId="2" borderId="10" xfId="0" applyFont="1" applyFill="1" applyBorder="1" applyAlignment="1">
      <alignment horizontal="center"/>
    </xf>
    <xf numFmtId="0" fontId="6" fillId="2" borderId="47" xfId="114" applyFont="1" applyFill="1" applyBorder="1" applyAlignment="1">
      <alignment horizontal="center"/>
    </xf>
    <xf numFmtId="0" fontId="8" fillId="5" borderId="41" xfId="114" applyFont="1" applyFill="1" applyBorder="1" applyAlignment="1">
      <alignment horizontal="center"/>
    </xf>
    <xf numFmtId="0" fontId="6" fillId="2" borderId="30" xfId="114" applyFont="1" applyFill="1" applyBorder="1" applyAlignment="1">
      <alignment horizontal="center"/>
    </xf>
    <xf numFmtId="0" fontId="8" fillId="2" borderId="32" xfId="0" applyFont="1" applyFill="1" applyBorder="1" applyAlignment="1">
      <alignment vertical="center"/>
    </xf>
    <xf numFmtId="0" fontId="8" fillId="2" borderId="1" xfId="0" applyFont="1" applyFill="1" applyBorder="1" applyAlignment="1">
      <alignment horizontal="left" vertical="center"/>
    </xf>
    <xf numFmtId="0" fontId="6" fillId="2" borderId="55" xfId="121" applyFont="1" applyFill="1" applyBorder="1"/>
    <xf numFmtId="164" fontId="6" fillId="9" borderId="37" xfId="65" applyNumberFormat="1" applyFont="1" applyFill="1" applyBorder="1" applyProtection="1">
      <protection locked="0"/>
    </xf>
    <xf numFmtId="0" fontId="6" fillId="2" borderId="66" xfId="114" applyFont="1" applyFill="1" applyBorder="1" applyAlignment="1">
      <alignment horizontal="center"/>
    </xf>
    <xf numFmtId="0" fontId="6" fillId="2" borderId="50" xfId="114" applyFont="1" applyFill="1" applyBorder="1"/>
    <xf numFmtId="167" fontId="6" fillId="2" borderId="32" xfId="114" applyNumberFormat="1" applyFont="1" applyFill="1" applyBorder="1"/>
    <xf numFmtId="165" fontId="0" fillId="0" borderId="0" xfId="123" quotePrefix="1" applyNumberFormat="1" applyFont="1"/>
    <xf numFmtId="0" fontId="8" fillId="5" borderId="16" xfId="114" applyFont="1" applyFill="1" applyBorder="1" applyAlignment="1">
      <alignment horizontal="center"/>
    </xf>
    <xf numFmtId="165" fontId="0" fillId="0" borderId="0" xfId="123" applyNumberFormat="1" applyFont="1" applyProtection="1"/>
    <xf numFmtId="0" fontId="8" fillId="5" borderId="35" xfId="114" applyFont="1" applyFill="1" applyBorder="1"/>
    <xf numFmtId="0" fontId="8" fillId="5" borderId="17" xfId="114" applyFont="1" applyFill="1" applyBorder="1"/>
    <xf numFmtId="164" fontId="6" fillId="0" borderId="60" xfId="65" applyNumberFormat="1" applyFont="1" applyFill="1" applyBorder="1" applyAlignment="1" applyProtection="1">
      <alignment horizontal="center"/>
    </xf>
    <xf numFmtId="0" fontId="0" fillId="0" borderId="0" xfId="123" applyNumberFormat="1" applyFont="1" applyAlignment="1" applyProtection="1">
      <alignment horizontal="right"/>
    </xf>
    <xf numFmtId="5" fontId="3" fillId="0" borderId="18" xfId="65" applyNumberFormat="1" applyFont="1" applyFill="1" applyBorder="1" applyAlignment="1" applyProtection="1">
      <alignment horizontal="right"/>
    </xf>
    <xf numFmtId="164" fontId="6" fillId="2" borderId="47" xfId="65" applyNumberFormat="1" applyFont="1" applyFill="1" applyBorder="1"/>
    <xf numFmtId="0" fontId="6" fillId="2" borderId="14" xfId="114" applyFont="1" applyFill="1" applyBorder="1"/>
    <xf numFmtId="5" fontId="6" fillId="2" borderId="18" xfId="65" applyNumberFormat="1" applyFont="1" applyFill="1" applyBorder="1" applyProtection="1"/>
    <xf numFmtId="167" fontId="6" fillId="2" borderId="18" xfId="114" applyNumberFormat="1" applyFont="1" applyFill="1" applyBorder="1"/>
    <xf numFmtId="0" fontId="6" fillId="0" borderId="18" xfId="114" applyFont="1" applyBorder="1"/>
    <xf numFmtId="167" fontId="0" fillId="0" borderId="0" xfId="123" applyNumberFormat="1" applyFont="1"/>
    <xf numFmtId="167" fontId="0" fillId="0" borderId="0" xfId="0" applyNumberFormat="1"/>
    <xf numFmtId="0" fontId="0" fillId="11" borderId="0" xfId="0" applyFill="1"/>
    <xf numFmtId="10" fontId="22" fillId="0" borderId="37" xfId="0" applyNumberFormat="1" applyFont="1" applyBorder="1" applyAlignment="1">
      <alignment vertical="center"/>
    </xf>
    <xf numFmtId="168" fontId="22" fillId="0" borderId="7" xfId="116" applyNumberFormat="1" applyFont="1" applyFill="1" applyBorder="1" applyAlignment="1">
      <alignment vertical="center"/>
    </xf>
    <xf numFmtId="0" fontId="23" fillId="0" borderId="0" xfId="114" applyFont="1" applyAlignment="1">
      <alignment vertical="center"/>
    </xf>
    <xf numFmtId="167" fontId="23" fillId="0" borderId="0" xfId="114" applyNumberFormat="1" applyFont="1" applyAlignment="1">
      <alignment vertical="center"/>
    </xf>
    <xf numFmtId="0" fontId="0" fillId="0" borderId="44" xfId="0" applyBorder="1"/>
    <xf numFmtId="0" fontId="0" fillId="0" borderId="80" xfId="0" applyBorder="1"/>
    <xf numFmtId="5" fontId="0" fillId="0" borderId="0" xfId="0" applyNumberFormat="1"/>
    <xf numFmtId="5" fontId="0" fillId="0" borderId="80" xfId="0" applyNumberFormat="1" applyBorder="1"/>
    <xf numFmtId="165" fontId="0" fillId="0" borderId="80" xfId="123" applyNumberFormat="1" applyFont="1" applyBorder="1"/>
    <xf numFmtId="175" fontId="0" fillId="0" borderId="26" xfId="0" applyNumberFormat="1" applyBorder="1"/>
    <xf numFmtId="175" fontId="0" fillId="0" borderId="0" xfId="123" applyNumberFormat="1" applyFont="1"/>
    <xf numFmtId="175" fontId="0" fillId="0" borderId="80" xfId="123" applyNumberFormat="1" applyFont="1" applyBorder="1"/>
    <xf numFmtId="175" fontId="0" fillId="0" borderId="44" xfId="0" applyNumberFormat="1" applyBorder="1"/>
    <xf numFmtId="175" fontId="0" fillId="0" borderId="0" xfId="0" applyNumberFormat="1"/>
    <xf numFmtId="167" fontId="0" fillId="0" borderId="26" xfId="0" applyNumberFormat="1" applyBorder="1"/>
    <xf numFmtId="167" fontId="0" fillId="0" borderId="80" xfId="123" applyNumberFormat="1" applyFont="1" applyBorder="1"/>
    <xf numFmtId="167" fontId="0" fillId="0" borderId="44" xfId="0" applyNumberFormat="1" applyBorder="1"/>
    <xf numFmtId="164" fontId="3" fillId="0" borderId="46" xfId="116" applyNumberFormat="1" applyFont="1" applyBorder="1" applyAlignment="1" applyProtection="1">
      <alignment vertical="center"/>
    </xf>
    <xf numFmtId="168" fontId="4" fillId="0" borderId="4" xfId="116" applyNumberFormat="1" applyFont="1" applyFill="1" applyBorder="1" applyAlignment="1" applyProtection="1">
      <alignment vertical="center"/>
    </xf>
    <xf numFmtId="168" fontId="23" fillId="0" borderId="0" xfId="116" applyNumberFormat="1" applyFont="1" applyAlignment="1">
      <alignment vertical="center"/>
    </xf>
    <xf numFmtId="0" fontId="0" fillId="0" borderId="2" xfId="0" applyBorder="1"/>
    <xf numFmtId="0" fontId="0" fillId="0" borderId="0" xfId="0"/>
    <xf numFmtId="0" fontId="0" fillId="0" borderId="3" xfId="0" applyBorder="1"/>
    <xf numFmtId="0" fontId="0" fillId="0" borderId="2" xfId="0" applyBorder="1" applyAlignment="1">
      <alignment vertical="center"/>
    </xf>
    <xf numFmtId="0" fontId="0" fillId="0" borderId="0" xfId="0" applyAlignment="1">
      <alignment vertical="center"/>
    </xf>
    <xf numFmtId="0" fontId="0" fillId="0" borderId="3" xfId="0" applyBorder="1" applyAlignment="1">
      <alignment vertical="center"/>
    </xf>
    <xf numFmtId="0" fontId="0" fillId="0" borderId="5" xfId="0" applyBorder="1"/>
    <xf numFmtId="0" fontId="0" fillId="0" borderId="11" xfId="0" applyBorder="1"/>
    <xf numFmtId="0" fontId="0" fillId="0" borderId="6" xfId="0" applyBorder="1"/>
    <xf numFmtId="0" fontId="0" fillId="0" borderId="8" xfId="0" applyBorder="1"/>
    <xf numFmtId="0" fontId="0" fillId="0" borderId="10" xfId="0" applyBorder="1"/>
    <xf numFmtId="0" fontId="0" fillId="0" borderId="9" xfId="0" applyBorder="1"/>
    <xf numFmtId="0" fontId="0" fillId="0" borderId="34" xfId="0" applyBorder="1"/>
    <xf numFmtId="0" fontId="0" fillId="0" borderId="18" xfId="0" applyBorder="1"/>
    <xf numFmtId="0" fontId="0" fillId="0" borderId="19" xfId="0" applyBorder="1"/>
    <xf numFmtId="0" fontId="0" fillId="9" borderId="34" xfId="0" applyFill="1" applyBorder="1"/>
    <xf numFmtId="0" fontId="0" fillId="9" borderId="18" xfId="0" applyFill="1" applyBorder="1"/>
    <xf numFmtId="0" fontId="0" fillId="9" borderId="19" xfId="0" applyFill="1" applyBorder="1"/>
    <xf numFmtId="0" fontId="0" fillId="13" borderId="34" xfId="0" applyFill="1" applyBorder="1"/>
    <xf numFmtId="0" fontId="0" fillId="13" borderId="18" xfId="0" applyFill="1" applyBorder="1"/>
    <xf numFmtId="0" fontId="0" fillId="13" borderId="19" xfId="0" applyFill="1" applyBorder="1"/>
    <xf numFmtId="0" fontId="8" fillId="2" borderId="42" xfId="0" applyFont="1" applyFill="1" applyBorder="1" applyAlignment="1">
      <alignment vertical="center" wrapText="1"/>
    </xf>
    <xf numFmtId="0" fontId="8" fillId="2" borderId="44" xfId="0" applyFont="1" applyFill="1" applyBorder="1" applyAlignment="1">
      <alignment vertical="center" wrapText="1"/>
    </xf>
    <xf numFmtId="0" fontId="8" fillId="2" borderId="43" xfId="0" applyFont="1" applyFill="1" applyBorder="1" applyAlignment="1">
      <alignment vertical="center" wrapText="1"/>
    </xf>
    <xf numFmtId="0" fontId="8" fillId="2" borderId="29" xfId="0" applyFont="1" applyFill="1" applyBorder="1" applyAlignment="1">
      <alignment vertical="center" wrapText="1"/>
    </xf>
    <xf numFmtId="0" fontId="8" fillId="2" borderId="26" xfId="0" applyFont="1" applyFill="1" applyBorder="1" applyAlignment="1">
      <alignment vertical="center" wrapText="1"/>
    </xf>
    <xf numFmtId="0" fontId="8" fillId="2" borderId="31" xfId="0" applyFont="1" applyFill="1" applyBorder="1" applyAlignment="1">
      <alignment vertical="center" wrapText="1"/>
    </xf>
    <xf numFmtId="49" fontId="8" fillId="9" borderId="34" xfId="116" applyNumberFormat="1" applyFont="1" applyFill="1" applyBorder="1" applyAlignment="1" applyProtection="1">
      <alignment horizontal="center" vertical="center"/>
      <protection locked="0"/>
    </xf>
    <xf numFmtId="49" fontId="8" fillId="9" borderId="47" xfId="116" applyNumberFormat="1" applyFont="1" applyFill="1" applyBorder="1" applyAlignment="1" applyProtection="1">
      <alignment horizontal="center" vertical="center"/>
      <protection locked="0"/>
    </xf>
    <xf numFmtId="168" fontId="8" fillId="9" borderId="34" xfId="116" applyNumberFormat="1" applyFont="1" applyFill="1" applyBorder="1" applyAlignment="1" applyProtection="1">
      <alignment vertical="center"/>
      <protection locked="0"/>
    </xf>
    <xf numFmtId="168" fontId="8" fillId="9" borderId="47" xfId="116" applyNumberFormat="1" applyFont="1" applyFill="1" applyBorder="1" applyAlignment="1" applyProtection="1">
      <alignment vertical="center"/>
      <protection locked="0"/>
    </xf>
    <xf numFmtId="0" fontId="8" fillId="2" borderId="14" xfId="0" applyFont="1" applyFill="1" applyBorder="1" applyAlignment="1">
      <alignment horizontal="left"/>
    </xf>
    <xf numFmtId="0" fontId="8" fillId="2" borderId="18" xfId="0" applyFont="1" applyFill="1" applyBorder="1" applyAlignment="1">
      <alignment horizontal="left"/>
    </xf>
    <xf numFmtId="0" fontId="8" fillId="2" borderId="47" xfId="0" applyFont="1" applyFill="1" applyBorder="1" applyAlignment="1">
      <alignment horizontal="left"/>
    </xf>
    <xf numFmtId="0" fontId="8" fillId="2" borderId="19" xfId="0" applyFont="1" applyFill="1" applyBorder="1" applyAlignment="1">
      <alignment horizontal="left"/>
    </xf>
    <xf numFmtId="0" fontId="8" fillId="2" borderId="42" xfId="0" applyFont="1" applyFill="1" applyBorder="1" applyAlignment="1">
      <alignment horizontal="left" vertical="center" wrapText="1"/>
    </xf>
    <xf numFmtId="0" fontId="8" fillId="2" borderId="44" xfId="0" applyFont="1" applyFill="1" applyBorder="1" applyAlignment="1">
      <alignment horizontal="left" vertical="center"/>
    </xf>
    <xf numFmtId="0" fontId="8" fillId="2" borderId="43" xfId="0" applyFont="1" applyFill="1" applyBorder="1" applyAlignment="1">
      <alignment horizontal="left" vertical="center"/>
    </xf>
    <xf numFmtId="0" fontId="8" fillId="2" borderId="29" xfId="0" applyFont="1" applyFill="1" applyBorder="1" applyAlignment="1">
      <alignment horizontal="left" vertical="center"/>
    </xf>
    <xf numFmtId="0" fontId="8" fillId="2" borderId="26" xfId="0" applyFont="1" applyFill="1" applyBorder="1" applyAlignment="1">
      <alignment horizontal="left" vertical="center"/>
    </xf>
    <xf numFmtId="0" fontId="8" fillId="2" borderId="31" xfId="0" applyFont="1" applyFill="1" applyBorder="1" applyAlignment="1">
      <alignment horizontal="left" vertical="center"/>
    </xf>
    <xf numFmtId="0" fontId="12" fillId="5" borderId="8"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0" fillId="11" borderId="20" xfId="0" applyFill="1" applyBorder="1" applyAlignment="1">
      <alignment horizontal="left"/>
    </xf>
    <xf numFmtId="0" fontId="0" fillId="11" borderId="21" xfId="0" applyFill="1" applyBorder="1" applyAlignment="1">
      <alignment horizontal="left"/>
    </xf>
    <xf numFmtId="0" fontId="0" fillId="11" borderId="22" xfId="0" applyFill="1" applyBorder="1" applyAlignment="1">
      <alignment horizontal="left"/>
    </xf>
    <xf numFmtId="0" fontId="13" fillId="9" borderId="69" xfId="0" applyFont="1" applyFill="1" applyBorder="1" applyAlignment="1">
      <alignment horizontal="center" vertical="center" wrapText="1"/>
    </xf>
    <xf numFmtId="0" fontId="13" fillId="9" borderId="41" xfId="0" applyFont="1" applyFill="1" applyBorder="1" applyAlignment="1">
      <alignment horizontal="center" vertical="center" wrapText="1"/>
    </xf>
    <xf numFmtId="0" fontId="0" fillId="11" borderId="14" xfId="0" applyFill="1" applyBorder="1" applyAlignment="1">
      <alignment horizontal="left"/>
    </xf>
    <xf numFmtId="0" fontId="0" fillId="11" borderId="18" xfId="0" applyFill="1" applyBorder="1" applyAlignment="1">
      <alignment horizontal="left"/>
    </xf>
    <xf numFmtId="0" fontId="0" fillId="11" borderId="19" xfId="0" applyFill="1" applyBorder="1" applyAlignment="1">
      <alignment horizontal="left"/>
    </xf>
    <xf numFmtId="174" fontId="8" fillId="2" borderId="34" xfId="0" applyNumberFormat="1" applyFont="1" applyFill="1" applyBorder="1" applyAlignment="1">
      <alignment horizontal="center" vertical="center" wrapText="1"/>
    </xf>
    <xf numFmtId="174" fontId="8" fillId="2" borderId="47" xfId="0" applyNumberFormat="1" applyFont="1" applyFill="1" applyBorder="1" applyAlignment="1">
      <alignment horizontal="center" vertical="center" wrapText="1"/>
    </xf>
    <xf numFmtId="0" fontId="0" fillId="11" borderId="5" xfId="0" applyFill="1" applyBorder="1"/>
    <xf numFmtId="0" fontId="0" fillId="11" borderId="11" xfId="0" applyFill="1" applyBorder="1"/>
    <xf numFmtId="0" fontId="0" fillId="11" borderId="6" xfId="0" applyFill="1" applyBorder="1"/>
    <xf numFmtId="0" fontId="0" fillId="11" borderId="35" xfId="0" applyFill="1" applyBorder="1" applyAlignment="1">
      <alignment horizontal="left"/>
    </xf>
    <xf numFmtId="10" fontId="14" fillId="9" borderId="69" xfId="124" applyNumberFormat="1" applyFont="1" applyFill="1" applyBorder="1" applyAlignment="1" applyProtection="1">
      <alignment vertical="center"/>
      <protection locked="0"/>
    </xf>
    <xf numFmtId="10" fontId="14" fillId="9" borderId="41" xfId="124" applyNumberFormat="1" applyFont="1" applyFill="1" applyBorder="1" applyAlignment="1" applyProtection="1">
      <alignment vertical="center"/>
      <protection locked="0"/>
    </xf>
    <xf numFmtId="0" fontId="14" fillId="2" borderId="2" xfId="0" applyFont="1" applyFill="1" applyBorder="1" applyAlignment="1">
      <alignment horizontal="left" vertical="center" wrapText="1"/>
    </xf>
    <xf numFmtId="0" fontId="14" fillId="2" borderId="0" xfId="0" applyFont="1" applyFill="1" applyAlignment="1">
      <alignment horizontal="left" vertical="center" wrapText="1"/>
    </xf>
    <xf numFmtId="0" fontId="14" fillId="2" borderId="29" xfId="0" applyFont="1" applyFill="1" applyBorder="1" applyAlignment="1">
      <alignment horizontal="left" vertical="center" wrapText="1"/>
    </xf>
    <xf numFmtId="0" fontId="14" fillId="2" borderId="26" xfId="0" applyFont="1" applyFill="1" applyBorder="1" applyAlignment="1">
      <alignment horizontal="left" vertical="center" wrapText="1"/>
    </xf>
    <xf numFmtId="10" fontId="14" fillId="9" borderId="56" xfId="124" applyNumberFormat="1" applyFont="1" applyFill="1" applyBorder="1" applyAlignment="1" applyProtection="1">
      <alignment vertical="center"/>
      <protection locked="0"/>
    </xf>
    <xf numFmtId="10" fontId="14" fillId="9" borderId="30" xfId="124" applyNumberFormat="1" applyFont="1" applyFill="1" applyBorder="1" applyAlignment="1" applyProtection="1">
      <alignment vertical="center"/>
      <protection locked="0"/>
    </xf>
    <xf numFmtId="0" fontId="8" fillId="2" borderId="29" xfId="0" applyFont="1" applyFill="1" applyBorder="1" applyAlignment="1">
      <alignment horizontal="center"/>
    </xf>
    <xf numFmtId="0" fontId="8" fillId="2" borderId="26" xfId="0" applyFont="1" applyFill="1" applyBorder="1" applyAlignment="1">
      <alignment horizontal="center"/>
    </xf>
    <xf numFmtId="0" fontId="8" fillId="2" borderId="30" xfId="0" applyFont="1" applyFill="1" applyBorder="1" applyAlignment="1">
      <alignment horizontal="center"/>
    </xf>
    <xf numFmtId="0" fontId="8" fillId="2" borderId="16"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61" xfId="0" applyFont="1" applyFill="1" applyBorder="1" applyAlignment="1">
      <alignment horizontal="left" vertical="center" wrapText="1"/>
    </xf>
    <xf numFmtId="10" fontId="14" fillId="9" borderId="79" xfId="124" applyNumberFormat="1" applyFont="1" applyFill="1" applyBorder="1" applyAlignment="1" applyProtection="1">
      <alignment horizontal="center" vertical="center"/>
      <protection locked="0"/>
    </xf>
    <xf numFmtId="10" fontId="14" fillId="9" borderId="9" xfId="124" applyNumberFormat="1" applyFont="1" applyFill="1" applyBorder="1" applyAlignment="1" applyProtection="1">
      <alignment horizontal="center" vertical="center"/>
      <protection locked="0"/>
    </xf>
    <xf numFmtId="0" fontId="0" fillId="11" borderId="35" xfId="0" applyFill="1" applyBorder="1"/>
    <xf numFmtId="0" fontId="19" fillId="5" borderId="8" xfId="0" applyFont="1" applyFill="1" applyBorder="1" applyAlignment="1">
      <alignment horizontal="center" vertical="center"/>
    </xf>
    <xf numFmtId="0" fontId="19" fillId="5" borderId="10" xfId="0" applyFont="1" applyFill="1" applyBorder="1" applyAlignment="1">
      <alignment horizontal="center" vertical="center"/>
    </xf>
    <xf numFmtId="0" fontId="19" fillId="5" borderId="9" xfId="0" applyFont="1" applyFill="1" applyBorder="1" applyAlignment="1">
      <alignment horizontal="center" vertical="center"/>
    </xf>
    <xf numFmtId="0" fontId="19" fillId="5" borderId="5" xfId="0" applyFont="1" applyFill="1" applyBorder="1" applyAlignment="1">
      <alignment horizontal="center" vertical="center"/>
    </xf>
    <xf numFmtId="0" fontId="19" fillId="5" borderId="11" xfId="0" applyFont="1" applyFill="1" applyBorder="1" applyAlignment="1">
      <alignment horizontal="center" vertical="center"/>
    </xf>
    <xf numFmtId="0" fontId="19" fillId="5" borderId="6" xfId="0" applyFont="1" applyFill="1" applyBorder="1" applyAlignment="1">
      <alignment horizontal="center" vertical="center"/>
    </xf>
    <xf numFmtId="0" fontId="8" fillId="2" borderId="50" xfId="0" applyFont="1" applyFill="1" applyBorder="1" applyAlignment="1">
      <alignment horizontal="left" wrapText="1"/>
    </xf>
    <xf numFmtId="0" fontId="8" fillId="2" borderId="32" xfId="0" applyFont="1" applyFill="1" applyBorder="1" applyAlignment="1">
      <alignment horizontal="left" wrapText="1"/>
    </xf>
    <xf numFmtId="0" fontId="10" fillId="9" borderId="56" xfId="0" applyFont="1" applyFill="1" applyBorder="1" applyAlignment="1" applyProtection="1">
      <alignment horizontal="center" vertical="center"/>
      <protection locked="0"/>
    </xf>
    <xf numFmtId="0" fontId="10" fillId="9" borderId="26" xfId="0" applyFont="1" applyFill="1" applyBorder="1" applyAlignment="1" applyProtection="1">
      <alignment horizontal="center" vertical="center"/>
      <protection locked="0"/>
    </xf>
    <xf numFmtId="0" fontId="10" fillId="9" borderId="30" xfId="0" applyFont="1" applyFill="1" applyBorder="1" applyAlignment="1" applyProtection="1">
      <alignment horizontal="center" vertical="center"/>
      <protection locked="0"/>
    </xf>
    <xf numFmtId="49" fontId="8" fillId="2" borderId="14" xfId="0" applyNumberFormat="1" applyFont="1" applyFill="1" applyBorder="1" applyAlignment="1">
      <alignment horizontal="left"/>
    </xf>
    <xf numFmtId="49" fontId="8" fillId="2" borderId="18" xfId="0" applyNumberFormat="1" applyFont="1" applyFill="1" applyBorder="1" applyAlignment="1">
      <alignment horizontal="left"/>
    </xf>
    <xf numFmtId="49" fontId="8" fillId="2" borderId="19" xfId="0" applyNumberFormat="1" applyFont="1" applyFill="1" applyBorder="1" applyAlignment="1">
      <alignment horizontal="left"/>
    </xf>
    <xf numFmtId="0" fontId="8" fillId="2" borderId="14" xfId="0" applyFont="1" applyFill="1" applyBorder="1" applyAlignment="1">
      <alignment wrapText="1"/>
    </xf>
    <xf numFmtId="0" fontId="8" fillId="2" borderId="18" xfId="0" applyFont="1" applyFill="1" applyBorder="1" applyAlignment="1">
      <alignment wrapText="1"/>
    </xf>
    <xf numFmtId="0" fontId="8" fillId="2" borderId="19" xfId="0" applyFont="1" applyFill="1" applyBorder="1" applyAlignment="1">
      <alignment wrapText="1"/>
    </xf>
    <xf numFmtId="168" fontId="8" fillId="9" borderId="34" xfId="116" applyNumberFormat="1" applyFont="1" applyFill="1" applyBorder="1" applyAlignment="1" applyProtection="1">
      <alignment horizontal="center" vertical="center"/>
      <protection locked="0"/>
    </xf>
    <xf numFmtId="168" fontId="8" fillId="9" borderId="47" xfId="116" applyNumberFormat="1" applyFont="1" applyFill="1" applyBorder="1" applyAlignment="1" applyProtection="1">
      <alignment horizontal="center" vertical="center"/>
      <protection locked="0"/>
    </xf>
    <xf numFmtId="0" fontId="8" fillId="2" borderId="29" xfId="0" applyFont="1" applyFill="1" applyBorder="1" applyAlignment="1">
      <alignment horizontal="left" wrapText="1"/>
    </xf>
    <xf numFmtId="0" fontId="8" fillId="2" borderId="26" xfId="0" applyFont="1" applyFill="1" applyBorder="1" applyAlignment="1">
      <alignment horizontal="left" wrapText="1"/>
    </xf>
    <xf numFmtId="49" fontId="8" fillId="9" borderId="56" xfId="124" applyNumberFormat="1" applyFont="1" applyFill="1" applyBorder="1" applyAlignment="1" applyProtection="1">
      <alignment horizontal="center" vertical="center"/>
      <protection locked="0"/>
    </xf>
    <xf numFmtId="49" fontId="8" fillId="9" borderId="30" xfId="124" applyNumberFormat="1" applyFont="1" applyFill="1" applyBorder="1" applyAlignment="1" applyProtection="1">
      <alignment horizontal="center" vertical="center"/>
      <protection locked="0"/>
    </xf>
    <xf numFmtId="0" fontId="8" fillId="2" borderId="10" xfId="0" applyFont="1" applyFill="1" applyBorder="1" applyAlignment="1">
      <alignment horizontal="left" vertical="center" wrapText="1"/>
    </xf>
    <xf numFmtId="0" fontId="15" fillId="11" borderId="20" xfId="0" applyFont="1" applyFill="1" applyBorder="1" applyAlignment="1">
      <alignment horizontal="center" vertical="center"/>
    </xf>
    <xf numFmtId="0" fontId="15" fillId="11" borderId="21" xfId="0" applyFont="1" applyFill="1" applyBorder="1" applyAlignment="1">
      <alignment horizontal="center" vertical="center"/>
    </xf>
    <xf numFmtId="0" fontId="15" fillId="11" borderId="41" xfId="0" applyFont="1" applyFill="1" applyBorder="1" applyAlignment="1">
      <alignment horizontal="center" vertical="center"/>
    </xf>
    <xf numFmtId="0" fontId="8" fillId="2" borderId="14" xfId="0" applyFont="1" applyFill="1" applyBorder="1" applyAlignment="1">
      <alignment horizontal="left" wrapText="1"/>
    </xf>
    <xf numFmtId="0" fontId="8" fillId="2" borderId="18" xfId="0" applyFont="1" applyFill="1" applyBorder="1" applyAlignment="1">
      <alignment horizontal="left" wrapText="1"/>
    </xf>
    <xf numFmtId="0" fontId="8" fillId="2" borderId="19" xfId="0" applyFont="1" applyFill="1" applyBorder="1" applyAlignment="1">
      <alignment horizontal="left" wrapText="1"/>
    </xf>
    <xf numFmtId="49" fontId="8" fillId="9" borderId="34" xfId="124" applyNumberFormat="1" applyFont="1" applyFill="1" applyBorder="1" applyAlignment="1" applyProtection="1">
      <alignment horizontal="center" vertical="center"/>
      <protection locked="0"/>
    </xf>
    <xf numFmtId="49" fontId="8" fillId="9" borderId="47" xfId="124" applyNumberFormat="1" applyFont="1" applyFill="1" applyBorder="1" applyAlignment="1" applyProtection="1">
      <alignment horizontal="center" vertical="center"/>
      <protection locked="0"/>
    </xf>
    <xf numFmtId="0" fontId="8" fillId="2" borderId="2" xfId="0" applyFont="1" applyFill="1" applyBorder="1" applyAlignment="1">
      <alignment horizontal="left" vertical="center" wrapText="1"/>
    </xf>
    <xf numFmtId="0" fontId="8" fillId="2" borderId="0" xfId="0" applyFont="1" applyFill="1" applyAlignment="1">
      <alignment horizontal="left" vertical="center"/>
    </xf>
    <xf numFmtId="0" fontId="8" fillId="2" borderId="58" xfId="0" applyFont="1" applyFill="1" applyBorder="1" applyAlignment="1">
      <alignment horizontal="left" vertical="center"/>
    </xf>
    <xf numFmtId="0" fontId="8" fillId="2" borderId="5" xfId="0" applyFont="1" applyFill="1" applyBorder="1" applyAlignment="1">
      <alignment horizontal="left" vertical="center"/>
    </xf>
    <xf numFmtId="0" fontId="8" fillId="2" borderId="11" xfId="0" applyFont="1" applyFill="1" applyBorder="1" applyAlignment="1">
      <alignment horizontal="left" vertical="center"/>
    </xf>
    <xf numFmtId="0" fontId="8" fillId="2" borderId="25" xfId="0" applyFont="1" applyFill="1" applyBorder="1" applyAlignment="1">
      <alignment horizontal="left" vertical="center"/>
    </xf>
    <xf numFmtId="168" fontId="8" fillId="9" borderId="56" xfId="116" applyNumberFormat="1" applyFont="1" applyFill="1" applyBorder="1" applyAlignment="1" applyProtection="1">
      <alignment vertical="center"/>
      <protection locked="0"/>
    </xf>
    <xf numFmtId="168" fontId="8" fillId="9" borderId="30" xfId="116" applyNumberFormat="1" applyFont="1" applyFill="1" applyBorder="1" applyAlignment="1" applyProtection="1">
      <alignment vertical="center"/>
      <protection locked="0"/>
    </xf>
    <xf numFmtId="0" fontId="8" fillId="2" borderId="27" xfId="0" applyFont="1" applyFill="1" applyBorder="1" applyAlignment="1">
      <alignment wrapText="1"/>
    </xf>
    <xf numFmtId="0" fontId="8" fillId="2" borderId="36" xfId="0" applyFont="1" applyFill="1" applyBorder="1" applyAlignment="1">
      <alignment wrapText="1"/>
    </xf>
    <xf numFmtId="0" fontId="8" fillId="2" borderId="28" xfId="0" applyFont="1" applyFill="1" applyBorder="1" applyAlignment="1">
      <alignment wrapText="1"/>
    </xf>
    <xf numFmtId="0" fontId="8" fillId="2" borderId="14" xfId="0" applyFont="1" applyFill="1" applyBorder="1" applyAlignment="1">
      <alignment vertical="center"/>
    </xf>
    <xf numFmtId="0" fontId="8" fillId="2" borderId="18" xfId="0" applyFont="1" applyFill="1" applyBorder="1" applyAlignment="1">
      <alignment vertical="center"/>
    </xf>
    <xf numFmtId="0" fontId="8" fillId="2" borderId="19" xfId="0" applyFont="1" applyFill="1" applyBorder="1" applyAlignment="1">
      <alignment vertical="center"/>
    </xf>
    <xf numFmtId="0" fontId="17" fillId="11" borderId="14" xfId="0" applyFont="1" applyFill="1" applyBorder="1" applyAlignment="1">
      <alignment horizontal="left" vertical="center"/>
    </xf>
    <xf numFmtId="0" fontId="17" fillId="11" borderId="18" xfId="0" applyFont="1" applyFill="1" applyBorder="1" applyAlignment="1">
      <alignment horizontal="left" vertical="center"/>
    </xf>
    <xf numFmtId="168" fontId="17" fillId="12" borderId="34" xfId="116" applyNumberFormat="1" applyFont="1" applyFill="1" applyBorder="1" applyAlignment="1" applyProtection="1">
      <alignment vertical="center"/>
      <protection locked="0"/>
    </xf>
    <xf numFmtId="168" fontId="17" fillId="12" borderId="47" xfId="116" applyNumberFormat="1" applyFont="1" applyFill="1" applyBorder="1" applyAlignment="1" applyProtection="1">
      <alignment vertical="center"/>
      <protection locked="0"/>
    </xf>
    <xf numFmtId="168" fontId="8" fillId="2" borderId="34" xfId="116" applyNumberFormat="1" applyFont="1" applyFill="1" applyBorder="1" applyAlignment="1" applyProtection="1">
      <alignment vertical="center"/>
    </xf>
    <xf numFmtId="168" fontId="8" fillId="2" borderId="47" xfId="116" applyNumberFormat="1" applyFont="1" applyFill="1" applyBorder="1" applyAlignment="1" applyProtection="1">
      <alignment vertical="center"/>
    </xf>
    <xf numFmtId="168" fontId="8" fillId="9" borderId="52" xfId="116" applyNumberFormat="1" applyFont="1" applyFill="1" applyBorder="1" applyAlignment="1" applyProtection="1">
      <alignment horizontal="center" vertical="center"/>
      <protection locked="0"/>
    </xf>
    <xf numFmtId="168" fontId="8" fillId="9" borderId="48" xfId="116" applyNumberFormat="1" applyFont="1" applyFill="1" applyBorder="1" applyAlignment="1" applyProtection="1">
      <alignment horizontal="center" vertical="center"/>
      <protection locked="0"/>
    </xf>
    <xf numFmtId="0" fontId="8" fillId="2" borderId="11" xfId="0" applyFont="1" applyFill="1" applyBorder="1"/>
    <xf numFmtId="0" fontId="16" fillId="11" borderId="16" xfId="0" applyFont="1" applyFill="1" applyBorder="1" applyAlignment="1">
      <alignment horizontal="center"/>
    </xf>
    <xf numFmtId="0" fontId="16" fillId="11" borderId="35" xfId="0" applyFont="1" applyFill="1" applyBorder="1" applyAlignment="1">
      <alignment horizontal="center"/>
    </xf>
    <xf numFmtId="0" fontId="16" fillId="11" borderId="17" xfId="0" applyFont="1" applyFill="1" applyBorder="1" applyAlignment="1">
      <alignment horizontal="center"/>
    </xf>
    <xf numFmtId="0" fontId="8" fillId="2" borderId="14" xfId="0" applyFont="1" applyFill="1" applyBorder="1"/>
    <xf numFmtId="0" fontId="8" fillId="2" borderId="18" xfId="0" applyFont="1" applyFill="1" applyBorder="1"/>
    <xf numFmtId="0" fontId="8" fillId="2" borderId="19" xfId="0" applyFont="1" applyFill="1" applyBorder="1"/>
    <xf numFmtId="0" fontId="8" fillId="2" borderId="14" xfId="0" applyFont="1" applyFill="1" applyBorder="1" applyAlignment="1">
      <alignment vertical="center" wrapText="1"/>
    </xf>
    <xf numFmtId="0" fontId="8" fillId="2" borderId="18" xfId="0" applyFont="1" applyFill="1" applyBorder="1" applyAlignment="1">
      <alignment vertical="center" wrapText="1"/>
    </xf>
    <xf numFmtId="0" fontId="8" fillId="2" borderId="19" xfId="0" applyFont="1" applyFill="1" applyBorder="1" applyAlignment="1">
      <alignment vertical="center" wrapText="1"/>
    </xf>
    <xf numFmtId="0" fontId="10" fillId="2" borderId="27" xfId="0" applyFont="1" applyFill="1" applyBorder="1" applyAlignment="1">
      <alignment vertical="center"/>
    </xf>
    <xf numFmtId="0" fontId="10" fillId="2" borderId="36" xfId="0" applyFont="1" applyFill="1" applyBorder="1" applyAlignment="1">
      <alignment vertical="center"/>
    </xf>
    <xf numFmtId="0" fontId="10" fillId="2" borderId="28" xfId="0" applyFont="1" applyFill="1" applyBorder="1" applyAlignment="1">
      <alignment vertical="center"/>
    </xf>
    <xf numFmtId="0" fontId="8" fillId="2" borderId="27" xfId="0" applyFont="1" applyFill="1" applyBorder="1" applyAlignment="1">
      <alignment vertical="center"/>
    </xf>
    <xf numFmtId="0" fontId="8" fillId="2" borderId="36" xfId="0" applyFont="1" applyFill="1" applyBorder="1" applyAlignment="1">
      <alignment vertical="center"/>
    </xf>
    <xf numFmtId="0" fontId="8" fillId="2" borderId="28" xfId="0" applyFont="1" applyFill="1" applyBorder="1" applyAlignment="1">
      <alignment vertical="center"/>
    </xf>
    <xf numFmtId="0" fontId="8" fillId="2" borderId="44" xfId="0" applyFont="1" applyFill="1" applyBorder="1" applyAlignment="1">
      <alignment horizontal="left" vertical="center" wrapText="1"/>
    </xf>
    <xf numFmtId="0" fontId="8" fillId="2" borderId="43" xfId="0" applyFont="1" applyFill="1" applyBorder="1" applyAlignment="1">
      <alignment horizontal="left" vertical="center" wrapText="1"/>
    </xf>
    <xf numFmtId="0" fontId="8" fillId="2" borderId="29"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31" xfId="0" applyFont="1" applyFill="1" applyBorder="1" applyAlignment="1">
      <alignment horizontal="left" vertical="center" wrapText="1"/>
    </xf>
    <xf numFmtId="0" fontId="8" fillId="2" borderId="20" xfId="0" applyFont="1" applyFill="1" applyBorder="1" applyAlignment="1">
      <alignment horizontal="left"/>
    </xf>
    <xf numFmtId="0" fontId="8" fillId="2" borderId="21" xfId="0" applyFont="1" applyFill="1" applyBorder="1" applyAlignment="1">
      <alignment horizontal="left"/>
    </xf>
    <xf numFmtId="0" fontId="8" fillId="2" borderId="22" xfId="0" applyFont="1" applyFill="1" applyBorder="1" applyAlignment="1">
      <alignment horizontal="left"/>
    </xf>
    <xf numFmtId="168" fontId="8" fillId="0" borderId="69" xfId="116" applyNumberFormat="1" applyFont="1" applyFill="1" applyBorder="1" applyAlignment="1" applyProtection="1">
      <alignment horizontal="center" vertical="center"/>
    </xf>
    <xf numFmtId="168" fontId="8" fillId="0" borderId="41" xfId="116" applyNumberFormat="1" applyFont="1" applyFill="1" applyBorder="1" applyAlignment="1" applyProtection="1">
      <alignment horizontal="center" vertical="center"/>
    </xf>
    <xf numFmtId="0" fontId="17" fillId="11" borderId="29" xfId="0" applyFont="1" applyFill="1" applyBorder="1" applyAlignment="1">
      <alignment horizontal="left" vertical="center"/>
    </xf>
    <xf numFmtId="0" fontId="17" fillId="11" borderId="26" xfId="0" applyFont="1" applyFill="1" applyBorder="1" applyAlignment="1">
      <alignment horizontal="left" vertical="center"/>
    </xf>
    <xf numFmtId="49" fontId="8" fillId="9" borderId="56" xfId="116" applyNumberFormat="1" applyFont="1" applyFill="1" applyBorder="1" applyAlignment="1" applyProtection="1">
      <alignment horizontal="center" vertical="center"/>
      <protection locked="0"/>
    </xf>
    <xf numFmtId="49" fontId="8" fillId="9" borderId="30" xfId="116" applyNumberFormat="1" applyFont="1" applyFill="1" applyBorder="1" applyAlignment="1" applyProtection="1">
      <alignment horizontal="center" vertical="center"/>
      <protection locked="0"/>
    </xf>
    <xf numFmtId="0" fontId="8" fillId="2" borderId="27" xfId="0" applyFont="1" applyFill="1" applyBorder="1" applyAlignment="1">
      <alignment horizontal="center"/>
    </xf>
    <xf numFmtId="0" fontId="8" fillId="2" borderId="36" xfId="0" applyFont="1" applyFill="1" applyBorder="1" applyAlignment="1">
      <alignment horizontal="center"/>
    </xf>
    <xf numFmtId="0" fontId="8" fillId="2" borderId="48" xfId="0" applyFont="1" applyFill="1" applyBorder="1" applyAlignment="1">
      <alignment horizontal="center"/>
    </xf>
    <xf numFmtId="0" fontId="0" fillId="11" borderId="11" xfId="0" applyFill="1" applyBorder="1" applyAlignment="1">
      <alignment horizontal="center"/>
    </xf>
    <xf numFmtId="0" fontId="18" fillId="11" borderId="20" xfId="0" applyFont="1" applyFill="1" applyBorder="1" applyAlignment="1">
      <alignment horizontal="center" vertical="center"/>
    </xf>
    <xf numFmtId="0" fontId="18" fillId="11" borderId="21" xfId="0" applyFont="1" applyFill="1" applyBorder="1" applyAlignment="1">
      <alignment horizontal="center" vertical="center"/>
    </xf>
    <xf numFmtId="0" fontId="18" fillId="11" borderId="41" xfId="0" applyFont="1" applyFill="1" applyBorder="1" applyAlignment="1">
      <alignment horizontal="center" vertical="center"/>
    </xf>
    <xf numFmtId="0" fontId="17" fillId="11" borderId="29" xfId="0" applyFont="1" applyFill="1" applyBorder="1" applyAlignment="1">
      <alignment horizontal="center" vertical="center" wrapText="1"/>
    </xf>
    <xf numFmtId="0" fontId="17" fillId="11" borderId="26" xfId="0" applyFont="1" applyFill="1" applyBorder="1" applyAlignment="1">
      <alignment horizontal="center" vertical="center"/>
    </xf>
    <xf numFmtId="0" fontId="17" fillId="11" borderId="30" xfId="0" applyFont="1" applyFill="1" applyBorder="1" applyAlignment="1">
      <alignment horizontal="center" vertical="center"/>
    </xf>
    <xf numFmtId="0" fontId="8" fillId="2" borderId="10" xfId="0" applyFont="1" applyFill="1" applyBorder="1"/>
    <xf numFmtId="0" fontId="8" fillId="2" borderId="0" xfId="0" applyFont="1" applyFill="1" applyAlignment="1">
      <alignment horizontal="left" vertical="center" wrapText="1"/>
    </xf>
    <xf numFmtId="0" fontId="6" fillId="0" borderId="14" xfId="114" applyFont="1" applyBorder="1" applyAlignment="1">
      <alignment vertical="center" wrapText="1"/>
    </xf>
    <xf numFmtId="0" fontId="6" fillId="0" borderId="18" xfId="114" applyFont="1" applyBorder="1" applyAlignment="1">
      <alignment vertical="center" wrapText="1"/>
    </xf>
    <xf numFmtId="0" fontId="6" fillId="0" borderId="19" xfId="114" applyFont="1" applyBorder="1" applyAlignment="1">
      <alignment vertical="center" wrapText="1"/>
    </xf>
    <xf numFmtId="0" fontId="6" fillId="0" borderId="14" xfId="114" applyFont="1" applyBorder="1" applyAlignment="1">
      <alignment vertical="center"/>
    </xf>
    <xf numFmtId="0" fontId="6" fillId="0" borderId="18" xfId="114" applyFont="1" applyBorder="1" applyAlignment="1">
      <alignment vertical="center"/>
    </xf>
    <xf numFmtId="0" fontId="6" fillId="0" borderId="19" xfId="114" applyFont="1" applyBorder="1" applyAlignment="1">
      <alignment vertical="center"/>
    </xf>
    <xf numFmtId="0" fontId="6" fillId="0" borderId="14" xfId="114" applyFont="1" applyBorder="1" applyAlignment="1">
      <alignment horizontal="left" vertical="center" wrapText="1"/>
    </xf>
    <xf numFmtId="0" fontId="6" fillId="0" borderId="18" xfId="114" applyFont="1" applyBorder="1" applyAlignment="1">
      <alignment horizontal="left" vertical="center" wrapText="1"/>
    </xf>
    <xf numFmtId="0" fontId="6" fillId="0" borderId="19" xfId="114" applyFont="1" applyBorder="1" applyAlignment="1">
      <alignment horizontal="left" vertical="center" wrapText="1"/>
    </xf>
    <xf numFmtId="0" fontId="5" fillId="0" borderId="11" xfId="114" applyBorder="1" applyAlignment="1">
      <alignment horizontal="center"/>
    </xf>
    <xf numFmtId="0" fontId="8" fillId="3" borderId="14" xfId="114" applyFont="1" applyFill="1" applyBorder="1" applyAlignment="1">
      <alignment horizontal="left" vertical="center" wrapText="1"/>
    </xf>
    <xf numFmtId="0" fontId="8" fillId="3" borderId="18" xfId="114" applyFont="1" applyFill="1" applyBorder="1" applyAlignment="1">
      <alignment horizontal="left" vertical="center" wrapText="1"/>
    </xf>
    <xf numFmtId="0" fontId="8" fillId="3" borderId="19" xfId="114" applyFont="1" applyFill="1" applyBorder="1" applyAlignment="1">
      <alignment horizontal="left" vertical="center" wrapText="1"/>
    </xf>
    <xf numFmtId="0" fontId="8" fillId="3" borderId="13" xfId="114" applyFont="1" applyFill="1" applyBorder="1" applyAlignment="1">
      <alignment horizontal="left" vertical="center" wrapText="1"/>
    </xf>
    <xf numFmtId="0" fontId="8" fillId="3" borderId="1" xfId="114" applyFont="1" applyFill="1" applyBorder="1" applyAlignment="1">
      <alignment horizontal="left" vertical="center" wrapText="1"/>
    </xf>
    <xf numFmtId="166" fontId="6" fillId="0" borderId="14" xfId="114" applyNumberFormat="1" applyFont="1" applyBorder="1" applyAlignment="1">
      <alignment vertical="center" wrapText="1"/>
    </xf>
    <xf numFmtId="166" fontId="6" fillId="0" borderId="18" xfId="114" applyNumberFormat="1" applyFont="1" applyBorder="1" applyAlignment="1">
      <alignment vertical="center" wrapText="1"/>
    </xf>
    <xf numFmtId="166" fontId="6" fillId="0" borderId="19" xfId="114" applyNumberFormat="1" applyFont="1" applyBorder="1" applyAlignment="1">
      <alignment vertical="center" wrapText="1"/>
    </xf>
    <xf numFmtId="0" fontId="6" fillId="0" borderId="42" xfId="114" quotePrefix="1" applyFont="1" applyBorder="1" applyAlignment="1">
      <alignment horizontal="left" vertical="center" wrapText="1"/>
    </xf>
    <xf numFmtId="0" fontId="6" fillId="0" borderId="44" xfId="114" applyFont="1" applyBorder="1" applyAlignment="1">
      <alignment horizontal="left" vertical="center" wrapText="1"/>
    </xf>
    <xf numFmtId="0" fontId="6" fillId="0" borderId="43" xfId="114" applyFont="1" applyBorder="1" applyAlignment="1">
      <alignment horizontal="left" vertical="center" wrapText="1"/>
    </xf>
    <xf numFmtId="0" fontId="6" fillId="0" borderId="29" xfId="114" applyFont="1" applyBorder="1" applyAlignment="1">
      <alignment vertical="center" wrapText="1"/>
    </xf>
    <xf numFmtId="0" fontId="6" fillId="0" borderId="26" xfId="114" applyFont="1" applyBorder="1" applyAlignment="1">
      <alignment vertical="center" wrapText="1"/>
    </xf>
    <xf numFmtId="0" fontId="6" fillId="0" borderId="31" xfId="114" applyFont="1" applyBorder="1" applyAlignment="1">
      <alignment vertical="center" wrapText="1"/>
    </xf>
    <xf numFmtId="0" fontId="6" fillId="0" borderId="10" xfId="114" applyFont="1" applyBorder="1"/>
    <xf numFmtId="0" fontId="6" fillId="0" borderId="29" xfId="114" applyFont="1" applyBorder="1" applyAlignment="1">
      <alignment vertical="center"/>
    </xf>
    <xf numFmtId="0" fontId="6" fillId="0" borderId="26" xfId="114" applyFont="1" applyBorder="1" applyAlignment="1">
      <alignment vertical="center"/>
    </xf>
    <xf numFmtId="0" fontId="6" fillId="0" borderId="31" xfId="114" applyFont="1" applyBorder="1" applyAlignment="1">
      <alignment vertical="center"/>
    </xf>
    <xf numFmtId="0" fontId="8" fillId="0" borderId="42" xfId="114" applyFont="1" applyBorder="1" applyAlignment="1">
      <alignment vertical="center" wrapText="1"/>
    </xf>
    <xf numFmtId="0" fontId="8" fillId="0" borderId="44" xfId="114" applyFont="1" applyBorder="1" applyAlignment="1">
      <alignment vertical="center" wrapText="1"/>
    </xf>
    <xf numFmtId="0" fontId="8" fillId="0" borderId="43" xfId="114" applyFont="1" applyBorder="1" applyAlignment="1">
      <alignment vertical="center" wrapText="1"/>
    </xf>
    <xf numFmtId="0" fontId="6" fillId="0" borderId="27" xfId="114" applyFont="1" applyBorder="1" applyAlignment="1">
      <alignment horizontal="left" vertical="center" wrapText="1"/>
    </xf>
    <xf numFmtId="0" fontId="6" fillId="0" borderId="36" xfId="114" applyFont="1" applyBorder="1" applyAlignment="1">
      <alignment horizontal="left" vertical="center" wrapText="1"/>
    </xf>
    <xf numFmtId="0" fontId="6" fillId="0" borderId="28" xfId="114" applyFont="1" applyBorder="1" applyAlignment="1">
      <alignment horizontal="left" vertical="center" wrapText="1"/>
    </xf>
    <xf numFmtId="0" fontId="8" fillId="3" borderId="16" xfId="114" applyFont="1" applyFill="1" applyBorder="1" applyAlignment="1">
      <alignment horizontal="left" vertical="center" wrapText="1"/>
    </xf>
    <xf numFmtId="0" fontId="8" fillId="3" borderId="35" xfId="114" applyFont="1" applyFill="1" applyBorder="1" applyAlignment="1">
      <alignment horizontal="left" vertical="center" wrapText="1"/>
    </xf>
    <xf numFmtId="0" fontId="8" fillId="3" borderId="17" xfId="114" applyFont="1" applyFill="1" applyBorder="1" applyAlignment="1">
      <alignment horizontal="left" vertical="center" wrapText="1"/>
    </xf>
    <xf numFmtId="0" fontId="6" fillId="0" borderId="5" xfId="114" applyFont="1" applyBorder="1" applyAlignment="1">
      <alignment vertical="center" wrapText="1"/>
    </xf>
    <xf numFmtId="0" fontId="6" fillId="0" borderId="11" xfId="114" applyFont="1" applyBorder="1" applyAlignment="1">
      <alignment vertical="center" wrapText="1"/>
    </xf>
    <xf numFmtId="0" fontId="6" fillId="0" borderId="25" xfId="114" applyFont="1" applyBorder="1" applyAlignment="1">
      <alignment vertical="center" wrapText="1"/>
    </xf>
    <xf numFmtId="0" fontId="6" fillId="0" borderId="42" xfId="114" applyFont="1" applyBorder="1" applyAlignment="1">
      <alignment horizontal="left" vertical="center" wrapText="1"/>
    </xf>
    <xf numFmtId="0" fontId="10" fillId="5" borderId="16" xfId="114" applyFont="1" applyFill="1" applyBorder="1" applyAlignment="1" applyProtection="1">
      <alignment horizontal="center" vertical="center"/>
      <protection hidden="1"/>
    </xf>
    <xf numFmtId="0" fontId="10" fillId="5" borderId="35" xfId="114" applyFont="1" applyFill="1" applyBorder="1" applyAlignment="1" applyProtection="1">
      <alignment horizontal="center" vertical="center"/>
      <protection hidden="1"/>
    </xf>
    <xf numFmtId="0" fontId="10" fillId="5" borderId="17" xfId="114" applyFont="1" applyFill="1" applyBorder="1" applyAlignment="1" applyProtection="1">
      <alignment horizontal="center" vertical="center"/>
      <protection hidden="1"/>
    </xf>
    <xf numFmtId="168" fontId="6" fillId="0" borderId="34" xfId="116" applyNumberFormat="1" applyFont="1" applyBorder="1" applyAlignment="1" applyProtection="1">
      <alignment vertical="center" wrapText="1"/>
      <protection hidden="1"/>
    </xf>
    <xf numFmtId="168" fontId="6" fillId="0" borderId="19" xfId="116" applyNumberFormat="1" applyFont="1" applyBorder="1" applyAlignment="1" applyProtection="1">
      <alignment vertical="center" wrapText="1"/>
      <protection hidden="1"/>
    </xf>
    <xf numFmtId="0" fontId="21" fillId="5" borderId="16" xfId="114" applyFont="1" applyFill="1" applyBorder="1" applyAlignment="1">
      <alignment horizontal="center" vertical="center"/>
    </xf>
    <xf numFmtId="0" fontId="21" fillId="5" borderId="35" xfId="114" applyFont="1" applyFill="1" applyBorder="1" applyAlignment="1">
      <alignment horizontal="center" vertical="center"/>
    </xf>
    <xf numFmtId="0" fontId="21" fillId="5" borderId="17" xfId="114" applyFont="1" applyFill="1" applyBorder="1" applyAlignment="1">
      <alignment horizontal="center" vertical="center"/>
    </xf>
    <xf numFmtId="166" fontId="6" fillId="0" borderId="16" xfId="114" applyNumberFormat="1" applyFont="1" applyBorder="1" applyAlignment="1" applyProtection="1">
      <alignment vertical="center"/>
      <protection hidden="1"/>
    </xf>
    <xf numFmtId="166" fontId="6" fillId="0" borderId="35" xfId="114" applyNumberFormat="1" applyFont="1" applyBorder="1" applyAlignment="1" applyProtection="1">
      <alignment vertical="center"/>
      <protection hidden="1"/>
    </xf>
    <xf numFmtId="166" fontId="6" fillId="0" borderId="17" xfId="114" applyNumberFormat="1" applyFont="1" applyBorder="1" applyAlignment="1" applyProtection="1">
      <alignment vertical="center"/>
      <protection hidden="1"/>
    </xf>
    <xf numFmtId="0" fontId="8" fillId="5" borderId="69" xfId="114" applyFont="1" applyFill="1" applyBorder="1" applyAlignment="1" applyProtection="1">
      <alignment horizontal="center" vertical="center"/>
      <protection hidden="1"/>
    </xf>
    <xf numFmtId="0" fontId="8" fillId="5" borderId="22" xfId="114" applyFont="1" applyFill="1" applyBorder="1" applyAlignment="1" applyProtection="1">
      <alignment horizontal="center" vertical="center"/>
      <protection hidden="1"/>
    </xf>
    <xf numFmtId="0" fontId="8" fillId="3" borderId="20" xfId="114" applyFont="1" applyFill="1" applyBorder="1" applyAlignment="1" applyProtection="1">
      <alignment vertical="center" wrapText="1"/>
      <protection hidden="1"/>
    </xf>
    <xf numFmtId="0" fontId="8" fillId="3" borderId="21" xfId="114" applyFont="1" applyFill="1" applyBorder="1" applyAlignment="1" applyProtection="1">
      <alignment vertical="center" wrapText="1"/>
      <protection hidden="1"/>
    </xf>
    <xf numFmtId="0" fontId="8" fillId="3" borderId="22" xfId="114" applyFont="1" applyFill="1" applyBorder="1" applyAlignment="1" applyProtection="1">
      <alignment vertical="center" wrapText="1"/>
      <protection hidden="1"/>
    </xf>
    <xf numFmtId="0" fontId="6" fillId="0" borderId="14" xfId="114" applyFont="1" applyBorder="1" applyAlignment="1" applyProtection="1">
      <alignment vertical="center" wrapText="1"/>
      <protection hidden="1"/>
    </xf>
    <xf numFmtId="0" fontId="6" fillId="0" borderId="18" xfId="114" applyFont="1" applyBorder="1" applyAlignment="1" applyProtection="1">
      <alignment vertical="center" wrapText="1"/>
      <protection hidden="1"/>
    </xf>
    <xf numFmtId="0" fontId="6" fillId="0" borderId="19" xfId="114" applyFont="1" applyBorder="1" applyAlignment="1" applyProtection="1">
      <alignment vertical="center" wrapText="1"/>
      <protection hidden="1"/>
    </xf>
    <xf numFmtId="166" fontId="6" fillId="0" borderId="21" xfId="114" applyNumberFormat="1" applyFont="1" applyBorder="1" applyAlignment="1">
      <alignment horizontal="right" vertical="center"/>
    </xf>
    <xf numFmtId="166" fontId="6" fillId="0" borderId="41" xfId="114" applyNumberFormat="1" applyFont="1" applyBorder="1" applyAlignment="1">
      <alignment horizontal="right" vertical="center"/>
    </xf>
    <xf numFmtId="166" fontId="6" fillId="0" borderId="20" xfId="114" applyNumberFormat="1" applyFont="1" applyBorder="1" applyAlignment="1">
      <alignment vertical="center"/>
    </xf>
    <xf numFmtId="166" fontId="6" fillId="0" borderId="21" xfId="114" applyNumberFormat="1" applyFont="1" applyBorder="1" applyAlignment="1">
      <alignment vertical="center"/>
    </xf>
    <xf numFmtId="0" fontId="6" fillId="0" borderId="16" xfId="114" applyFont="1" applyBorder="1" applyAlignment="1" applyProtection="1">
      <alignment vertical="center" wrapText="1"/>
      <protection hidden="1"/>
    </xf>
    <xf numFmtId="0" fontId="6" fillId="0" borderId="35" xfId="114" applyFont="1" applyBorder="1" applyAlignment="1" applyProtection="1">
      <alignment vertical="center" wrapText="1"/>
      <protection hidden="1"/>
    </xf>
    <xf numFmtId="0" fontId="6" fillId="0" borderId="61" xfId="114" applyFont="1" applyBorder="1" applyAlignment="1" applyProtection="1">
      <alignment vertical="center" wrapText="1"/>
      <protection hidden="1"/>
    </xf>
    <xf numFmtId="0" fontId="6" fillId="0" borderId="42" xfId="114" applyFont="1" applyBorder="1" applyAlignment="1" applyProtection="1">
      <alignment horizontal="left" vertical="center" wrapText="1"/>
      <protection hidden="1"/>
    </xf>
    <xf numFmtId="0" fontId="6" fillId="0" borderId="43" xfId="114" applyFont="1" applyBorder="1" applyAlignment="1" applyProtection="1">
      <alignment horizontal="left" vertical="center" wrapText="1"/>
      <protection hidden="1"/>
    </xf>
    <xf numFmtId="0" fontId="6" fillId="0" borderId="2" xfId="114" applyFont="1" applyBorder="1" applyAlignment="1" applyProtection="1">
      <alignment horizontal="left" vertical="center" wrapText="1"/>
      <protection hidden="1"/>
    </xf>
    <xf numFmtId="0" fontId="6" fillId="0" borderId="58" xfId="114" applyFont="1" applyBorder="1" applyAlignment="1" applyProtection="1">
      <alignment horizontal="left" vertical="center" wrapText="1"/>
      <protection hidden="1"/>
    </xf>
    <xf numFmtId="0" fontId="6" fillId="0" borderId="29" xfId="114" applyFont="1" applyBorder="1" applyAlignment="1" applyProtection="1">
      <alignment horizontal="left" vertical="center" wrapText="1"/>
      <protection hidden="1"/>
    </xf>
    <xf numFmtId="0" fontId="6" fillId="0" borderId="31" xfId="114" applyFont="1" applyBorder="1" applyAlignment="1" applyProtection="1">
      <alignment horizontal="left" vertical="center" wrapText="1"/>
      <protection hidden="1"/>
    </xf>
    <xf numFmtId="168" fontId="6" fillId="0" borderId="60" xfId="116" applyNumberFormat="1" applyFont="1" applyBorder="1" applyAlignment="1" applyProtection="1">
      <alignment vertical="center" wrapText="1"/>
      <protection hidden="1"/>
    </xf>
    <xf numFmtId="168" fontId="6" fillId="0" borderId="1" xfId="116" applyNumberFormat="1" applyFont="1" applyBorder="1" applyAlignment="1" applyProtection="1">
      <alignment vertical="center" wrapText="1"/>
      <protection hidden="1"/>
    </xf>
    <xf numFmtId="168" fontId="6" fillId="0" borderId="52" xfId="116" applyNumberFormat="1" applyFont="1" applyBorder="1" applyAlignment="1" applyProtection="1">
      <alignment vertical="center" wrapText="1"/>
      <protection hidden="1"/>
    </xf>
    <xf numFmtId="168" fontId="6" fillId="0" borderId="28" xfId="116" applyNumberFormat="1" applyFont="1" applyBorder="1" applyAlignment="1" applyProtection="1">
      <alignment vertical="center" wrapText="1"/>
      <protection hidden="1"/>
    </xf>
    <xf numFmtId="0" fontId="5" fillId="0" borderId="10" xfId="114" applyBorder="1"/>
    <xf numFmtId="0" fontId="6" fillId="0" borderId="27" xfId="114" applyFont="1" applyBorder="1" applyAlignment="1" applyProtection="1">
      <alignment vertical="center" wrapText="1"/>
      <protection hidden="1"/>
    </xf>
    <xf numFmtId="0" fontId="6" fillId="0" borderId="36" xfId="114" applyFont="1" applyBorder="1" applyAlignment="1" applyProtection="1">
      <alignment vertical="center" wrapText="1"/>
      <protection hidden="1"/>
    </xf>
    <xf numFmtId="0" fontId="6" fillId="0" borderId="28" xfId="114" applyFont="1" applyBorder="1" applyAlignment="1" applyProtection="1">
      <alignment vertical="center" wrapText="1"/>
      <protection hidden="1"/>
    </xf>
    <xf numFmtId="0" fontId="6" fillId="0" borderId="20" xfId="114" applyFont="1" applyBorder="1" applyAlignment="1">
      <alignment horizontal="left" vertical="center" wrapText="1"/>
    </xf>
    <xf numFmtId="0" fontId="6" fillId="0" borderId="21" xfId="114" applyFont="1" applyBorder="1" applyAlignment="1">
      <alignment horizontal="left" vertical="center" wrapText="1"/>
    </xf>
    <xf numFmtId="0" fontId="6" fillId="0" borderId="22" xfId="114" applyFont="1" applyBorder="1" applyAlignment="1">
      <alignment horizontal="left" vertical="center" wrapText="1"/>
    </xf>
    <xf numFmtId="0" fontId="8" fillId="3" borderId="42" xfId="114" applyFont="1" applyFill="1" applyBorder="1" applyAlignment="1">
      <alignment horizontal="left" vertical="center" wrapText="1"/>
    </xf>
    <xf numFmtId="0" fontId="8" fillId="3" borderId="44" xfId="114" applyFont="1" applyFill="1" applyBorder="1" applyAlignment="1">
      <alignment horizontal="left" vertical="center" wrapText="1"/>
    </xf>
    <xf numFmtId="0" fontId="8" fillId="3" borderId="43" xfId="114" applyFont="1" applyFill="1" applyBorder="1" applyAlignment="1">
      <alignment horizontal="left" vertical="center" wrapText="1"/>
    </xf>
    <xf numFmtId="0" fontId="6" fillId="0" borderId="14" xfId="114" applyFont="1" applyBorder="1" applyAlignment="1">
      <alignment horizontal="left" vertical="center"/>
    </xf>
    <xf numFmtId="0" fontId="6" fillId="0" borderId="18" xfId="114" applyFont="1" applyBorder="1" applyAlignment="1">
      <alignment horizontal="left" vertical="center"/>
    </xf>
    <xf numFmtId="0" fontId="6" fillId="0" borderId="19" xfId="114" applyFont="1" applyBorder="1" applyAlignment="1">
      <alignment horizontal="left" vertical="center"/>
    </xf>
    <xf numFmtId="0" fontId="6" fillId="0" borderId="0" xfId="114" applyFont="1"/>
    <xf numFmtId="0" fontId="6" fillId="7" borderId="2" xfId="114" applyFont="1" applyFill="1" applyBorder="1" applyAlignment="1">
      <alignment horizontal="left" vertical="center" wrapText="1"/>
    </xf>
    <xf numFmtId="0" fontId="6" fillId="7" borderId="0" xfId="114" applyFont="1" applyFill="1" applyAlignment="1">
      <alignment horizontal="left" vertical="center" wrapText="1"/>
    </xf>
    <xf numFmtId="0" fontId="6" fillId="7" borderId="3" xfId="114" applyFont="1" applyFill="1" applyBorder="1" applyAlignment="1">
      <alignment horizontal="left" vertical="center" wrapText="1"/>
    </xf>
    <xf numFmtId="0" fontId="6" fillId="9" borderId="14" xfId="114" applyFont="1" applyFill="1" applyBorder="1" applyAlignment="1" applyProtection="1">
      <alignment horizontal="center"/>
      <protection locked="0"/>
    </xf>
    <xf numFmtId="0" fontId="6" fillId="9" borderId="18" xfId="114" applyFont="1" applyFill="1" applyBorder="1" applyAlignment="1" applyProtection="1">
      <alignment horizontal="center"/>
      <protection locked="0"/>
    </xf>
    <xf numFmtId="0" fontId="6" fillId="9" borderId="19" xfId="114" applyFont="1" applyFill="1" applyBorder="1" applyAlignment="1" applyProtection="1">
      <alignment horizontal="center"/>
      <protection locked="0"/>
    </xf>
    <xf numFmtId="0" fontId="8" fillId="2" borderId="52" xfId="114" applyFont="1" applyFill="1" applyBorder="1" applyAlignment="1">
      <alignment horizontal="left"/>
    </xf>
    <xf numFmtId="0" fontId="8" fillId="2" borderId="36" xfId="114" applyFont="1" applyFill="1" applyBorder="1" applyAlignment="1">
      <alignment horizontal="left"/>
    </xf>
    <xf numFmtId="0" fontId="8" fillId="2" borderId="48" xfId="114" applyFont="1" applyFill="1" applyBorder="1" applyAlignment="1">
      <alignment horizontal="left"/>
    </xf>
    <xf numFmtId="0" fontId="8" fillId="2" borderId="5" xfId="114" applyFont="1" applyFill="1" applyBorder="1" applyAlignment="1">
      <alignment horizontal="left"/>
    </xf>
    <xf numFmtId="0" fontId="8" fillId="2" borderId="11" xfId="114" applyFont="1" applyFill="1" applyBorder="1" applyAlignment="1">
      <alignment horizontal="left"/>
    </xf>
    <xf numFmtId="0" fontId="8" fillId="2" borderId="25" xfId="114" applyFont="1" applyFill="1" applyBorder="1" applyAlignment="1">
      <alignment horizontal="left"/>
    </xf>
    <xf numFmtId="0" fontId="6" fillId="9" borderId="34" xfId="114" applyFont="1" applyFill="1" applyBorder="1" applyAlignment="1" applyProtection="1">
      <alignment horizontal="center"/>
      <protection locked="0"/>
    </xf>
    <xf numFmtId="0" fontId="6" fillId="9" borderId="47" xfId="114" applyFont="1" applyFill="1" applyBorder="1" applyAlignment="1" applyProtection="1">
      <alignment horizontal="center"/>
      <protection locked="0"/>
    </xf>
    <xf numFmtId="0" fontId="6" fillId="0" borderId="8" xfId="114" applyFont="1" applyBorder="1" applyAlignment="1">
      <alignment horizontal="left" vertical="center" wrapText="1"/>
    </xf>
    <xf numFmtId="0" fontId="6" fillId="0" borderId="10" xfId="114" applyFont="1" applyBorder="1" applyAlignment="1">
      <alignment horizontal="left" vertical="center" wrapText="1"/>
    </xf>
    <xf numFmtId="0" fontId="6" fillId="0" borderId="9" xfId="114" applyFont="1" applyBorder="1" applyAlignment="1">
      <alignment horizontal="left" vertical="center" wrapText="1"/>
    </xf>
    <xf numFmtId="0" fontId="6" fillId="0" borderId="29" xfId="114" applyFont="1" applyBorder="1" applyAlignment="1">
      <alignment horizontal="left" vertical="center" wrapText="1"/>
    </xf>
    <xf numFmtId="0" fontId="6" fillId="0" borderId="26" xfId="114" applyFont="1" applyBorder="1" applyAlignment="1">
      <alignment horizontal="left" vertical="center" wrapText="1"/>
    </xf>
    <xf numFmtId="0" fontId="6" fillId="0" borderId="30" xfId="114" applyFont="1" applyBorder="1" applyAlignment="1">
      <alignment horizontal="left" vertical="center" wrapText="1"/>
    </xf>
    <xf numFmtId="0" fontId="6" fillId="7" borderId="5" xfId="114" applyFont="1" applyFill="1" applyBorder="1" applyAlignment="1">
      <alignment horizontal="left" vertical="center" wrapText="1"/>
    </xf>
    <xf numFmtId="0" fontId="6" fillId="7" borderId="11" xfId="114" applyFont="1" applyFill="1" applyBorder="1" applyAlignment="1">
      <alignment horizontal="left" vertical="center" wrapText="1"/>
    </xf>
    <xf numFmtId="0" fontId="8" fillId="2" borderId="34" xfId="114" applyFont="1" applyFill="1" applyBorder="1" applyAlignment="1">
      <alignment horizontal="left"/>
    </xf>
    <xf numFmtId="0" fontId="8" fillId="2" borderId="18" xfId="114" applyFont="1" applyFill="1" applyBorder="1" applyAlignment="1">
      <alignment horizontal="left"/>
    </xf>
    <xf numFmtId="0" fontId="8" fillId="2" borderId="47" xfId="114" applyFont="1" applyFill="1" applyBorder="1" applyAlignment="1">
      <alignment horizontal="left"/>
    </xf>
    <xf numFmtId="0" fontId="8" fillId="2" borderId="14" xfId="114" applyFont="1" applyFill="1" applyBorder="1" applyAlignment="1">
      <alignment horizontal="left"/>
    </xf>
    <xf numFmtId="0" fontId="8" fillId="2" borderId="19" xfId="114" applyFont="1" applyFill="1" applyBorder="1" applyAlignment="1">
      <alignment horizontal="left"/>
    </xf>
    <xf numFmtId="0" fontId="6" fillId="9" borderId="29" xfId="114" applyFont="1" applyFill="1" applyBorder="1" applyAlignment="1" applyProtection="1">
      <alignment horizontal="center" wrapText="1"/>
      <protection locked="0"/>
    </xf>
    <xf numFmtId="0" fontId="6" fillId="9" borderId="26" xfId="114" applyFont="1" applyFill="1" applyBorder="1" applyAlignment="1" applyProtection="1">
      <alignment horizontal="center"/>
      <protection locked="0"/>
    </xf>
    <xf numFmtId="0" fontId="6" fillId="9" borderId="31" xfId="114" applyFont="1" applyFill="1" applyBorder="1" applyAlignment="1" applyProtection="1">
      <alignment horizontal="center"/>
      <protection locked="0"/>
    </xf>
    <xf numFmtId="170" fontId="6" fillId="9" borderId="46" xfId="114" applyNumberFormat="1" applyFont="1" applyFill="1" applyBorder="1" applyAlignment="1" applyProtection="1">
      <alignment horizontal="center" vertical="center" wrapText="1"/>
      <protection locked="0"/>
    </xf>
    <xf numFmtId="170" fontId="6" fillId="9" borderId="15" xfId="114" applyNumberFormat="1" applyFont="1" applyFill="1" applyBorder="1" applyAlignment="1" applyProtection="1">
      <alignment horizontal="center" vertical="center" wrapText="1"/>
      <protection locked="0"/>
    </xf>
    <xf numFmtId="0" fontId="0" fillId="9" borderId="57" xfId="0" applyFill="1" applyBorder="1" applyAlignment="1" applyProtection="1">
      <alignment horizontal="center" vertical="center"/>
      <protection locked="0"/>
    </xf>
    <xf numFmtId="0" fontId="0" fillId="9" borderId="44" xfId="0" applyFill="1" applyBorder="1" applyAlignment="1" applyProtection="1">
      <alignment horizontal="center" vertical="center"/>
      <protection locked="0"/>
    </xf>
    <xf numFmtId="0" fontId="0" fillId="9" borderId="59" xfId="0" applyFill="1" applyBorder="1" applyAlignment="1" applyProtection="1">
      <alignment horizontal="center" vertical="center"/>
      <protection locked="0"/>
    </xf>
    <xf numFmtId="0" fontId="0" fillId="9" borderId="54" xfId="0" applyFill="1" applyBorder="1" applyAlignment="1" applyProtection="1">
      <alignment horizontal="center" vertical="center"/>
      <protection locked="0"/>
    </xf>
    <xf numFmtId="0" fontId="0" fillId="9" borderId="0" xfId="0" applyFill="1" applyAlignment="1" applyProtection="1">
      <alignment horizontal="center" vertical="center"/>
      <protection locked="0"/>
    </xf>
    <xf numFmtId="0" fontId="0" fillId="9" borderId="3" xfId="0" applyFill="1" applyBorder="1" applyAlignment="1" applyProtection="1">
      <alignment horizontal="center" vertical="center"/>
      <protection locked="0"/>
    </xf>
    <xf numFmtId="0" fontId="0" fillId="9" borderId="56" xfId="0" applyFill="1" applyBorder="1" applyAlignment="1" applyProtection="1">
      <alignment horizontal="center" vertical="center"/>
      <protection locked="0"/>
    </xf>
    <xf numFmtId="0" fontId="0" fillId="9" borderId="26" xfId="0" applyFill="1" applyBorder="1" applyAlignment="1" applyProtection="1">
      <alignment horizontal="center" vertical="center"/>
      <protection locked="0"/>
    </xf>
    <xf numFmtId="0" fontId="0" fillId="9" borderId="30" xfId="0" applyFill="1" applyBorder="1" applyAlignment="1" applyProtection="1">
      <alignment horizontal="center" vertical="center"/>
      <protection locked="0"/>
    </xf>
    <xf numFmtId="0" fontId="6" fillId="2" borderId="14" xfId="114" applyFont="1" applyFill="1" applyBorder="1" applyAlignment="1">
      <alignment horizontal="center"/>
    </xf>
    <xf numFmtId="0" fontId="6" fillId="2" borderId="19" xfId="114" applyFont="1" applyFill="1" applyBorder="1" applyAlignment="1">
      <alignment horizontal="center"/>
    </xf>
    <xf numFmtId="0" fontId="6" fillId="9" borderId="14" xfId="114" applyFont="1" applyFill="1" applyBorder="1" applyAlignment="1" applyProtection="1">
      <alignment horizontal="left"/>
      <protection locked="0"/>
    </xf>
    <xf numFmtId="0" fontId="6" fillId="9" borderId="19" xfId="114" applyFont="1" applyFill="1" applyBorder="1" applyAlignment="1" applyProtection="1">
      <alignment horizontal="left"/>
      <protection locked="0"/>
    </xf>
    <xf numFmtId="0" fontId="8" fillId="2" borderId="16" xfId="114" applyFont="1" applyFill="1" applyBorder="1" applyAlignment="1">
      <alignment horizontal="left"/>
    </xf>
    <xf numFmtId="0" fontId="8" fillId="2" borderId="35" xfId="114" applyFont="1" applyFill="1" applyBorder="1" applyAlignment="1">
      <alignment horizontal="left"/>
    </xf>
    <xf numFmtId="0" fontId="8" fillId="2" borderId="34" xfId="114" applyFont="1" applyFill="1" applyBorder="1"/>
    <xf numFmtId="0" fontId="8" fillId="2" borderId="19" xfId="114" applyFont="1" applyFill="1" applyBorder="1"/>
    <xf numFmtId="0" fontId="6" fillId="9" borderId="2" xfId="114" applyFont="1" applyFill="1" applyBorder="1" applyAlignment="1" applyProtection="1">
      <alignment horizontal="center"/>
      <protection locked="0"/>
    </xf>
    <xf numFmtId="0" fontId="6" fillId="9" borderId="0" xfId="114" applyFont="1" applyFill="1" applyAlignment="1" applyProtection="1">
      <alignment horizontal="center"/>
      <protection locked="0"/>
    </xf>
    <xf numFmtId="0" fontId="6" fillId="9" borderId="58" xfId="114" applyFont="1" applyFill="1" applyBorder="1" applyAlignment="1" applyProtection="1">
      <alignment horizontal="center"/>
      <protection locked="0"/>
    </xf>
    <xf numFmtId="0" fontId="6" fillId="9" borderId="42" xfId="114" applyFont="1" applyFill="1" applyBorder="1" applyAlignment="1" applyProtection="1">
      <alignment horizontal="center" wrapText="1"/>
      <protection locked="0"/>
    </xf>
    <xf numFmtId="0" fontId="6" fillId="9" borderId="44" xfId="114" applyFont="1" applyFill="1" applyBorder="1" applyAlignment="1" applyProtection="1">
      <alignment horizontal="center" wrapText="1"/>
      <protection locked="0"/>
    </xf>
    <xf numFmtId="0" fontId="6" fillId="9" borderId="43" xfId="114" applyFont="1" applyFill="1" applyBorder="1" applyAlignment="1" applyProtection="1">
      <alignment horizontal="center" wrapText="1"/>
      <protection locked="0"/>
    </xf>
    <xf numFmtId="0" fontId="6" fillId="9" borderId="57" xfId="114" applyFont="1" applyFill="1" applyBorder="1" applyAlignment="1" applyProtection="1">
      <alignment horizontal="center" vertical="center" wrapText="1"/>
      <protection locked="0"/>
    </xf>
    <xf numFmtId="0" fontId="6" fillId="9" borderId="43" xfId="114" applyFont="1" applyFill="1" applyBorder="1" applyAlignment="1" applyProtection="1">
      <alignment horizontal="center" vertical="center" wrapText="1"/>
      <protection locked="0"/>
    </xf>
    <xf numFmtId="0" fontId="6" fillId="9" borderId="56" xfId="114" applyFont="1" applyFill="1" applyBorder="1" applyAlignment="1" applyProtection="1">
      <alignment horizontal="center" vertical="center" wrapText="1"/>
      <protection locked="0"/>
    </xf>
    <xf numFmtId="0" fontId="6" fillId="9" borderId="31" xfId="114" applyFont="1" applyFill="1" applyBorder="1" applyAlignment="1" applyProtection="1">
      <alignment horizontal="center" vertical="center" wrapText="1"/>
      <protection locked="0"/>
    </xf>
    <xf numFmtId="0" fontId="8" fillId="2" borderId="14" xfId="114" applyFont="1" applyFill="1" applyBorder="1"/>
    <xf numFmtId="0" fontId="6" fillId="9" borderId="44" xfId="114" applyFont="1" applyFill="1" applyBorder="1" applyAlignment="1" applyProtection="1">
      <alignment horizontal="center" vertical="center" wrapText="1"/>
      <protection locked="0"/>
    </xf>
    <xf numFmtId="0" fontId="6" fillId="9" borderId="26" xfId="114" applyFont="1" applyFill="1" applyBorder="1" applyAlignment="1" applyProtection="1">
      <alignment horizontal="center" vertical="center" wrapText="1"/>
      <protection locked="0"/>
    </xf>
    <xf numFmtId="0" fontId="6" fillId="9" borderId="42" xfId="114" applyFont="1" applyFill="1" applyBorder="1" applyAlignment="1" applyProtection="1">
      <alignment horizontal="center" vertical="center" wrapText="1"/>
      <protection locked="0"/>
    </xf>
    <xf numFmtId="0" fontId="6" fillId="9" borderId="29" xfId="114" applyFont="1" applyFill="1" applyBorder="1" applyAlignment="1" applyProtection="1">
      <alignment horizontal="center" vertical="center" wrapText="1"/>
      <protection locked="0"/>
    </xf>
    <xf numFmtId="0" fontId="6" fillId="7" borderId="0" xfId="114" applyFont="1" applyFill="1" applyAlignment="1">
      <alignment vertical="center"/>
    </xf>
    <xf numFmtId="0" fontId="6" fillId="0" borderId="11" xfId="114" applyFont="1" applyBorder="1"/>
    <xf numFmtId="0" fontId="8" fillId="0" borderId="14" xfId="114" applyFont="1" applyBorder="1" applyAlignment="1">
      <alignment horizontal="left"/>
    </xf>
    <xf numFmtId="0" fontId="8" fillId="0" borderId="19" xfId="114" applyFont="1" applyBorder="1" applyAlignment="1">
      <alignment horizontal="left"/>
    </xf>
    <xf numFmtId="169" fontId="8" fillId="5" borderId="8" xfId="114" applyNumberFormat="1" applyFont="1" applyFill="1" applyBorder="1" applyAlignment="1">
      <alignment horizontal="center" vertical="center" wrapText="1"/>
    </xf>
    <xf numFmtId="169" fontId="8" fillId="5" borderId="10" xfId="114" applyNumberFormat="1" applyFont="1" applyFill="1" applyBorder="1" applyAlignment="1">
      <alignment horizontal="center" vertical="center" wrapText="1"/>
    </xf>
    <xf numFmtId="169" fontId="8" fillId="5" borderId="9" xfId="114" applyNumberFormat="1" applyFont="1" applyFill="1" applyBorder="1" applyAlignment="1">
      <alignment horizontal="center" vertical="center" wrapText="1"/>
    </xf>
    <xf numFmtId="169" fontId="8" fillId="5" borderId="2" xfId="114" applyNumberFormat="1" applyFont="1" applyFill="1" applyBorder="1" applyAlignment="1">
      <alignment horizontal="center" vertical="top"/>
    </xf>
    <xf numFmtId="169" fontId="8" fillId="5" borderId="0" xfId="114" applyNumberFormat="1" applyFont="1" applyFill="1" applyAlignment="1">
      <alignment horizontal="center" vertical="top"/>
    </xf>
    <xf numFmtId="169" fontId="8" fillId="5" borderId="3" xfId="114" applyNumberFormat="1" applyFont="1" applyFill="1" applyBorder="1" applyAlignment="1">
      <alignment horizontal="center" vertical="top"/>
    </xf>
    <xf numFmtId="0" fontId="6" fillId="5" borderId="45" xfId="114" applyFont="1" applyFill="1" applyBorder="1" applyAlignment="1">
      <alignment horizontal="center" vertical="center" wrapText="1"/>
    </xf>
    <xf numFmtId="0" fontId="6" fillId="5" borderId="38" xfId="114" applyFont="1" applyFill="1" applyBorder="1" applyAlignment="1">
      <alignment horizontal="center" vertical="center" wrapText="1"/>
    </xf>
    <xf numFmtId="0" fontId="6" fillId="5" borderId="46" xfId="114" applyFont="1" applyFill="1" applyBorder="1" applyAlignment="1">
      <alignment horizontal="center" vertical="center" wrapText="1"/>
    </xf>
    <xf numFmtId="0" fontId="6" fillId="5" borderId="39" xfId="114" applyFont="1" applyFill="1" applyBorder="1" applyAlignment="1">
      <alignment horizontal="center" vertical="center" wrapText="1"/>
    </xf>
    <xf numFmtId="0" fontId="6" fillId="5" borderId="42" xfId="114" applyFont="1" applyFill="1" applyBorder="1" applyAlignment="1">
      <alignment horizontal="center" vertical="center" wrapText="1"/>
    </xf>
    <xf numFmtId="0" fontId="6" fillId="5" borderId="43" xfId="114" applyFont="1" applyFill="1" applyBorder="1" applyAlignment="1">
      <alignment horizontal="center" vertical="center" wrapText="1"/>
    </xf>
    <xf numFmtId="0" fontId="6" fillId="5" borderId="2" xfId="114" applyFont="1" applyFill="1" applyBorder="1" applyAlignment="1">
      <alignment horizontal="center" vertical="center" wrapText="1"/>
    </xf>
    <xf numFmtId="0" fontId="6" fillId="5" borderId="58" xfId="114" applyFont="1" applyFill="1" applyBorder="1" applyAlignment="1">
      <alignment horizontal="center" vertical="center" wrapText="1"/>
    </xf>
    <xf numFmtId="0" fontId="6" fillId="5" borderId="29" xfId="114" applyFont="1" applyFill="1" applyBorder="1" applyAlignment="1">
      <alignment horizontal="center" vertical="center" wrapText="1"/>
    </xf>
    <xf numFmtId="0" fontId="6" fillId="5" borderId="31" xfId="114" applyFont="1" applyFill="1" applyBorder="1" applyAlignment="1">
      <alignment horizontal="center" vertical="center" wrapText="1"/>
    </xf>
    <xf numFmtId="0" fontId="6" fillId="0" borderId="14" xfId="114" applyFont="1" applyBorder="1" applyAlignment="1">
      <alignment horizontal="left"/>
    </xf>
    <xf numFmtId="0" fontId="6" fillId="0" borderId="18" xfId="114" applyFont="1" applyBorder="1" applyAlignment="1">
      <alignment horizontal="left"/>
    </xf>
    <xf numFmtId="0" fontId="6" fillId="0" borderId="20" xfId="114" applyFont="1" applyBorder="1"/>
    <xf numFmtId="0" fontId="6" fillId="0" borderId="21" xfId="114" applyFont="1" applyBorder="1"/>
    <xf numFmtId="0" fontId="6" fillId="0" borderId="41" xfId="114" applyFont="1" applyBorder="1"/>
    <xf numFmtId="0" fontId="6" fillId="7" borderId="8" xfId="114" applyFont="1" applyFill="1" applyBorder="1" applyAlignment="1">
      <alignment horizontal="left" vertical="center" wrapText="1"/>
    </xf>
    <xf numFmtId="0" fontId="6" fillId="7" borderId="10" xfId="114" applyFont="1" applyFill="1" applyBorder="1" applyAlignment="1">
      <alignment horizontal="left" vertical="center" wrapText="1"/>
    </xf>
    <xf numFmtId="0" fontId="6" fillId="2" borderId="71" xfId="114" applyFont="1" applyFill="1" applyBorder="1" applyAlignment="1">
      <alignment horizontal="left"/>
    </xf>
    <xf numFmtId="0" fontId="6" fillId="2" borderId="67" xfId="114" applyFont="1" applyFill="1" applyBorder="1" applyAlignment="1">
      <alignment horizontal="left"/>
    </xf>
    <xf numFmtId="0" fontId="6" fillId="0" borderId="27" xfId="114" applyFont="1" applyBorder="1" applyAlignment="1">
      <alignment horizontal="left"/>
    </xf>
    <xf numFmtId="0" fontId="6" fillId="0" borderId="28" xfId="114" applyFont="1" applyBorder="1" applyAlignment="1">
      <alignment horizontal="left"/>
    </xf>
    <xf numFmtId="0" fontId="8" fillId="5" borderId="5" xfId="114" applyFont="1" applyFill="1" applyBorder="1" applyAlignment="1">
      <alignment horizontal="center" vertical="center"/>
    </xf>
    <xf numFmtId="0" fontId="8" fillId="5" borderId="11" xfId="114" applyFont="1" applyFill="1" applyBorder="1" applyAlignment="1">
      <alignment horizontal="center" vertical="center"/>
    </xf>
    <xf numFmtId="0" fontId="8" fillId="5" borderId="6" xfId="114" applyFont="1" applyFill="1" applyBorder="1" applyAlignment="1">
      <alignment horizontal="center" vertical="center"/>
    </xf>
    <xf numFmtId="0" fontId="6" fillId="9" borderId="20" xfId="114" applyFont="1" applyFill="1" applyBorder="1" applyAlignment="1" applyProtection="1">
      <alignment horizontal="left"/>
      <protection locked="0"/>
    </xf>
    <xf numFmtId="0" fontId="6" fillId="9" borderId="22" xfId="114" applyFont="1" applyFill="1" applyBorder="1" applyAlignment="1" applyProtection="1">
      <alignment horizontal="left"/>
      <protection locked="0"/>
    </xf>
    <xf numFmtId="0" fontId="11" fillId="5" borderId="8" xfId="114" applyFont="1" applyFill="1" applyBorder="1" applyAlignment="1">
      <alignment horizontal="center"/>
    </xf>
    <xf numFmtId="0" fontId="11" fillId="5" borderId="10" xfId="114" applyFont="1" applyFill="1" applyBorder="1" applyAlignment="1">
      <alignment horizontal="center"/>
    </xf>
    <xf numFmtId="0" fontId="11" fillId="5" borderId="9" xfId="114" applyFont="1" applyFill="1" applyBorder="1" applyAlignment="1">
      <alignment horizontal="center"/>
    </xf>
    <xf numFmtId="0" fontId="10" fillId="0" borderId="35" xfId="114" applyFont="1" applyBorder="1" applyAlignment="1">
      <alignment horizontal="right"/>
    </xf>
    <xf numFmtId="0" fontId="8" fillId="8" borderId="33" xfId="114" applyFont="1" applyFill="1" applyBorder="1" applyAlignment="1">
      <alignment horizontal="center"/>
    </xf>
    <xf numFmtId="0" fontId="8" fillId="8" borderId="6" xfId="114" applyFont="1" applyFill="1" applyBorder="1" applyAlignment="1">
      <alignment horizontal="center"/>
    </xf>
    <xf numFmtId="37" fontId="8" fillId="8" borderId="33" xfId="65" applyNumberFormat="1" applyFont="1" applyFill="1" applyBorder="1" applyAlignment="1" applyProtection="1">
      <alignment horizontal="center"/>
    </xf>
    <xf numFmtId="37" fontId="8" fillId="8" borderId="25" xfId="65" applyNumberFormat="1" applyFont="1" applyFill="1" applyBorder="1" applyAlignment="1" applyProtection="1">
      <alignment horizontal="center"/>
    </xf>
    <xf numFmtId="37" fontId="6" fillId="8" borderId="33" xfId="65" applyNumberFormat="1" applyFont="1" applyFill="1" applyBorder="1" applyAlignment="1" applyProtection="1">
      <alignment horizontal="center"/>
    </xf>
    <xf numFmtId="37" fontId="6" fillId="8" borderId="25" xfId="65" applyNumberFormat="1" applyFont="1" applyFill="1" applyBorder="1" applyAlignment="1" applyProtection="1">
      <alignment horizontal="center"/>
    </xf>
    <xf numFmtId="0" fontId="6" fillId="8" borderId="33" xfId="114" applyFont="1" applyFill="1" applyBorder="1" applyAlignment="1">
      <alignment horizontal="center"/>
    </xf>
    <xf numFmtId="0" fontId="6" fillId="8" borderId="6" xfId="114" applyFont="1" applyFill="1" applyBorder="1" applyAlignment="1">
      <alignment horizontal="center"/>
    </xf>
    <xf numFmtId="0" fontId="6" fillId="8" borderId="68" xfId="114" applyFont="1" applyFill="1" applyBorder="1" applyAlignment="1">
      <alignment horizontal="center"/>
    </xf>
    <xf numFmtId="0" fontId="6" fillId="8" borderId="70" xfId="114" applyFont="1" applyFill="1" applyBorder="1" applyAlignment="1">
      <alignment horizontal="center"/>
    </xf>
    <xf numFmtId="164" fontId="6" fillId="9" borderId="1" xfId="114" applyNumberFormat="1" applyFont="1" applyFill="1" applyBorder="1" applyAlignment="1" applyProtection="1">
      <alignment horizontal="right"/>
      <protection locked="0"/>
    </xf>
    <xf numFmtId="164" fontId="6" fillId="9" borderId="56" xfId="114" applyNumberFormat="1" applyFont="1" applyFill="1" applyBorder="1" applyAlignment="1" applyProtection="1">
      <alignment horizontal="right"/>
      <protection locked="0"/>
    </xf>
    <xf numFmtId="164" fontId="6" fillId="9" borderId="31" xfId="114" applyNumberFormat="1" applyFont="1" applyFill="1" applyBorder="1" applyAlignment="1" applyProtection="1">
      <alignment horizontal="right"/>
      <protection locked="0"/>
    </xf>
    <xf numFmtId="164" fontId="6" fillId="9" borderId="74" xfId="114" applyNumberFormat="1" applyFont="1" applyFill="1" applyBorder="1" applyAlignment="1" applyProtection="1">
      <alignment horizontal="right"/>
      <protection locked="0"/>
    </xf>
    <xf numFmtId="164" fontId="6" fillId="9" borderId="75" xfId="114" applyNumberFormat="1" applyFont="1" applyFill="1" applyBorder="1" applyAlignment="1" applyProtection="1">
      <alignment horizontal="right"/>
      <protection locked="0"/>
    </xf>
    <xf numFmtId="0" fontId="10" fillId="5" borderId="8" xfId="114" applyFont="1" applyFill="1" applyBorder="1" applyAlignment="1">
      <alignment horizontal="center" vertical="center" wrapText="1"/>
    </xf>
    <xf numFmtId="0" fontId="10" fillId="5" borderId="10" xfId="114" applyFont="1" applyFill="1" applyBorder="1" applyAlignment="1">
      <alignment horizontal="center" vertical="center" wrapText="1"/>
    </xf>
    <xf numFmtId="0" fontId="10" fillId="5" borderId="9" xfId="114" applyFont="1" applyFill="1" applyBorder="1" applyAlignment="1">
      <alignment horizontal="center" vertical="center" wrapText="1"/>
    </xf>
    <xf numFmtId="0" fontId="10" fillId="5" borderId="5" xfId="114" applyFont="1" applyFill="1" applyBorder="1" applyAlignment="1">
      <alignment horizontal="center" vertical="center" wrapText="1"/>
    </xf>
    <xf numFmtId="0" fontId="10" fillId="5" borderId="11" xfId="114" applyFont="1" applyFill="1" applyBorder="1" applyAlignment="1">
      <alignment horizontal="center" vertical="center" wrapText="1"/>
    </xf>
    <xf numFmtId="0" fontId="10" fillId="5" borderId="6" xfId="114" applyFont="1" applyFill="1" applyBorder="1" applyAlignment="1">
      <alignment horizontal="center" vertical="center" wrapText="1"/>
    </xf>
    <xf numFmtId="0" fontId="8" fillId="3" borderId="62" xfId="120" applyFont="1" applyFill="1" applyBorder="1" applyAlignment="1">
      <alignment horizontal="center" vertical="center"/>
    </xf>
    <xf numFmtId="0" fontId="8" fillId="3" borderId="63" xfId="120" applyFont="1" applyFill="1" applyBorder="1" applyAlignment="1">
      <alignment horizontal="center" vertical="center"/>
    </xf>
    <xf numFmtId="164" fontId="6" fillId="9" borderId="34" xfId="116" applyNumberFormat="1" applyFont="1" applyFill="1" applyBorder="1" applyAlignment="1" applyProtection="1">
      <alignment horizontal="right"/>
      <protection locked="0"/>
    </xf>
    <xf numFmtId="164" fontId="6" fillId="9" borderId="19" xfId="116" applyNumberFormat="1" applyFont="1" applyFill="1" applyBorder="1" applyAlignment="1" applyProtection="1">
      <alignment horizontal="right"/>
      <protection locked="0"/>
    </xf>
    <xf numFmtId="164" fontId="6" fillId="9" borderId="1" xfId="116" applyNumberFormat="1" applyFont="1" applyFill="1" applyBorder="1" applyAlignment="1" applyProtection="1">
      <alignment horizontal="right"/>
      <protection locked="0"/>
    </xf>
    <xf numFmtId="0" fontId="8" fillId="5" borderId="40" xfId="114" applyFont="1" applyFill="1" applyBorder="1" applyAlignment="1">
      <alignment horizontal="center" wrapText="1"/>
    </xf>
    <xf numFmtId="0" fontId="6" fillId="5" borderId="8" xfId="120" applyFont="1" applyFill="1" applyBorder="1" applyAlignment="1">
      <alignment horizontal="left" vertical="center" wrapText="1"/>
    </xf>
    <xf numFmtId="0" fontId="6" fillId="5" borderId="10" xfId="120" applyFont="1" applyFill="1" applyBorder="1" applyAlignment="1">
      <alignment horizontal="left" vertical="center" wrapText="1"/>
    </xf>
    <xf numFmtId="0" fontId="6" fillId="5" borderId="9" xfId="120" applyFont="1" applyFill="1" applyBorder="1" applyAlignment="1">
      <alignment horizontal="left" vertical="center" wrapText="1"/>
    </xf>
    <xf numFmtId="0" fontId="6" fillId="5" borderId="2" xfId="120" applyFont="1" applyFill="1" applyBorder="1" applyAlignment="1">
      <alignment horizontal="left" vertical="center" wrapText="1"/>
    </xf>
    <xf numFmtId="0" fontId="6" fillId="5" borderId="0" xfId="120" applyFont="1" applyFill="1" applyAlignment="1">
      <alignment horizontal="left" vertical="center" wrapText="1"/>
    </xf>
    <xf numFmtId="0" fontId="6" fillId="5" borderId="3" xfId="120" applyFont="1" applyFill="1" applyBorder="1" applyAlignment="1">
      <alignment horizontal="left" vertical="center" wrapText="1"/>
    </xf>
    <xf numFmtId="0" fontId="6" fillId="5" borderId="29" xfId="120" applyFont="1" applyFill="1" applyBorder="1" applyAlignment="1">
      <alignment horizontal="left" vertical="center" wrapText="1"/>
    </xf>
    <xf numFmtId="0" fontId="6" fillId="5" borderId="26" xfId="120" applyFont="1" applyFill="1" applyBorder="1" applyAlignment="1">
      <alignment horizontal="left" vertical="center" wrapText="1"/>
    </xf>
    <xf numFmtId="0" fontId="6" fillId="5" borderId="30" xfId="120" applyFont="1" applyFill="1" applyBorder="1" applyAlignment="1">
      <alignment horizontal="left" vertical="center" wrapText="1"/>
    </xf>
    <xf numFmtId="0" fontId="6" fillId="0" borderId="35" xfId="114" applyFont="1" applyBorder="1" applyAlignment="1">
      <alignment horizontal="left"/>
    </xf>
    <xf numFmtId="0" fontId="6" fillId="0" borderId="17" xfId="114" applyFont="1" applyBorder="1" applyAlignment="1">
      <alignment horizontal="left"/>
    </xf>
    <xf numFmtId="0" fontId="8" fillId="5" borderId="16" xfId="114" applyFont="1" applyFill="1" applyBorder="1" applyAlignment="1">
      <alignment horizontal="center"/>
    </xf>
    <xf numFmtId="0" fontId="8" fillId="5" borderId="35" xfId="114" applyFont="1" applyFill="1" applyBorder="1" applyAlignment="1">
      <alignment horizontal="center"/>
    </xf>
    <xf numFmtId="0" fontId="8" fillId="5" borderId="17" xfId="114" applyFont="1" applyFill="1" applyBorder="1" applyAlignment="1">
      <alignment horizontal="center"/>
    </xf>
    <xf numFmtId="0" fontId="6" fillId="0" borderId="54" xfId="120" applyFont="1" applyBorder="1" applyAlignment="1">
      <alignment horizontal="center" vertical="center" wrapText="1"/>
    </xf>
    <xf numFmtId="0" fontId="6" fillId="0" borderId="0" xfId="120" applyFont="1" applyAlignment="1">
      <alignment horizontal="center" vertical="center" wrapText="1"/>
    </xf>
    <xf numFmtId="0" fontId="6" fillId="0" borderId="3" xfId="120" applyFont="1" applyBorder="1" applyAlignment="1">
      <alignment horizontal="center" vertical="center" wrapText="1"/>
    </xf>
    <xf numFmtId="0" fontId="6" fillId="0" borderId="35" xfId="114" applyFont="1" applyBorder="1" applyAlignment="1">
      <alignment horizontal="center"/>
    </xf>
    <xf numFmtId="0" fontId="8" fillId="3" borderId="45" xfId="120" applyFont="1" applyFill="1" applyBorder="1" applyAlignment="1">
      <alignment horizontal="center" vertical="center" wrapText="1"/>
    </xf>
    <xf numFmtId="0" fontId="8" fillId="3" borderId="38" xfId="120" applyFont="1" applyFill="1" applyBorder="1" applyAlignment="1">
      <alignment horizontal="center" vertical="center" wrapText="1"/>
    </xf>
    <xf numFmtId="0" fontId="8" fillId="3" borderId="32" xfId="120" applyFont="1" applyFill="1" applyBorder="1" applyAlignment="1">
      <alignment horizontal="center" vertical="center" wrapText="1"/>
    </xf>
    <xf numFmtId="0" fontId="8" fillId="5" borderId="54" xfId="120" applyFont="1" applyFill="1" applyBorder="1" applyAlignment="1">
      <alignment horizontal="center" vertical="center" wrapText="1"/>
    </xf>
    <xf numFmtId="0" fontId="8" fillId="5" borderId="0" xfId="120" applyFont="1" applyFill="1" applyAlignment="1">
      <alignment horizontal="center" vertical="center" wrapText="1"/>
    </xf>
    <xf numFmtId="0" fontId="8" fillId="5" borderId="3" xfId="120" applyFont="1" applyFill="1" applyBorder="1" applyAlignment="1">
      <alignment horizontal="center" vertical="center" wrapText="1"/>
    </xf>
    <xf numFmtId="0" fontId="8" fillId="5" borderId="56" xfId="120" applyFont="1" applyFill="1" applyBorder="1" applyAlignment="1">
      <alignment horizontal="center" vertical="center" wrapText="1"/>
    </xf>
    <xf numFmtId="0" fontId="8" fillId="5" borderId="26" xfId="120" applyFont="1" applyFill="1" applyBorder="1" applyAlignment="1">
      <alignment horizontal="center" vertical="center" wrapText="1"/>
    </xf>
    <xf numFmtId="0" fontId="8" fillId="5" borderId="30" xfId="120" applyFont="1" applyFill="1" applyBorder="1" applyAlignment="1">
      <alignment horizontal="center" vertical="center" wrapText="1"/>
    </xf>
    <xf numFmtId="164" fontId="6" fillId="9" borderId="77" xfId="116" applyNumberFormat="1" applyFont="1" applyFill="1" applyBorder="1" applyAlignment="1" applyProtection="1">
      <alignment horizontal="right"/>
      <protection locked="0"/>
    </xf>
    <xf numFmtId="164" fontId="6" fillId="9" borderId="67" xfId="116" applyNumberFormat="1" applyFont="1" applyFill="1" applyBorder="1" applyAlignment="1" applyProtection="1">
      <alignment horizontal="right"/>
      <protection locked="0"/>
    </xf>
    <xf numFmtId="164" fontId="6" fillId="0" borderId="18" xfId="116" applyNumberFormat="1" applyFont="1" applyFill="1" applyBorder="1" applyAlignment="1" applyProtection="1">
      <alignment horizontal="right"/>
    </xf>
    <xf numFmtId="0" fontId="6" fillId="0" borderId="33" xfId="120" applyFont="1" applyBorder="1" applyAlignment="1">
      <alignment horizontal="center" vertical="center" wrapText="1"/>
    </xf>
    <xf numFmtId="0" fontId="6" fillId="0" borderId="11" xfId="120" applyFont="1" applyBorder="1" applyAlignment="1">
      <alignment horizontal="center" vertical="center" wrapText="1"/>
    </xf>
    <xf numFmtId="0" fontId="6" fillId="0" borderId="6" xfId="120" applyFont="1" applyBorder="1" applyAlignment="1">
      <alignment horizontal="center" vertical="center" wrapText="1"/>
    </xf>
    <xf numFmtId="0" fontId="8" fillId="2" borderId="61" xfId="114" applyFont="1" applyFill="1" applyBorder="1" applyAlignment="1">
      <alignment horizontal="left"/>
    </xf>
    <xf numFmtId="0" fontId="8" fillId="2" borderId="78" xfId="114" applyFont="1" applyFill="1" applyBorder="1" applyAlignment="1">
      <alignment horizontal="center"/>
    </xf>
    <xf numFmtId="0" fontId="8" fillId="2" borderId="35" xfId="114" applyFont="1" applyFill="1" applyBorder="1" applyAlignment="1">
      <alignment horizontal="center"/>
    </xf>
    <xf numFmtId="0" fontId="8" fillId="2" borderId="17" xfId="114" applyFont="1" applyFill="1" applyBorder="1" applyAlignment="1">
      <alignment horizontal="center"/>
    </xf>
    <xf numFmtId="9" fontId="6" fillId="8" borderId="24" xfId="117" applyFont="1" applyFill="1" applyBorder="1" applyAlignment="1">
      <alignment horizontal="center"/>
    </xf>
    <xf numFmtId="9" fontId="6" fillId="8" borderId="23" xfId="117" applyFont="1" applyFill="1" applyBorder="1" applyAlignment="1">
      <alignment horizontal="center"/>
    </xf>
    <xf numFmtId="0" fontId="6" fillId="2" borderId="51" xfId="114" applyFont="1" applyFill="1" applyBorder="1" applyAlignment="1">
      <alignment horizontal="right" wrapText="1"/>
    </xf>
    <xf numFmtId="0" fontId="6" fillId="2" borderId="24" xfId="114" applyFont="1" applyFill="1" applyBorder="1" applyAlignment="1">
      <alignment horizontal="right" wrapText="1"/>
    </xf>
    <xf numFmtId="0" fontId="6" fillId="2" borderId="24" xfId="114" applyFont="1" applyFill="1" applyBorder="1" applyAlignment="1">
      <alignment horizontal="right"/>
    </xf>
    <xf numFmtId="0" fontId="4" fillId="5" borderId="49" xfId="114" applyFont="1" applyFill="1" applyBorder="1" applyAlignment="1">
      <alignment horizontal="center" vertical="center" wrapText="1"/>
    </xf>
    <xf numFmtId="0" fontId="4" fillId="5" borderId="13" xfId="114" applyFont="1" applyFill="1" applyBorder="1" applyAlignment="1">
      <alignment horizontal="center" vertical="center" wrapText="1"/>
    </xf>
    <xf numFmtId="0" fontId="4" fillId="5" borderId="40" xfId="114" applyFont="1" applyFill="1" applyBorder="1" applyAlignment="1">
      <alignment horizontal="center" vertical="center" wrapText="1"/>
    </xf>
    <xf numFmtId="0" fontId="4" fillId="5" borderId="1" xfId="114" applyFont="1" applyFill="1" applyBorder="1" applyAlignment="1">
      <alignment horizontal="center" vertical="center" wrapText="1"/>
    </xf>
    <xf numFmtId="0" fontId="6" fillId="0" borderId="0" xfId="114" applyFont="1" applyAlignment="1">
      <alignment horizontal="center"/>
    </xf>
    <xf numFmtId="0" fontId="6" fillId="0" borderId="0" xfId="114" applyFont="1" applyAlignment="1">
      <alignment horizontal="left"/>
    </xf>
    <xf numFmtId="0" fontId="6" fillId="0" borderId="0" xfId="114" applyFont="1" applyAlignment="1">
      <alignment horizontal="right"/>
    </xf>
    <xf numFmtId="0" fontId="6" fillId="9" borderId="56" xfId="114" applyFont="1" applyFill="1" applyBorder="1" applyAlignment="1" applyProtection="1">
      <alignment horizontal="left" vertical="top" wrapText="1"/>
      <protection locked="0"/>
    </xf>
    <xf numFmtId="0" fontId="6" fillId="9" borderId="26" xfId="114" applyFont="1" applyFill="1" applyBorder="1" applyAlignment="1" applyProtection="1">
      <alignment horizontal="left" vertical="top" wrapText="1"/>
      <protection locked="0"/>
    </xf>
    <xf numFmtId="0" fontId="6" fillId="9" borderId="31" xfId="114" applyFont="1" applyFill="1" applyBorder="1" applyAlignment="1" applyProtection="1">
      <alignment horizontal="left" vertical="top" wrapText="1"/>
      <protection locked="0"/>
    </xf>
    <xf numFmtId="0" fontId="6" fillId="9" borderId="54" xfId="114" applyFont="1" applyFill="1" applyBorder="1" applyAlignment="1" applyProtection="1">
      <alignment horizontal="left" vertical="top" wrapText="1"/>
      <protection locked="0"/>
    </xf>
    <xf numFmtId="0" fontId="6" fillId="9" borderId="0" xfId="114" applyFont="1" applyFill="1" applyAlignment="1" applyProtection="1">
      <alignment horizontal="left" vertical="top" wrapText="1"/>
      <protection locked="0"/>
    </xf>
    <xf numFmtId="0" fontId="6" fillId="9" borderId="58" xfId="114" applyFont="1" applyFill="1" applyBorder="1" applyAlignment="1" applyProtection="1">
      <alignment horizontal="left" vertical="top" wrapText="1"/>
      <protection locked="0"/>
    </xf>
    <xf numFmtId="0" fontId="6" fillId="9" borderId="57" xfId="114" applyFont="1" applyFill="1" applyBorder="1" applyAlignment="1" applyProtection="1">
      <alignment horizontal="left" vertical="top" wrapText="1"/>
      <protection locked="0"/>
    </xf>
    <xf numFmtId="0" fontId="6" fillId="9" borderId="44" xfId="114" applyFont="1" applyFill="1" applyBorder="1" applyAlignment="1" applyProtection="1">
      <alignment horizontal="left" vertical="top" wrapText="1"/>
      <protection locked="0"/>
    </xf>
    <xf numFmtId="0" fontId="6" fillId="9" borderId="43" xfId="114" applyFont="1" applyFill="1" applyBorder="1" applyAlignment="1" applyProtection="1">
      <alignment horizontal="left" vertical="top" wrapText="1"/>
      <protection locked="0"/>
    </xf>
    <xf numFmtId="0" fontId="24" fillId="5" borderId="16" xfId="114" applyFont="1" applyFill="1" applyBorder="1" applyAlignment="1">
      <alignment vertical="center"/>
    </xf>
    <xf numFmtId="0" fontId="24" fillId="5" borderId="35" xfId="114" applyFont="1" applyFill="1" applyBorder="1" applyAlignment="1">
      <alignment vertical="center"/>
    </xf>
    <xf numFmtId="0" fontId="24" fillId="5" borderId="61" xfId="114" applyFont="1" applyFill="1" applyBorder="1" applyAlignment="1">
      <alignment vertical="center"/>
    </xf>
    <xf numFmtId="164" fontId="25" fillId="9" borderId="35" xfId="119" applyNumberFormat="1" applyFont="1" applyFill="1" applyBorder="1" applyAlignment="1" applyProtection="1">
      <alignment horizontal="center" vertical="center"/>
      <protection locked="0"/>
    </xf>
    <xf numFmtId="164" fontId="25" fillId="9" borderId="17" xfId="119" applyNumberFormat="1" applyFont="1" applyFill="1" applyBorder="1" applyAlignment="1" applyProtection="1">
      <alignment horizontal="center" vertical="center"/>
      <protection locked="0"/>
    </xf>
    <xf numFmtId="0" fontId="24" fillId="5" borderId="5" xfId="114" applyFont="1" applyFill="1" applyBorder="1" applyAlignment="1">
      <alignment vertical="center"/>
    </xf>
    <xf numFmtId="0" fontId="24" fillId="5" borderId="11" xfId="114" applyFont="1" applyFill="1" applyBorder="1" applyAlignment="1">
      <alignment vertical="center"/>
    </xf>
    <xf numFmtId="0" fontId="24" fillId="5" borderId="25" xfId="114" applyFont="1" applyFill="1" applyBorder="1" applyAlignment="1">
      <alignment vertical="center"/>
    </xf>
    <xf numFmtId="164" fontId="25" fillId="9" borderId="33" xfId="119" applyNumberFormat="1" applyFont="1" applyFill="1" applyBorder="1" applyAlignment="1" applyProtection="1">
      <alignment horizontal="center" vertical="center"/>
      <protection locked="0"/>
    </xf>
    <xf numFmtId="164" fontId="25" fillId="9" borderId="6" xfId="119" applyNumberFormat="1" applyFont="1" applyFill="1" applyBorder="1" applyAlignment="1" applyProtection="1">
      <alignment horizontal="center" vertical="center"/>
      <protection locked="0"/>
    </xf>
    <xf numFmtId="0" fontId="4" fillId="5" borderId="8" xfId="114" applyFont="1" applyFill="1" applyBorder="1" applyAlignment="1">
      <alignment horizontal="center" wrapText="1"/>
    </xf>
    <xf numFmtId="0" fontId="4" fillId="5" borderId="10" xfId="114" applyFont="1" applyFill="1" applyBorder="1" applyAlignment="1">
      <alignment horizontal="center" wrapText="1"/>
    </xf>
    <xf numFmtId="0" fontId="4" fillId="5" borderId="9" xfId="114" applyFont="1" applyFill="1" applyBorder="1" applyAlignment="1">
      <alignment horizontal="center" wrapText="1"/>
    </xf>
    <xf numFmtId="0" fontId="4" fillId="5" borderId="5" xfId="114" applyFont="1" applyFill="1" applyBorder="1" applyAlignment="1">
      <alignment horizontal="center" wrapText="1"/>
    </xf>
    <xf numFmtId="0" fontId="4" fillId="5" borderId="11" xfId="114" applyFont="1" applyFill="1" applyBorder="1" applyAlignment="1">
      <alignment horizontal="center" wrapText="1"/>
    </xf>
    <xf numFmtId="0" fontId="4" fillId="5" borderId="6" xfId="114" applyFont="1" applyFill="1" applyBorder="1" applyAlignment="1">
      <alignment horizontal="center" wrapText="1"/>
    </xf>
    <xf numFmtId="0" fontId="4" fillId="5" borderId="42" xfId="114" applyFont="1" applyFill="1" applyBorder="1" applyAlignment="1">
      <alignment horizontal="center" vertical="center"/>
    </xf>
    <xf numFmtId="0" fontId="4" fillId="5" borderId="44" xfId="114" applyFont="1" applyFill="1" applyBorder="1" applyAlignment="1">
      <alignment horizontal="center" vertical="center"/>
    </xf>
    <xf numFmtId="0" fontId="4" fillId="5" borderId="43" xfId="114" applyFont="1" applyFill="1" applyBorder="1" applyAlignment="1">
      <alignment horizontal="center" vertical="center"/>
    </xf>
    <xf numFmtId="0" fontId="4" fillId="5" borderId="2" xfId="114" applyFont="1" applyFill="1" applyBorder="1" applyAlignment="1">
      <alignment horizontal="center" vertical="center"/>
    </xf>
    <xf numFmtId="0" fontId="4" fillId="5" borderId="0" xfId="114" applyFont="1" applyFill="1" applyAlignment="1">
      <alignment horizontal="center" vertical="center"/>
    </xf>
    <xf numFmtId="0" fontId="4" fillId="5" borderId="58" xfId="114" applyFont="1" applyFill="1" applyBorder="1" applyAlignment="1">
      <alignment horizontal="center" vertical="center"/>
    </xf>
    <xf numFmtId="0" fontId="4" fillId="5" borderId="5" xfId="114" applyFont="1" applyFill="1" applyBorder="1" applyAlignment="1">
      <alignment horizontal="center" vertical="center"/>
    </xf>
    <xf numFmtId="0" fontId="4" fillId="5" borderId="11" xfId="114" applyFont="1" applyFill="1" applyBorder="1" applyAlignment="1">
      <alignment horizontal="center" vertical="center"/>
    </xf>
    <xf numFmtId="0" fontId="4" fillId="5" borderId="25" xfId="114" applyFont="1" applyFill="1" applyBorder="1" applyAlignment="1">
      <alignment horizontal="center" vertical="center"/>
    </xf>
    <xf numFmtId="0" fontId="4" fillId="5" borderId="16" xfId="114" applyFont="1" applyFill="1" applyBorder="1" applyAlignment="1">
      <alignment horizontal="center"/>
    </xf>
    <xf numFmtId="0" fontId="4" fillId="5" borderId="35" xfId="114" applyFont="1" applyFill="1" applyBorder="1" applyAlignment="1">
      <alignment horizontal="center"/>
    </xf>
    <xf numFmtId="0" fontId="4" fillId="5" borderId="17" xfId="114" applyFont="1" applyFill="1" applyBorder="1" applyAlignment="1">
      <alignment horizontal="center"/>
    </xf>
    <xf numFmtId="0" fontId="6" fillId="0" borderId="55" xfId="114" applyFont="1" applyBorder="1" applyAlignment="1">
      <alignment horizontal="left" wrapText="1"/>
    </xf>
    <xf numFmtId="0" fontId="6" fillId="0" borderId="37" xfId="114" applyFont="1" applyBorder="1" applyAlignment="1">
      <alignment horizontal="left" wrapText="1"/>
    </xf>
    <xf numFmtId="0" fontId="6" fillId="0" borderId="49" xfId="114" applyFont="1" applyBorder="1" applyAlignment="1">
      <alignment horizontal="left" wrapText="1"/>
    </xf>
    <xf numFmtId="0" fontId="6" fillId="0" borderId="40" xfId="114" applyFont="1" applyBorder="1" applyAlignment="1">
      <alignment horizontal="left" wrapText="1"/>
    </xf>
    <xf numFmtId="0" fontId="4" fillId="5" borderId="38" xfId="114" applyFont="1" applyFill="1" applyBorder="1" applyAlignment="1">
      <alignment horizontal="center" vertical="top" wrapText="1"/>
    </xf>
    <xf numFmtId="0" fontId="4" fillId="5" borderId="24" xfId="114" applyFont="1" applyFill="1" applyBorder="1" applyAlignment="1">
      <alignment horizontal="center" vertical="top" wrapText="1"/>
    </xf>
    <xf numFmtId="0" fontId="4" fillId="5" borderId="46" xfId="114" applyFont="1" applyFill="1" applyBorder="1" applyAlignment="1">
      <alignment horizontal="center" vertical="center" wrapText="1"/>
    </xf>
    <xf numFmtId="0" fontId="4" fillId="5" borderId="39" xfId="114" applyFont="1" applyFill="1" applyBorder="1" applyAlignment="1">
      <alignment horizontal="center" vertical="center" wrapText="1"/>
    </xf>
    <xf numFmtId="0" fontId="4" fillId="5" borderId="23" xfId="114" applyFont="1" applyFill="1" applyBorder="1" applyAlignment="1">
      <alignment horizontal="center" vertical="center" wrapText="1"/>
    </xf>
    <xf numFmtId="0" fontId="4" fillId="5" borderId="45" xfId="114" applyFont="1" applyFill="1" applyBorder="1" applyAlignment="1">
      <alignment horizontal="center" vertical="center" wrapText="1"/>
    </xf>
    <xf numFmtId="0" fontId="4" fillId="5" borderId="38" xfId="114" applyFont="1" applyFill="1" applyBorder="1" applyAlignment="1">
      <alignment horizontal="center" vertical="center" wrapText="1"/>
    </xf>
    <xf numFmtId="0" fontId="4" fillId="5" borderId="24" xfId="114" applyFont="1" applyFill="1" applyBorder="1" applyAlignment="1">
      <alignment horizontal="center" vertical="center" wrapText="1"/>
    </xf>
    <xf numFmtId="0" fontId="4" fillId="5" borderId="12" xfId="114" applyFont="1" applyFill="1" applyBorder="1" applyAlignment="1">
      <alignment horizontal="center" vertical="center" wrapText="1"/>
    </xf>
    <xf numFmtId="0" fontId="4" fillId="5" borderId="4" xfId="114" applyFont="1" applyFill="1" applyBorder="1" applyAlignment="1">
      <alignment horizontal="center" vertical="center" wrapText="1"/>
    </xf>
  </cellXfs>
  <cellStyles count="125">
    <cellStyle name="Comma" xfId="123" builtinId="3"/>
    <cellStyle name="Comma 2" xfId="65" xr:uid="{00000000-0005-0000-0000-000000000000}"/>
    <cellStyle name="Comma 4 2 2" xfId="115" xr:uid="{90B53A6F-0A06-F74A-ACF8-BE580DE2478C}"/>
    <cellStyle name="Comma 5" xfId="122" xr:uid="{1FF493CB-A9E7-D648-A8C2-D2BAEDE04D89}"/>
    <cellStyle name="Currency" xfId="116" builtinId="4"/>
    <cellStyle name="Currency 2" xfId="119" xr:uid="{316EB3B6-9BE6-B841-B1CF-00C7C34A6AA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Normal" xfId="0" builtinId="0"/>
    <cellStyle name="Normal 2" xfId="114" xr:uid="{44466CC3-824E-2E42-8EE6-CF69FBEED035}"/>
    <cellStyle name="Normal 3 2 2" xfId="120" xr:uid="{194BDBCE-BA1B-C046-9F7F-EB2F344A9385}"/>
    <cellStyle name="Normal 4" xfId="118" xr:uid="{7F057FDD-08E9-344C-A80D-91787657AE6F}"/>
    <cellStyle name="Normal 4 2 2" xfId="121" xr:uid="{1AAD1CBE-1EA5-6B4A-87D9-4F59E898606B}"/>
    <cellStyle name="Percent" xfId="124" builtinId="5"/>
    <cellStyle name="Percent 2" xfId="117" xr:uid="{06A1D79A-64DA-DE40-8121-CD8064733871}"/>
  </cellStyles>
  <dxfs count="94">
    <dxf>
      <font>
        <color rgb="FFFF0000"/>
      </font>
      <fill>
        <patternFill>
          <bgColor theme="0"/>
        </patternFill>
      </fill>
      <border>
        <left/>
        <right/>
        <bottom/>
        <vertical/>
        <horizontal/>
      </border>
    </dxf>
    <dxf>
      <border>
        <bottom style="thin">
          <color auto="1"/>
        </bottom>
        <vertical/>
        <horizontal/>
      </border>
    </dxf>
    <dxf>
      <font>
        <color theme="0"/>
      </font>
      <fill>
        <patternFill>
          <bgColor theme="0"/>
        </patternFill>
      </fill>
      <border>
        <left/>
        <right/>
        <bottom/>
        <vertical/>
        <horizontal/>
      </border>
    </dxf>
    <dxf>
      <font>
        <color rgb="FF9C0006"/>
      </font>
      <fill>
        <patternFill>
          <bgColor rgb="FFFFC7CE"/>
        </patternFill>
      </fill>
    </dxf>
    <dxf>
      <font>
        <color theme="0"/>
      </font>
      <fill>
        <patternFill>
          <bgColor theme="0"/>
        </patternFill>
      </fill>
    </dxf>
    <dxf>
      <font>
        <color theme="0"/>
      </font>
      <fill>
        <patternFill>
          <bgColor theme="0"/>
        </patternFill>
      </fill>
      <border>
        <bottom/>
      </border>
    </dxf>
    <dxf>
      <font>
        <color rgb="FFFF0000"/>
      </font>
      <fill>
        <patternFill>
          <bgColor theme="0"/>
        </patternFill>
      </fill>
    </dxf>
    <dxf>
      <font>
        <color rgb="FFFF0000"/>
      </font>
      <fill>
        <patternFill>
          <bgColor theme="0"/>
        </patternFill>
      </fill>
      <border>
        <right/>
        <top/>
      </border>
    </dxf>
    <dxf>
      <font>
        <color rgb="FFFF0000"/>
      </font>
      <fill>
        <patternFill>
          <bgColor theme="0"/>
        </patternFill>
      </fill>
      <border>
        <right/>
        <bottom/>
      </border>
    </dxf>
    <dxf>
      <font>
        <color theme="0"/>
      </font>
      <fill>
        <patternFill>
          <bgColor theme="0"/>
        </patternFill>
      </fill>
      <border>
        <right/>
        <bottom/>
      </border>
    </dxf>
    <dxf>
      <font>
        <color theme="0"/>
      </font>
    </dxf>
    <dxf>
      <font>
        <color theme="0"/>
      </font>
      <fill>
        <patternFill>
          <bgColor theme="0"/>
        </patternFill>
      </fill>
    </dxf>
    <dxf>
      <font>
        <color rgb="FFFF0000"/>
      </font>
      <fill>
        <patternFill>
          <bgColor rgb="FFFCE4D6"/>
        </patternFill>
      </fill>
      <border>
        <left/>
        <top/>
      </border>
    </dxf>
    <dxf>
      <font>
        <color rgb="FF9C0006"/>
      </font>
      <fill>
        <patternFill>
          <bgColor rgb="FFFFC7CE"/>
        </patternFill>
      </fill>
    </dxf>
    <dxf>
      <font>
        <color rgb="FF9C0006"/>
      </font>
      <fill>
        <patternFill>
          <bgColor rgb="FFFFC7CE"/>
        </patternFill>
      </fill>
    </dxf>
    <dxf>
      <font>
        <color rgb="FFFF0000"/>
      </font>
      <fill>
        <patternFill>
          <bgColor rgb="FFFCE4D6"/>
        </patternFill>
      </fill>
      <border>
        <left/>
        <top/>
        <bottom/>
      </border>
    </dxf>
    <dxf>
      <font>
        <color rgb="FF9C0006"/>
      </font>
      <fill>
        <patternFill>
          <bgColor rgb="FFFFC7CE"/>
        </patternFill>
      </fill>
    </dxf>
    <dxf>
      <font>
        <color rgb="FF9C0006"/>
      </font>
      <fill>
        <patternFill>
          <bgColor rgb="FFFFC7CE"/>
        </patternFill>
      </fill>
    </dxf>
    <dxf>
      <font>
        <color theme="0"/>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dxf>
    <dxf>
      <font>
        <b/>
        <i val="0"/>
        <color rgb="FFFF0000"/>
      </font>
    </dxf>
    <dxf>
      <font>
        <b/>
        <i val="0"/>
        <color rgb="FFFF0000"/>
      </font>
    </dxf>
    <dxf>
      <font>
        <color theme="0"/>
      </font>
    </dxf>
    <dxf>
      <font>
        <color rgb="FF9C5700"/>
      </font>
      <fill>
        <patternFill>
          <bgColor rgb="FFFFEB9C"/>
        </patternFill>
      </fill>
    </dxf>
    <dxf>
      <font>
        <b val="0"/>
        <i val="0"/>
        <color theme="1"/>
      </font>
      <fill>
        <patternFill>
          <bgColor theme="0"/>
        </patternFill>
      </fill>
      <border>
        <vertical/>
        <horizontal/>
      </border>
    </dxf>
    <dxf>
      <font>
        <color theme="0"/>
      </font>
    </dxf>
    <dxf>
      <font>
        <strike val="0"/>
      </font>
    </dxf>
    <dxf>
      <font>
        <strike val="0"/>
      </font>
    </dxf>
    <dxf>
      <font>
        <strike val="0"/>
      </font>
    </dxf>
    <dxf>
      <font>
        <strike val="0"/>
      </font>
    </dxf>
    <dxf>
      <font>
        <color theme="0"/>
      </font>
      <fill>
        <patternFill>
          <bgColor theme="0"/>
        </patternFill>
      </fill>
      <border>
        <left/>
        <top/>
        <bottom/>
        <vertical/>
        <horizontal/>
      </border>
    </dxf>
    <dxf>
      <font>
        <color theme="0"/>
      </font>
      <fill>
        <patternFill>
          <bgColor theme="0"/>
        </patternFill>
      </fill>
      <border>
        <left/>
        <bottom/>
        <vertical/>
        <horizontal/>
      </border>
    </dxf>
    <dxf>
      <font>
        <color rgb="FFFF0000"/>
      </font>
      <fill>
        <patternFill>
          <bgColor theme="0"/>
        </patternFill>
      </fill>
      <border>
        <vertical/>
        <horizontal/>
      </border>
    </dxf>
    <dxf>
      <font>
        <color rgb="FFFF0000"/>
      </font>
      <fill>
        <patternFill>
          <bgColor theme="0"/>
        </patternFill>
      </fill>
    </dxf>
    <dxf>
      <font>
        <color rgb="FFFF0000"/>
      </font>
      <fill>
        <patternFill>
          <bgColor theme="0"/>
        </patternFill>
      </fill>
    </dxf>
    <dxf>
      <font>
        <color rgb="FFFF0000"/>
      </font>
      <fill>
        <patternFill>
          <bgColor theme="0"/>
        </patternFill>
      </fill>
    </dxf>
    <dxf>
      <font>
        <color rgb="FFFF0000"/>
      </font>
    </dxf>
    <dxf>
      <font>
        <color rgb="FFFF0000"/>
      </font>
      <fill>
        <patternFill>
          <bgColor theme="0"/>
        </patternFill>
      </fill>
    </dxf>
    <dxf>
      <font>
        <color rgb="FFFF0000"/>
      </font>
    </dxf>
    <dxf>
      <font>
        <color rgb="FFFF0000"/>
      </font>
      <fill>
        <patternFill>
          <bgColor theme="0"/>
        </patternFill>
      </fill>
    </dxf>
    <dxf>
      <font>
        <color rgb="FFFF0000"/>
      </font>
      <fill>
        <patternFill>
          <bgColor theme="0"/>
        </patternFill>
      </fill>
    </dxf>
    <dxf>
      <font>
        <color rgb="FFFF0000"/>
      </font>
      <fill>
        <patternFill>
          <bgColor theme="0"/>
        </patternFill>
      </fill>
      <border>
        <vertical/>
        <horizontal/>
      </border>
    </dxf>
    <dxf>
      <font>
        <color rgb="FFFF0000"/>
      </font>
      <fill>
        <patternFill>
          <bgColor theme="0"/>
        </patternFill>
      </fill>
    </dxf>
    <dxf>
      <font>
        <color rgb="FFFF0000"/>
      </font>
      <fill>
        <patternFill>
          <bgColor theme="0"/>
        </patternFill>
      </fill>
      <border>
        <vertical/>
        <horizontal/>
      </border>
    </dxf>
    <dxf>
      <font>
        <color rgb="FFFF0000"/>
      </font>
      <fill>
        <patternFill>
          <bgColor theme="0"/>
        </patternFill>
      </fill>
    </dxf>
    <dxf>
      <font>
        <color theme="0"/>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theme="0"/>
        </patternFill>
      </fill>
    </dxf>
    <dxf>
      <font>
        <color rgb="FFFF0000"/>
      </font>
      <fill>
        <patternFill>
          <bgColor theme="0"/>
        </patternFill>
      </fill>
    </dxf>
    <dxf>
      <font>
        <color theme="0"/>
      </font>
    </dxf>
    <dxf>
      <font>
        <color theme="0"/>
      </font>
    </dxf>
    <dxf>
      <font>
        <color rgb="FFFF0000"/>
      </font>
      <fill>
        <patternFill>
          <bgColor theme="0"/>
        </patternFill>
      </fill>
    </dxf>
    <dxf>
      <font>
        <color rgb="FFFF0000"/>
      </font>
      <fill>
        <patternFill>
          <bgColor theme="0"/>
        </patternFill>
      </fill>
    </dxf>
    <dxf>
      <font>
        <color rgb="FFFF0000"/>
      </font>
      <fill>
        <patternFill>
          <bgColor theme="0"/>
        </patternFill>
      </fill>
      <border>
        <vertical/>
        <horizontal/>
      </border>
    </dxf>
    <dxf>
      <font>
        <color rgb="FFFF0000"/>
      </font>
      <fill>
        <patternFill>
          <fgColor theme="0"/>
          <bgColor theme="0"/>
        </patternFill>
      </fill>
    </dxf>
    <dxf>
      <font>
        <color rgb="FFFF0000"/>
      </font>
      <fill>
        <patternFill>
          <bgColor theme="0"/>
        </patternFill>
      </fill>
    </dxf>
    <dxf>
      <font>
        <color theme="0"/>
      </font>
      <fill>
        <patternFill>
          <bgColor theme="0"/>
        </patternFill>
      </fill>
      <border>
        <vertical/>
        <horizontal/>
      </border>
    </dxf>
    <dxf>
      <font>
        <color theme="0"/>
      </font>
      <fill>
        <patternFill>
          <bgColor theme="0"/>
        </patternFill>
      </fill>
      <border>
        <vertical/>
        <horizontal/>
      </border>
    </dxf>
    <dxf>
      <font>
        <color theme="0"/>
      </font>
      <fill>
        <patternFill>
          <bgColor theme="0"/>
        </patternFill>
      </fill>
      <border>
        <left/>
        <right/>
        <bottom/>
        <vertical/>
        <horizontal/>
      </border>
    </dxf>
    <dxf>
      <font>
        <color theme="0"/>
      </font>
    </dxf>
    <dxf>
      <font>
        <color rgb="FFFF000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border>
        <right/>
        <top/>
        <bottom/>
        <vertical/>
        <horizontal/>
      </border>
    </dxf>
    <dxf>
      <font>
        <color theme="0"/>
      </font>
      <border>
        <right/>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border>
        <vertical/>
        <horizontal/>
      </border>
    </dxf>
    <dxf>
      <font>
        <color theme="0"/>
      </font>
      <fill>
        <patternFill>
          <fgColor theme="0"/>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rgb="FF9C0006"/>
      </font>
    </dxf>
    <dxf>
      <font>
        <color rgb="FF9C5700"/>
      </font>
      <fill>
        <patternFill>
          <bgColor rgb="FFFFEB9C"/>
        </patternFill>
      </fill>
      <border>
        <left style="thin">
          <color theme="0" tint="-0.14996795556505021"/>
        </left>
        <right style="thin">
          <color theme="0" tint="-0.14996795556505021"/>
        </right>
        <top style="thin">
          <color theme="0" tint="-0.14996795556505021"/>
        </top>
        <bottom style="thin">
          <color theme="0" tint="-0.14996795556505021"/>
        </bottom>
      </border>
    </dxf>
  </dxfs>
  <tableStyles count="0" defaultTableStyle="TableStyleMedium2" defaultPivotStyle="PivotStyleLight16"/>
  <colors>
    <mruColors>
      <color rgb="FFFCE4D6"/>
      <color rgb="FFFFFF99"/>
      <color rgb="FFFFC7CE"/>
      <color rgb="FFEFBAC0"/>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581025</xdr:colOff>
      <xdr:row>13</xdr:row>
      <xdr:rowOff>28575</xdr:rowOff>
    </xdr:from>
    <xdr:to>
      <xdr:col>18</xdr:col>
      <xdr:colOff>550545</xdr:colOff>
      <xdr:row>14</xdr:row>
      <xdr:rowOff>57882</xdr:rowOff>
    </xdr:to>
    <xdr:pic>
      <xdr:nvPicPr>
        <xdr:cNvPr id="2" name="Picture 1">
          <a:extLst>
            <a:ext uri="{FF2B5EF4-FFF2-40B4-BE49-F238E27FC236}">
              <a16:creationId xmlns:a16="http://schemas.microsoft.com/office/drawing/2014/main" id="{71AC31EC-A3B8-4F25-B946-40AE45EED1EB}"/>
            </a:ext>
          </a:extLst>
        </xdr:cNvPr>
        <xdr:cNvPicPr>
          <a:picLocks noChangeAspect="1"/>
        </xdr:cNvPicPr>
      </xdr:nvPicPr>
      <xdr:blipFill>
        <a:blip xmlns:r="http://schemas.openxmlformats.org/officeDocument/2006/relationships" r:embed="rId1"/>
        <a:stretch>
          <a:fillRect/>
        </a:stretch>
      </xdr:blipFill>
      <xdr:spPr>
        <a:xfrm>
          <a:off x="6189345" y="2611755"/>
          <a:ext cx="6650355" cy="48079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Ben Seloske" id="{4C56F39F-21B0-42D4-B3A7-5AA65911BEB8}" userId="S::bseloske@ics.idaho.gov::323a4393-0192-4f0a-bd81-77746bdb0b73"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2-01-31T18:09:24.05" personId="{4C56F39F-21B0-42D4-B3A7-5AA65911BEB8}" id="{3E94F99E-BBF6-4BBB-8D7F-A9385964CBF8}">
    <text>For the formulas to match values correctly, BearLake, NezPerce, and TwinFalls counties cannot have spaces in their names.</text>
  </threadedComment>
  <threadedComment ref="C1" dT="2022-01-03T22:30:22.81" personId="{4C56F39F-21B0-42D4-B3A7-5AA65911BEB8}" id="{887874F3-6649-4294-83E8-26D277E7E1B8}">
    <text>For the L-2 to fill data correctly, this tab must remain sorted alphabetically by DistName.</text>
  </threadedComment>
  <threadedComment ref="C1" dT="2023-12-12T21:29:54.72" personId="{4C56F39F-21B0-42D4-B3A7-5AA65911BEB8}" id="{E5B10DD1-957E-4C59-AAB5-AB09CBF6A41D}" parentId="{887874F3-6649-4294-83E8-26D277E7E1B8}">
    <text>Highlighted counties MUST use this form. The other listed counties may use this form but it shouldn't be different from the "General" form.</text>
  </threadedComment>
  <threadedComment ref="H1" dT="2023-03-20T21:39:36.82" personId="{4C56F39F-21B0-42D4-B3A7-5AA65911BEB8}" id="{F003EF1D-C3F4-4A2D-808F-63C5302D5124}">
    <text>Updated to 2025 OP values on 12/29/2025</text>
  </threadedComment>
  <threadedComment ref="I1" dT="2023-03-20T21:36:21.79" personId="{4C56F39F-21B0-42D4-B3A7-5AA65911BEB8}" id="{E8401FBE-EC75-4DD5-A3AC-63305CF5B155}">
    <text>Updated to 2025 OP values on 12/29/2025</text>
  </threadedComment>
  <threadedComment ref="L1" dT="2023-03-20T21:57:40.59" personId="{4C56F39F-21B0-42D4-B3A7-5AA65911BEB8}" id="{C552397B-2BFE-48B5-888D-0FAFCBB5D609}">
    <text>Updated 3/20/23 with figures that include the R&amp;B</text>
  </threadedComment>
  <threadedComment ref="U1" dT="2025-01-03T20:18:01.77" personId="{4C56F39F-21B0-42D4-B3A7-5AA65911BEB8}" id="{7EB1B5C1-48CC-43F2-9337-4054738B594F}">
    <text>If an error was determined to be a budget error where the budget grew incorrectly and was corrected with a reduction in the following year, those reductions are NOT treated as replacements. 
If an error was a valuation error that resulted in too much revenue for the district (but budget was set correctly), then the reduction in the following year would be treated as replacements.</text>
  </threadedComment>
  <threadedComment ref="Z1" dT="2022-04-25T18:01:02.06" personId="{4C56F39F-21B0-42D4-B3A7-5AA65911BEB8}" id="{5DCE5089-F8CF-4D3B-A705-DF6872294F2C}">
    <text>2026 Forgone amounts updated - 1/2/2026</text>
  </threadedComment>
  <threadedComment ref="C12" dT="2022-07-22T17:09:55.54" personId="{4C56F39F-21B0-42D4-B3A7-5AA65911BEB8}" id="{BEBF6E3D-09CA-4694-A6E2-B25DF6FE817C}">
    <text>Hasn't levied for R&amp;B for over 3 yrs</text>
  </threadedComment>
  <threadedComment ref="C22" dT="2022-08-01T17:06:25.83" personId="{4C56F39F-21B0-42D4-B3A7-5AA65911BEB8}" id="{D48CB916-4521-4D0D-A290-2AB3BEDF063E}">
    <text>Did not levy for R&amp;B in 2021</text>
  </threadedComment>
</ThreadedComments>
</file>

<file path=xl/threadedComments/threadedComment2.xml><?xml version="1.0" encoding="utf-8"?>
<ThreadedComments xmlns="http://schemas.microsoft.com/office/spreadsheetml/2018/threadedcomments" xmlns:x="http://schemas.openxmlformats.org/spreadsheetml/2006/main">
  <threadedComment ref="H13" dT="2022-05-13T21:45:23.54" personId="{4C56F39F-21B0-42D4-B3A7-5AA65911BEB8}" id="{50D2A384-A6A2-44C2-865B-69A641B7D144}">
    <text>Change this value if you would like to calculate a maximum using less than 3% base budget growth.
The default is set to 3% because this form’s purpose is to calculate the legal maximum.</text>
  </threadedComment>
  <threadedComment ref="B49" dT="2022-07-13T16:57:21.25" personId="{4C56F39F-21B0-42D4-B3A7-5AA65911BEB8}" id="{CA58D89E-B1D5-4B19-BA9B-9D399917ADC8}">
    <text>Once all the above boxes are completed, you can look at the L-2 Worksheet tab to review what the maximum property tax budget would be without using forgone amounts. This information can be used to guide your decision in this box.</text>
  </threadedComment>
  <threadedComment ref="I65" dT="2026-02-25T22:56:51.29" personId="{4C56F39F-21B0-42D4-B3A7-5AA65911BEB8}" id="{B64F125E-AF15-463F-9624-B08869E85DBE}">
    <text>In 2026, the new kWh/therms tax will reduce property tax revenue for all taxing districts. 
In subsequent years, increases in kWh/therms tax will result in decreasing property tax (and vice versa).</text>
  </threadedComment>
  <threadedComment ref="H69" dT="2024-01-29T23:26:45.18" personId="{4C56F39F-21B0-42D4-B3A7-5AA65911BEB8}" id="{1E3FF760-EB62-42E4-97A1-F019FA214901}">
    <text>If forgone amounts have been recovered into the budget, then this figure will not equal the sum of the above percentages because forgone recovery percentages (1% &amp; 3%) are based on the budget after the initial increases have been allowed.</text>
  </threadedComment>
</ThreadedComments>
</file>

<file path=xl/threadedComments/threadedComment3.xml><?xml version="1.0" encoding="utf-8"?>
<ThreadedComments xmlns="http://schemas.microsoft.com/office/spreadsheetml/2018/threadedcomments" xmlns:x="http://schemas.openxmlformats.org/spreadsheetml/2006/main">
  <threadedComment ref="H45" dT="2021-09-09T16:36:47.40" personId="{4C56F39F-21B0-42D4-B3A7-5AA65911BEB8}" id="{690176EA-5F06-4F30-B8A6-206AB8A10730}">
    <text>This amount should be the sum of the growth from: 3%, new construction, annexations, and expiring urban renewal minus the amount of growth being taken.</text>
  </threadedComment>
  <threadedComment ref="H45" dT="2025-12-02T19:44:41.79" personId="{4C56F39F-21B0-42D4-B3A7-5AA65911BEB8}" id="{BA0237B1-1160-48A5-AFCB-F0A81CA0AB2C}" parentId="{690176EA-5F06-4F30-B8A6-206AB8A10730}">
    <text>Should also allow the county to reserve the full 3% as forgone if they select less than 3% on the dashboard.</text>
  </threadedComment>
  <threadedComment ref="H46" dT="2022-04-04T19:48:53.02" personId="{4C56F39F-21B0-42D4-B3A7-5AA65911BEB8}" id="{A4425859-192B-478C-A2AA-BFB58207FFC6}">
    <text>If there is an amount in the box below, this box should be blank (the box below expands your budget growth this year and this amount reserves excess growth for the future; there should not be excess growth to reserve for the future if extra budget growth is needed via recovering forgone).</text>
  </threadedComment>
</ThreadedComments>
</file>

<file path=xl/threadedComments/threadedComment4.xml><?xml version="1.0" encoding="utf-8"?>
<ThreadedComments xmlns="http://schemas.microsoft.com/office/spreadsheetml/2018/threadedcomments" xmlns:x="http://schemas.openxmlformats.org/spreadsheetml/2006/main">
  <threadedComment ref="C1" dT="2026-01-06T18:36:45.16" personId="{4C56F39F-21B0-42D4-B3A7-5AA65911BEB8}" id="{BE325DE1-AA0D-4C5B-B7DD-4EDF52E3D4B7}">
    <text>CommonKey without the county indicator</text>
  </threadedComment>
</ThreadedComments>
</file>

<file path=xl/threadedComments/threadedComment5.xml><?xml version="1.0" encoding="utf-8"?>
<ThreadedComments xmlns="http://schemas.microsoft.com/office/spreadsheetml/2018/threadedcomments" xmlns:x="http://schemas.openxmlformats.org/spreadsheetml/2006/main">
  <threadedComment ref="C11" dT="2025-05-09T21:48:18.42" personId="{4C56F39F-21B0-42D4-B3A7-5AA65911BEB8}" id="{D2BAE6D6-0F23-46D6-8ABB-B25CF97CA56D}">
    <text>This needs to include Operating Property Value from current year.</text>
  </threadedComment>
</ThreadedComments>
</file>

<file path=xl/threadedComments/threadedComment6.xml><?xml version="1.0" encoding="utf-8"?>
<ThreadedComments xmlns="http://schemas.microsoft.com/office/spreadsheetml/2018/threadedcomments" xmlns:x="http://schemas.openxmlformats.org/spreadsheetml/2006/main">
  <threadedComment ref="B35" dT="2026-02-26T20:39:04.97" personId="{4C56F39F-21B0-42D4-B3A7-5AA65911BEB8}" id="{D103061B-9660-4367-8DE1-87364F7AF059}">
    <text>KwH/Therm taxes are apportioned based on 2025 property tax levies and these apportionments are required to be adjusted for expiring bonds.</text>
  </threadedComment>
</ThreadedComment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microsoft.com/office/2017/10/relationships/threadedComment" Target="../threadedComments/threadedComment6.x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3.xml"/></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microsoft.com/office/2017/10/relationships/threadedComment" Target="../threadedComments/threadedComment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5974D-69B8-4542-AF22-0B3C5DB7196B}">
  <dimension ref="A1:AZ5"/>
  <sheetViews>
    <sheetView zoomScale="85" zoomScaleNormal="85" workbookViewId="0">
      <pane xSplit="2" ySplit="1" topLeftCell="C2" activePane="bottomRight" state="frozen"/>
      <selection pane="topRight" activeCell="B1" sqref="B1"/>
      <selection pane="bottomLeft" activeCell="A2" sqref="A2"/>
      <selection pane="bottomRight" activeCell="C2" sqref="C2"/>
    </sheetView>
  </sheetViews>
  <sheetFormatPr defaultRowHeight="15.75" x14ac:dyDescent="0.25"/>
  <cols>
    <col min="1" max="1" width="6.5" bestFit="1" customWidth="1"/>
    <col min="2" max="2" width="30.125" customWidth="1"/>
    <col min="3" max="3" width="10.5" bestFit="1" customWidth="1"/>
    <col min="4" max="4" width="7.375" bestFit="1" customWidth="1"/>
    <col min="5" max="5" width="18.75" bestFit="1" customWidth="1"/>
    <col min="6" max="7" width="27.875" bestFit="1" customWidth="1"/>
    <col min="8" max="8" width="31" customWidth="1"/>
    <col min="9" max="9" width="17.125" bestFit="1" customWidth="1"/>
    <col min="10" max="10" width="14.875" bestFit="1" customWidth="1"/>
    <col min="11" max="11" width="13.375" customWidth="1"/>
    <col min="12" max="12" width="23.75" customWidth="1"/>
    <col min="13" max="13" width="15.25" bestFit="1" customWidth="1"/>
    <col min="14" max="14" width="19.375" bestFit="1" customWidth="1"/>
    <col min="15" max="15" width="19.5" bestFit="1" customWidth="1"/>
    <col min="16" max="16" width="12.875" customWidth="1"/>
    <col min="17" max="17" width="10.75" bestFit="1" customWidth="1"/>
    <col min="18" max="18" width="17.875" bestFit="1" customWidth="1"/>
    <col min="19" max="20" width="18.625" bestFit="1" customWidth="1"/>
    <col min="21" max="21" width="23.75" bestFit="1" customWidth="1"/>
    <col min="22" max="23" width="5.875" customWidth="1"/>
    <col min="24" max="24" width="16.5" bestFit="1" customWidth="1"/>
    <col min="25" max="25" width="17.625" bestFit="1" customWidth="1"/>
    <col min="28" max="28" width="21.125" bestFit="1" customWidth="1"/>
    <col min="30" max="30" width="23.375" bestFit="1" customWidth="1"/>
    <col min="31" max="31" width="25.5" customWidth="1"/>
    <col min="32" max="32" width="17.5" bestFit="1" customWidth="1"/>
    <col min="33" max="33" width="22.625" bestFit="1" customWidth="1"/>
    <col min="34" max="34" width="18.625" bestFit="1" customWidth="1"/>
    <col min="35" max="35" width="13.125" bestFit="1" customWidth="1"/>
    <col min="36" max="36" width="18" bestFit="1" customWidth="1"/>
    <col min="37" max="37" width="20.125" bestFit="1" customWidth="1"/>
    <col min="38" max="38" width="16.625" bestFit="1" customWidth="1"/>
    <col min="39" max="39" width="19.125" bestFit="1" customWidth="1"/>
    <col min="40" max="40" width="26.875" customWidth="1"/>
    <col min="41" max="41" width="11.5" customWidth="1"/>
    <col min="42" max="42" width="19.125" customWidth="1"/>
    <col min="43" max="43" width="15.125" bestFit="1" customWidth="1"/>
    <col min="44" max="44" width="17.25" customWidth="1"/>
    <col min="45" max="45" width="14.375" bestFit="1" customWidth="1"/>
    <col min="46" max="46" width="14.25" customWidth="1"/>
    <col min="47" max="47" width="17.375" bestFit="1" customWidth="1"/>
    <col min="48" max="48" width="20.75" customWidth="1"/>
    <col min="49" max="49" width="23.75" bestFit="1" customWidth="1"/>
    <col min="50" max="50" width="24.5" bestFit="1" customWidth="1"/>
    <col min="51" max="51" width="29.5" bestFit="1" customWidth="1"/>
    <col min="52" max="52" width="37.5" bestFit="1" customWidth="1"/>
  </cols>
  <sheetData>
    <row r="1" spans="1:52" s="111" customFormat="1" x14ac:dyDescent="0.25">
      <c r="A1" s="111" t="s">
        <v>32</v>
      </c>
      <c r="B1" s="111" t="s">
        <v>68</v>
      </c>
      <c r="C1" s="111" t="s">
        <v>258</v>
      </c>
      <c r="D1" s="111" t="s">
        <v>314</v>
      </c>
      <c r="E1" s="111" t="s">
        <v>351</v>
      </c>
      <c r="F1" s="111" t="s">
        <v>313</v>
      </c>
      <c r="G1" s="111" t="s">
        <v>216</v>
      </c>
      <c r="H1" s="111" t="s">
        <v>217</v>
      </c>
      <c r="I1" s="111" t="s">
        <v>133</v>
      </c>
      <c r="J1" s="111" t="s">
        <v>119</v>
      </c>
      <c r="K1" s="111" t="s">
        <v>134</v>
      </c>
      <c r="L1" s="111" t="s">
        <v>125</v>
      </c>
      <c r="M1" s="111" t="s">
        <v>407</v>
      </c>
      <c r="N1" s="111" t="s">
        <v>352</v>
      </c>
      <c r="O1" s="111" t="s">
        <v>408</v>
      </c>
      <c r="P1" s="111" t="s">
        <v>402</v>
      </c>
      <c r="Q1" s="111" t="s">
        <v>403</v>
      </c>
      <c r="R1" s="111" t="s">
        <v>404</v>
      </c>
      <c r="S1" s="111" t="s">
        <v>247</v>
      </c>
      <c r="T1" s="111" t="s">
        <v>248</v>
      </c>
      <c r="U1" s="111" t="s">
        <v>249</v>
      </c>
      <c r="V1" s="111" t="s">
        <v>398</v>
      </c>
      <c r="W1" s="111" t="s">
        <v>399</v>
      </c>
      <c r="X1" s="111" t="s">
        <v>397</v>
      </c>
      <c r="Y1" s="111" t="s">
        <v>120</v>
      </c>
      <c r="Z1" s="111" t="s">
        <v>121</v>
      </c>
      <c r="AA1" s="111" t="s">
        <v>405</v>
      </c>
      <c r="AB1" s="111" t="s">
        <v>406</v>
      </c>
      <c r="AC1" s="111" t="s">
        <v>122</v>
      </c>
      <c r="AD1" s="111" t="s">
        <v>123</v>
      </c>
      <c r="AE1" s="111" t="s">
        <v>124</v>
      </c>
      <c r="AF1" s="111" t="s">
        <v>126</v>
      </c>
      <c r="AG1" s="111" t="s">
        <v>127</v>
      </c>
      <c r="AH1" s="111" t="s">
        <v>128</v>
      </c>
      <c r="AI1" s="111" t="s">
        <v>129</v>
      </c>
      <c r="AJ1" s="111" t="s">
        <v>130</v>
      </c>
      <c r="AK1" s="111" t="str">
        <f>LEFT('1. Dashboard'!B8,4)&amp;"RecoveredForgone"</f>
        <v>2026RecoveredForgone</v>
      </c>
      <c r="AL1" s="111" t="str">
        <f>LEFT('1. Dashboard'!B8,4)&amp;"ActualForgone"</f>
        <v>2026ActualForgone</v>
      </c>
      <c r="AM1" s="111" t="str">
        <f>LEFT('1. Dashboard'!B8,4)&amp;"ReservedForgone"</f>
        <v>2026ReservedForgone</v>
      </c>
      <c r="AN1" s="111" t="s">
        <v>137</v>
      </c>
      <c r="AO1" s="111" t="s">
        <v>138</v>
      </c>
      <c r="AP1" s="111" t="s">
        <v>139</v>
      </c>
      <c r="AQ1" s="111" t="s">
        <v>256</v>
      </c>
      <c r="AR1" s="111" t="s">
        <v>140</v>
      </c>
      <c r="AS1" s="111" t="s">
        <v>141</v>
      </c>
      <c r="AT1" s="111" t="s">
        <v>142</v>
      </c>
      <c r="AU1" s="111" t="s">
        <v>229</v>
      </c>
      <c r="AV1" s="111" t="s">
        <v>230</v>
      </c>
      <c r="AW1" s="111" t="s">
        <v>353</v>
      </c>
      <c r="AX1" s="111" t="s">
        <v>355</v>
      </c>
      <c r="AY1" s="111" t="s">
        <v>354</v>
      </c>
      <c r="AZ1" s="111" t="s">
        <v>373</v>
      </c>
    </row>
    <row r="2" spans="1:52" s="71" customFormat="1" x14ac:dyDescent="0.25">
      <c r="B2" s="71">
        <f>DistrictName</f>
        <v>0</v>
      </c>
      <c r="C2" s="71" t="e">
        <f>INDEX(Data!$E$2:$E$25,MATCH(DistrictName,Data!$C$2:$C$25,0))</f>
        <v>#N/A</v>
      </c>
      <c r="D2" s="157" t="str">
        <f>LEFT('1. Dashboard'!$B$8,4)</f>
        <v>2026</v>
      </c>
      <c r="E2" s="157" t="str">
        <f>SCOstatus</f>
        <v>Yes</v>
      </c>
      <c r="F2" s="71">
        <f>'2. L-2 Worksheet'!G29</f>
        <v>0</v>
      </c>
      <c r="G2" s="135" t="b">
        <f>IF(MAX('2. L-2 Worksheet'!E13:I13)='2. L-2 Worksheet'!I13,LEFT('2. L-2 Worksheet'!B17,4)-1,
 IF(MAX('2. L-2 Worksheet'!E13:I13)='2. L-2 Worksheet'!G13,LEFT('2. L-2 Worksheet'!B17,4)-2,
 IF(MAX('2. L-2 Worksheet'!E13:I13)='2. L-2 Worksheet'!E13,LEFT('2. L-2 Worksheet'!B17,4)-3)))</f>
        <v>0</v>
      </c>
      <c r="H2" s="71" t="e">
        <f>'2. L-2 Worksheet'!I20-'2. L-2 Worksheet'!I21</f>
        <v>#VALUE!</v>
      </c>
      <c r="I2" s="71" t="str">
        <f>'2. L-2 Worksheet'!I22</f>
        <v/>
      </c>
      <c r="J2" s="71">
        <f>'2. L-2 Worksheet'!G32</f>
        <v>0</v>
      </c>
      <c r="K2" s="112" t="str">
        <f>'2. L-2 Worksheet'!G35</f>
        <v/>
      </c>
      <c r="L2" s="71" t="str">
        <f>'2. L-2 Worksheet'!G37</f>
        <v/>
      </c>
      <c r="M2" s="71">
        <f>'2. L-2 Worksheet'!G41</f>
        <v>0</v>
      </c>
      <c r="N2" s="164" t="str">
        <f>'2. L-2 Worksheet'!G47</f>
        <v/>
      </c>
      <c r="O2" s="71" t="str">
        <f>'2. L-2 Worksheet'!G49</f>
        <v/>
      </c>
      <c r="P2" s="71" t="str">
        <f>'2. L-2 Worksheet'!G54</f>
        <v/>
      </c>
      <c r="Q2" s="71" t="str">
        <f>IF(DistrictName=0,"",
    IF('2. L-2 Worksheet'!$G$54&lt;'2. L-2 Worksheet'!$G$53,"Yes","No"))</f>
        <v/>
      </c>
      <c r="R2" s="71">
        <f>IF(Q2="Yes",'2. L-2 Worksheet'!G53-'2. L-2 Worksheet'!G54,0)</f>
        <v>0</v>
      </c>
      <c r="S2" s="71">
        <f>'2. L-2 Worksheet'!G57</f>
        <v>0</v>
      </c>
      <c r="T2" s="71">
        <f>'2. L-2 Worksheet'!G58</f>
        <v>0</v>
      </c>
      <c r="U2" s="71" t="str">
        <f>'2. L-2 Worksheet'!G63</f>
        <v/>
      </c>
      <c r="V2" s="71">
        <v>0</v>
      </c>
      <c r="W2" s="71">
        <v>0</v>
      </c>
      <c r="X2" s="71" t="str">
        <f>'1. Dashboard'!$I$70</f>
        <v/>
      </c>
      <c r="Y2" s="71">
        <f>'2. L-2 Worksheet'!G83</f>
        <v>0</v>
      </c>
      <c r="Z2" s="71">
        <f>'2. L-2 Worksheet'!G78</f>
        <v>0</v>
      </c>
      <c r="AA2" s="71">
        <f>'2. L-2 Worksheet'!G79</f>
        <v>0</v>
      </c>
      <c r="AB2" s="71" t="str">
        <f>'2. L-2 Worksheet'!G77</f>
        <v/>
      </c>
      <c r="AC2" s="71">
        <f>'2. L-2 Worksheet'!G82</f>
        <v>0</v>
      </c>
      <c r="AD2" s="71" t="str">
        <f>'2. L-2 Worksheet'!G69</f>
        <v/>
      </c>
      <c r="AE2" s="71" t="str">
        <f>'2. L-2 Worksheet'!G70</f>
        <v/>
      </c>
      <c r="AF2" s="71" t="str">
        <f>'2. L-2 Worksheet'!I86</f>
        <v/>
      </c>
      <c r="AG2" s="71">
        <f>SUM('3. L-2 Dollar Certification'!H9:H26)</f>
        <v>0</v>
      </c>
      <c r="AH2" s="71">
        <f>'3. L-2 Dollar Certification'!H42</f>
        <v>0</v>
      </c>
      <c r="AI2" s="71">
        <f>'3. L-2 Dollar Certification'!F43</f>
        <v>0</v>
      </c>
      <c r="AJ2" s="71">
        <f>'3. L-2 Dollar Certification'!G43</f>
        <v>0</v>
      </c>
      <c r="AK2" s="71">
        <f>'3. L-2 Dollar Certification'!H47</f>
        <v>0</v>
      </c>
      <c r="AL2" s="71" t="str">
        <f>'3. L-2 Dollar Certification'!H45</f>
        <v/>
      </c>
      <c r="AM2" s="71">
        <f>'3. L-2 Dollar Certification'!H46</f>
        <v>0</v>
      </c>
      <c r="AN2" s="71">
        <f>'4. Levy Rate Calculation'!C15</f>
        <v>0</v>
      </c>
      <c r="AO2" s="71">
        <f>'4. Levy Rate Calculation'!D15</f>
        <v>0</v>
      </c>
      <c r="AP2" s="71">
        <f>'4. Levy Rate Calculation'!E15</f>
        <v>0</v>
      </c>
      <c r="AQ2" s="71" t="str">
        <f>IF(SUM('4. Levy Rate Calculation'!D20:E40,'4. Levy Rate Calculation'!D43:E49)&lt;&gt;0,"YES","NO")</f>
        <v>NO</v>
      </c>
      <c r="AR2" s="112">
        <f>'4. Levy Rate Calculation'!F41-(SUM('4. Levy Rate Calculation'!F38:F40))</f>
        <v>0</v>
      </c>
      <c r="AS2" s="112">
        <f>'4. Levy Rate Calculation'!F50</f>
        <v>0</v>
      </c>
      <c r="AT2" s="112">
        <f>'4. Levy Rate Calculation'!F41+'4. Levy Rate Calculation'!F50-(SUM('4. Levy Rate Calculation'!F38:F40))</f>
        <v>0</v>
      </c>
      <c r="AU2" s="71">
        <v>0</v>
      </c>
      <c r="AV2" s="71">
        <f>SUM('3. L-2 Dollar Certification'!$H$9:$H$26,'2. L-2 Worksheet'!I80)</f>
        <v>0</v>
      </c>
      <c r="AW2" s="164">
        <f>SUMIF('4. Levy Rate Calculation'!$D$20:$D$37,"",'4. Levy Rate Calculation'!$F$20:$F$37) +
 SUMIF('4. Levy Rate Calculation'!$D$43:$D$49,"",'4. Levy Rate Calculation'!$F$43:$F$49)</f>
        <v>0</v>
      </c>
      <c r="AX2" s="164">
        <f>SUMIF('4. Levy Rate Calculation'!$D$20:$D$37,'4. Levy Rate Calculation'!$D$15,'4. Levy Rate Calculation'!$F$20:$F$37) +
 SUMIF('4. Levy Rate Calculation'!$D$43:$D$49,'4. Levy Rate Calculation'!$D$15,'4. Levy Rate Calculation'!$F$43:$F$49)</f>
        <v>0</v>
      </c>
      <c r="AY2" s="164">
        <f>SUMIF('4. Levy Rate Calculation'!$D$20:$D$37,'4. Levy Rate Calculation'!$E$15,'4. Levy Rate Calculation'!$F$20:$F$37) +
 SUMIF('4. Levy Rate Calculation'!$D$43:$D$49,'4. Levy Rate Calculation'!$E$15,'4. Levy Rate Calculation'!$F$43:$F$49)</f>
        <v>0</v>
      </c>
      <c r="AZ2" s="71">
        <f>'5. Voter Tracker'!H36</f>
        <v>0</v>
      </c>
    </row>
    <row r="3" spans="1:52" x14ac:dyDescent="0.25">
      <c r="B3" s="71">
        <f>IF(DistrictName&lt;&gt;0,B2&amp;" Road &amp; Bridge",B2)</f>
        <v>0</v>
      </c>
      <c r="C3" s="71" t="e">
        <f>INDEX(Data!$F$2:$F$25,MATCH(DistrictName,Data!$C$2:$C$25,0))</f>
        <v>#N/A</v>
      </c>
      <c r="D3" s="157" t="str">
        <f>LEFT('1. Dashboard'!$B$8,4)</f>
        <v>2026</v>
      </c>
      <c r="E3" s="157" t="str">
        <f>SCOstatus</f>
        <v>Yes</v>
      </c>
      <c r="F3" s="71">
        <f>'2. L-2 Worksheet'!G30</f>
        <v>0</v>
      </c>
      <c r="G3" s="135" t="b">
        <f>G2</f>
        <v>0</v>
      </c>
      <c r="H3" s="71" t="str">
        <f>'2. L-2 Worksheet'!I21</f>
        <v/>
      </c>
      <c r="I3" s="71" t="str">
        <f>'2. L-2 Worksheet'!I23</f>
        <v/>
      </c>
      <c r="J3" s="71">
        <f>'2. L-2 Worksheet'!G33</f>
        <v>0</v>
      </c>
      <c r="K3" s="112" t="str">
        <f>'2. L-2 Worksheet'!G36</f>
        <v/>
      </c>
      <c r="L3" s="71" t="str">
        <f>'2. L-2 Worksheet'!G38</f>
        <v/>
      </c>
      <c r="M3" s="71">
        <f>'2. L-2 Worksheet'!G42</f>
        <v>0</v>
      </c>
      <c r="N3" s="164" t="str">
        <f>'2. L-2 Worksheet'!G48</f>
        <v/>
      </c>
      <c r="O3" s="71" t="str">
        <f>'2. L-2 Worksheet'!G50</f>
        <v/>
      </c>
      <c r="P3" s="71">
        <v>0</v>
      </c>
      <c r="Q3" s="71" t="str">
        <f>Q2</f>
        <v/>
      </c>
      <c r="R3" s="71">
        <v>0</v>
      </c>
      <c r="S3" s="71">
        <f>'2. L-2 Worksheet'!G59</f>
        <v>0</v>
      </c>
      <c r="T3" s="71">
        <f>'2. L-2 Worksheet'!G60</f>
        <v>0</v>
      </c>
      <c r="U3" s="71" t="str">
        <f>'2. L-2 Worksheet'!G64</f>
        <v/>
      </c>
      <c r="V3" s="71">
        <v>0</v>
      </c>
      <c r="W3" s="71">
        <v>0</v>
      </c>
      <c r="X3" s="71">
        <v>0</v>
      </c>
      <c r="Y3" s="71">
        <v>0</v>
      </c>
      <c r="Z3" s="71">
        <v>0</v>
      </c>
      <c r="AA3" s="71">
        <v>0</v>
      </c>
      <c r="AB3" s="71">
        <v>0</v>
      </c>
      <c r="AC3" s="71">
        <v>0</v>
      </c>
      <c r="AD3" s="71">
        <v>0</v>
      </c>
      <c r="AE3" s="71">
        <v>0</v>
      </c>
      <c r="AF3" s="71">
        <v>0</v>
      </c>
      <c r="AG3" s="71">
        <f>SUM('3. L-2 Dollar Certification'!H28:H30)</f>
        <v>0</v>
      </c>
      <c r="AH3" s="71">
        <v>0</v>
      </c>
      <c r="AI3" s="71">
        <v>0</v>
      </c>
      <c r="AJ3" s="71">
        <v>0</v>
      </c>
      <c r="AK3" s="71">
        <v>0</v>
      </c>
      <c r="AL3" s="71">
        <v>0</v>
      </c>
      <c r="AM3" s="71">
        <v>0</v>
      </c>
      <c r="AN3" s="71">
        <f>'4. Levy Rate Calculation'!C16</f>
        <v>0</v>
      </c>
      <c r="AO3" s="71">
        <f>'4. Levy Rate Calculation'!D16</f>
        <v>0</v>
      </c>
      <c r="AP3" s="71">
        <f>'4. Levy Rate Calculation'!E16</f>
        <v>0</v>
      </c>
      <c r="AQ3" s="71" t="str">
        <f>AQ2</f>
        <v>NO</v>
      </c>
      <c r="AR3" s="112">
        <f>SUM('4. Levy Rate Calculation'!F38:F40)</f>
        <v>0</v>
      </c>
      <c r="AS3" s="112">
        <v>0</v>
      </c>
      <c r="AT3" s="112">
        <f>SUM('4. Levy Rate Calculation'!F38:F40)</f>
        <v>0</v>
      </c>
      <c r="AU3" s="71">
        <v>0</v>
      </c>
      <c r="AV3" s="71">
        <f>SUM('3. L-2 Dollar Certification'!$H$28:$H$30)</f>
        <v>0</v>
      </c>
      <c r="AW3" s="165">
        <f>SUMIF('4. Levy Rate Calculation'!$D$39:$D$40,"",'4. Levy Rate Calculation'!$F$39:$F$40)</f>
        <v>0</v>
      </c>
      <c r="AX3" s="165">
        <f>SUMIF('4. Levy Rate Calculation'!$D$39:$D$40,'4. Levy Rate Calculation'!$D$16,'4. Levy Rate Calculation'!$F$39:$F$40)</f>
        <v>0</v>
      </c>
      <c r="AY3" s="165">
        <f>SUMIF('4. Levy Rate Calculation'!$D$39:$D$40,'4. Levy Rate Calculation'!$E$16,'4. Levy Rate Calculation'!$F$39:$F$40)</f>
        <v>0</v>
      </c>
      <c r="AZ3" s="71">
        <v>0</v>
      </c>
    </row>
    <row r="4" spans="1:52" x14ac:dyDescent="0.25">
      <c r="D4" s="153"/>
      <c r="E4" s="153"/>
      <c r="H4" s="71"/>
      <c r="AR4" s="112"/>
      <c r="AS4" s="112"/>
      <c r="AT4" s="112"/>
    </row>
    <row r="5" spans="1:52" x14ac:dyDescent="0.25">
      <c r="AR5" s="112"/>
      <c r="AS5" s="112"/>
      <c r="AT5" s="112"/>
    </row>
  </sheetData>
  <sheetProtection algorithmName="SHA-512" hashValue="52ePhZ2juiA3D3/GGM4jkK8rWaqkRAwOmr27OkAD7JeR5S2Bqz2UkAQi4WAajRinGWtqwHXiTBiajMUt6+HY1Q==" saltValue="V1vEReDNIRjYZqma4vvVSA==" spinCount="100000"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7BC00-4536-5F47-8EAF-EA2B9D65D578}">
  <sheetPr codeName="Sheet11">
    <pageSetUpPr fitToPage="1"/>
  </sheetPr>
  <dimension ref="A1:I37"/>
  <sheetViews>
    <sheetView showGridLines="0" zoomScale="90" zoomScaleNormal="90" workbookViewId="0">
      <selection activeCell="H35" sqref="H35:I35"/>
    </sheetView>
  </sheetViews>
  <sheetFormatPr defaultColWidth="8.75" defaultRowHeight="16.899999999999999" customHeight="1" x14ac:dyDescent="0.25"/>
  <cols>
    <col min="1" max="1" width="2.75" style="2" customWidth="1"/>
    <col min="2" max="2" width="19.75" style="2" customWidth="1"/>
    <col min="3" max="4" width="14.75" style="2" customWidth="1"/>
    <col min="5" max="5" width="15.5" style="2" customWidth="1"/>
    <col min="6" max="6" width="19" style="2" customWidth="1"/>
    <col min="7" max="7" width="14.75" style="2" customWidth="1"/>
    <col min="8" max="8" width="17.75" style="2" bestFit="1" customWidth="1"/>
    <col min="9" max="9" width="14.25" style="2" customWidth="1"/>
    <col min="10" max="16384" width="8.75" style="2"/>
  </cols>
  <sheetData>
    <row r="1" spans="1:9" ht="16.899999999999999" customHeight="1" thickBot="1" x14ac:dyDescent="0.3">
      <c r="A1" s="39"/>
    </row>
    <row r="2" spans="1:9" ht="16.899999999999999" customHeight="1" x14ac:dyDescent="0.25">
      <c r="B2" s="651" t="str">
        <f>LEFT('1. Dashboard'!B8,4)&amp;" Voter Approved Fund Tracker
Attach to L-2 Form If Applicable"</f>
        <v>2026 Voter Approved Fund Tracker
Attach to L-2 Form If Applicable</v>
      </c>
      <c r="C2" s="652"/>
      <c r="D2" s="652"/>
      <c r="E2" s="652"/>
      <c r="F2" s="652"/>
      <c r="G2" s="652"/>
      <c r="H2" s="652"/>
      <c r="I2" s="653"/>
    </row>
    <row r="3" spans="1:9" ht="16.899999999999999" customHeight="1" thickBot="1" x14ac:dyDescent="0.3">
      <c r="B3" s="654"/>
      <c r="C3" s="655"/>
      <c r="D3" s="655"/>
      <c r="E3" s="655"/>
      <c r="F3" s="655"/>
      <c r="G3" s="655"/>
      <c r="H3" s="655"/>
      <c r="I3" s="656"/>
    </row>
    <row r="4" spans="1:9" ht="16.899999999999999" customHeight="1" x14ac:dyDescent="0.25">
      <c r="B4" s="538" t="str">
        <f>IF(DistrictName&lt;&gt;0,"District Name: "&amp;DistrictName&amp;" and "&amp;DistrictName&amp;" Road &amp; Bridge","District Name:")</f>
        <v>District Name:</v>
      </c>
      <c r="C4" s="539"/>
      <c r="D4" s="539"/>
      <c r="E4" s="539"/>
      <c r="F4" s="539"/>
      <c r="G4" s="539"/>
      <c r="H4" s="539"/>
      <c r="I4" s="540"/>
    </row>
    <row r="5" spans="1:9" ht="16.899999999999999" customHeight="1" x14ac:dyDescent="0.25">
      <c r="B5" s="657" t="s">
        <v>17</v>
      </c>
      <c r="C5" s="658"/>
      <c r="D5" s="658"/>
      <c r="E5" s="659"/>
      <c r="F5" s="15" t="s">
        <v>27</v>
      </c>
      <c r="G5" s="678" t="s">
        <v>5</v>
      </c>
      <c r="H5" s="678" t="s">
        <v>18</v>
      </c>
      <c r="I5" s="675" t="s">
        <v>19</v>
      </c>
    </row>
    <row r="6" spans="1:9" ht="16.899999999999999" customHeight="1" x14ac:dyDescent="0.25">
      <c r="B6" s="660"/>
      <c r="C6" s="661"/>
      <c r="D6" s="661"/>
      <c r="E6" s="662"/>
      <c r="F6" s="673" t="s">
        <v>29</v>
      </c>
      <c r="G6" s="679"/>
      <c r="H6" s="679"/>
      <c r="I6" s="676"/>
    </row>
    <row r="7" spans="1:9" ht="16.899999999999999" customHeight="1" thickBot="1" x14ac:dyDescent="0.3">
      <c r="B7" s="663"/>
      <c r="C7" s="664"/>
      <c r="D7" s="664"/>
      <c r="E7" s="665"/>
      <c r="F7" s="674"/>
      <c r="G7" s="680"/>
      <c r="H7" s="680"/>
      <c r="I7" s="677"/>
    </row>
    <row r="8" spans="1:9" ht="4.9000000000000004" customHeight="1" thickBot="1" x14ac:dyDescent="0.3">
      <c r="B8" s="12"/>
      <c r="C8" s="12"/>
      <c r="D8" s="12"/>
      <c r="E8" s="12"/>
      <c r="F8" s="13"/>
      <c r="G8" s="14"/>
      <c r="H8" s="14"/>
      <c r="I8" s="14"/>
    </row>
    <row r="9" spans="1:9" ht="16.899999999999999" customHeight="1" thickBot="1" x14ac:dyDescent="0.3">
      <c r="B9" s="666" t="str">
        <f>"Override Funds Available to All Districts"</f>
        <v>Override Funds Available to All Districts</v>
      </c>
      <c r="C9" s="667"/>
      <c r="D9" s="667"/>
      <c r="E9" s="667"/>
      <c r="F9" s="667"/>
      <c r="G9" s="667"/>
      <c r="H9" s="667"/>
      <c r="I9" s="668"/>
    </row>
    <row r="10" spans="1:9" ht="16.899999999999999" customHeight="1" x14ac:dyDescent="0.25">
      <c r="B10" s="671" t="str">
        <f>"2 Yr Override I.C. §63-802"</f>
        <v>2 Yr Override I.C. §63-802</v>
      </c>
      <c r="C10" s="672"/>
      <c r="D10" s="672"/>
      <c r="E10" s="672"/>
      <c r="F10" s="77"/>
      <c r="G10" s="48"/>
      <c r="H10" s="48"/>
      <c r="I10" s="26"/>
    </row>
    <row r="11" spans="1:9" ht="16.899999999999999" customHeight="1" thickBot="1" x14ac:dyDescent="0.3">
      <c r="B11" s="669" t="str">
        <f>"Permanent Override I.C.§63-802"</f>
        <v>Permanent Override I.C.§63-802</v>
      </c>
      <c r="C11" s="670"/>
      <c r="D11" s="670"/>
      <c r="E11" s="670"/>
      <c r="F11" s="115"/>
      <c r="G11" s="116"/>
      <c r="H11" s="116"/>
      <c r="I11" s="27"/>
    </row>
    <row r="12" spans="1:9" ht="16.899999999999999" customHeight="1" thickBot="1" x14ac:dyDescent="0.3"/>
    <row r="13" spans="1:9" ht="16.899999999999999" customHeight="1" thickBot="1" x14ac:dyDescent="0.3">
      <c r="B13" s="666" t="s">
        <v>20</v>
      </c>
      <c r="C13" s="667"/>
      <c r="D13" s="667"/>
      <c r="E13" s="667"/>
      <c r="F13" s="667"/>
      <c r="G13" s="667"/>
      <c r="H13" s="667"/>
      <c r="I13" s="668"/>
    </row>
    <row r="14" spans="1:9" ht="16.899999999999999" customHeight="1" x14ac:dyDescent="0.25">
      <c r="B14" s="625" t="s">
        <v>26</v>
      </c>
      <c r="C14" s="627" t="s">
        <v>5</v>
      </c>
      <c r="D14" s="627" t="s">
        <v>18</v>
      </c>
      <c r="E14" s="627" t="s">
        <v>21</v>
      </c>
      <c r="F14" s="627" t="s">
        <v>22</v>
      </c>
      <c r="G14" s="627" t="s">
        <v>23</v>
      </c>
      <c r="H14" s="627" t="s">
        <v>30</v>
      </c>
      <c r="I14" s="681" t="s">
        <v>31</v>
      </c>
    </row>
    <row r="15" spans="1:9" ht="16.899999999999999" customHeight="1" x14ac:dyDescent="0.25">
      <c r="B15" s="626"/>
      <c r="C15" s="628"/>
      <c r="D15" s="628"/>
      <c r="E15" s="628"/>
      <c r="F15" s="628"/>
      <c r="G15" s="628"/>
      <c r="H15" s="628"/>
      <c r="I15" s="682"/>
    </row>
    <row r="16" spans="1:9" ht="16.899999999999999" customHeight="1" x14ac:dyDescent="0.25">
      <c r="B16" s="626"/>
      <c r="C16" s="628"/>
      <c r="D16" s="628"/>
      <c r="E16" s="628"/>
      <c r="F16" s="628"/>
      <c r="G16" s="628"/>
      <c r="H16" s="628"/>
      <c r="I16" s="682"/>
    </row>
    <row r="17" spans="2:9" ht="16.899999999999999" customHeight="1" x14ac:dyDescent="0.25">
      <c r="B17" s="78"/>
      <c r="C17" s="75"/>
      <c r="D17" s="75"/>
      <c r="E17" s="28"/>
      <c r="F17" s="29"/>
      <c r="G17" s="29"/>
      <c r="H17" s="22" t="str">
        <f>IF(F17="","",IF(AND(F17=0,G17=0),0,IF(F17=0,1,ROUND((G17/F17-1),2))))</f>
        <v/>
      </c>
      <c r="I17" s="23" t="str">
        <f>IF(AND(OR(H17&lt;-0.2, H17&gt;0.2),
        AND(F17&lt;&gt;"",G17&lt;&gt;"")),
    "YES","")</f>
        <v/>
      </c>
    </row>
    <row r="18" spans="2:9" ht="16.899999999999999" customHeight="1" x14ac:dyDescent="0.25">
      <c r="B18" s="78"/>
      <c r="C18" s="75"/>
      <c r="D18" s="75"/>
      <c r="E18" s="28"/>
      <c r="F18" s="29"/>
      <c r="G18" s="29"/>
      <c r="H18" s="22" t="str">
        <f t="shared" ref="H18:H23" si="0">IF(F18="","",IF(AND(F18=0,G18=0),0,IF(F18=0,1,ROUND((G18/F18-1),2))))</f>
        <v/>
      </c>
      <c r="I18" s="23" t="str">
        <f t="shared" ref="I18:I23" si="1">IF(AND(OR(H18&lt;-0.2, H18&gt;0.2),
        AND(F18&lt;&gt;"",G18&lt;&gt;"")),
    "YES","")</f>
        <v/>
      </c>
    </row>
    <row r="19" spans="2:9" ht="16.899999999999999" customHeight="1" x14ac:dyDescent="0.25">
      <c r="B19" s="78"/>
      <c r="C19" s="75"/>
      <c r="D19" s="75"/>
      <c r="E19" s="28"/>
      <c r="F19" s="29"/>
      <c r="G19" s="29"/>
      <c r="H19" s="22" t="str">
        <f t="shared" si="0"/>
        <v/>
      </c>
      <c r="I19" s="23" t="str">
        <f t="shared" si="1"/>
        <v/>
      </c>
    </row>
    <row r="20" spans="2:9" ht="16.899999999999999" customHeight="1" x14ac:dyDescent="0.25">
      <c r="B20" s="78"/>
      <c r="C20" s="75"/>
      <c r="D20" s="75"/>
      <c r="E20" s="28"/>
      <c r="F20" s="29"/>
      <c r="G20" s="29"/>
      <c r="H20" s="22" t="str">
        <f t="shared" si="0"/>
        <v/>
      </c>
      <c r="I20" s="23" t="str">
        <f t="shared" si="1"/>
        <v/>
      </c>
    </row>
    <row r="21" spans="2:9" ht="16.899999999999999" customHeight="1" x14ac:dyDescent="0.25">
      <c r="B21" s="78"/>
      <c r="C21" s="75"/>
      <c r="D21" s="75"/>
      <c r="E21" s="28"/>
      <c r="F21" s="29"/>
      <c r="G21" s="29"/>
      <c r="H21" s="22" t="str">
        <f t="shared" si="0"/>
        <v/>
      </c>
      <c r="I21" s="23" t="str">
        <f t="shared" si="1"/>
        <v/>
      </c>
    </row>
    <row r="22" spans="2:9" ht="16.899999999999999" customHeight="1" x14ac:dyDescent="0.25">
      <c r="B22" s="78"/>
      <c r="C22" s="75"/>
      <c r="D22" s="75"/>
      <c r="E22" s="28"/>
      <c r="F22" s="29"/>
      <c r="G22" s="29"/>
      <c r="H22" s="22" t="str">
        <f t="shared" si="0"/>
        <v/>
      </c>
      <c r="I22" s="23" t="str">
        <f t="shared" si="1"/>
        <v/>
      </c>
    </row>
    <row r="23" spans="2:9" ht="16.899999999999999" customHeight="1" thickBot="1" x14ac:dyDescent="0.3">
      <c r="B23" s="79"/>
      <c r="C23" s="80"/>
      <c r="D23" s="80"/>
      <c r="E23" s="59"/>
      <c r="F23" s="60"/>
      <c r="G23" s="60"/>
      <c r="H23" s="61" t="str">
        <f t="shared" si="0"/>
        <v/>
      </c>
      <c r="I23" s="62" t="str">
        <f t="shared" si="1"/>
        <v/>
      </c>
    </row>
    <row r="24" spans="2:9" ht="16.899999999999999" customHeight="1" thickBot="1" x14ac:dyDescent="0.3">
      <c r="B24" s="622" t="s">
        <v>24</v>
      </c>
      <c r="C24" s="623"/>
      <c r="D24" s="624"/>
      <c r="E24" s="624"/>
      <c r="F24" s="624"/>
      <c r="G24" s="58">
        <f>SUM(G17:G23)</f>
        <v>0</v>
      </c>
      <c r="H24" s="620"/>
      <c r="I24" s="621"/>
    </row>
    <row r="25" spans="2:9" ht="16.899999999999999" customHeight="1" x14ac:dyDescent="0.25">
      <c r="B25" s="10"/>
      <c r="C25" s="10"/>
      <c r="D25" s="7"/>
      <c r="E25" s="7"/>
      <c r="F25" s="7"/>
      <c r="G25" s="8"/>
      <c r="H25" s="9"/>
      <c r="I25" s="9"/>
    </row>
    <row r="26" spans="2:9" ht="16.899999999999999" customHeight="1" x14ac:dyDescent="0.25">
      <c r="B26" s="630" t="s">
        <v>25</v>
      </c>
      <c r="C26" s="630"/>
      <c r="D26" s="630"/>
      <c r="E26" s="630"/>
      <c r="F26" s="630"/>
      <c r="G26" s="630"/>
      <c r="H26" s="630"/>
      <c r="I26" s="630"/>
    </row>
    <row r="27" spans="2:9" ht="16.899999999999999" customHeight="1" x14ac:dyDescent="0.25">
      <c r="B27" s="638"/>
      <c r="C27" s="639"/>
      <c r="D27" s="639"/>
      <c r="E27" s="639"/>
      <c r="F27" s="639"/>
      <c r="G27" s="639"/>
      <c r="H27" s="639"/>
      <c r="I27" s="640"/>
    </row>
    <row r="28" spans="2:9" ht="16.899999999999999" customHeight="1" x14ac:dyDescent="0.25">
      <c r="B28" s="635"/>
      <c r="C28" s="636"/>
      <c r="D28" s="636"/>
      <c r="E28" s="636"/>
      <c r="F28" s="636"/>
      <c r="G28" s="636"/>
      <c r="H28" s="636"/>
      <c r="I28" s="637"/>
    </row>
    <row r="29" spans="2:9" ht="16.899999999999999" customHeight="1" x14ac:dyDescent="0.25">
      <c r="B29" s="635"/>
      <c r="C29" s="636"/>
      <c r="D29" s="636"/>
      <c r="E29" s="636"/>
      <c r="F29" s="636"/>
      <c r="G29" s="636"/>
      <c r="H29" s="636"/>
      <c r="I29" s="637"/>
    </row>
    <row r="30" spans="2:9" ht="16.899999999999999" customHeight="1" x14ac:dyDescent="0.25">
      <c r="B30" s="635"/>
      <c r="C30" s="636"/>
      <c r="D30" s="636"/>
      <c r="E30" s="636"/>
      <c r="F30" s="636"/>
      <c r="G30" s="636"/>
      <c r="H30" s="636"/>
      <c r="I30" s="637"/>
    </row>
    <row r="31" spans="2:9" ht="16.899999999999999" customHeight="1" x14ac:dyDescent="0.25">
      <c r="B31" s="635"/>
      <c r="C31" s="636"/>
      <c r="D31" s="636"/>
      <c r="E31" s="636"/>
      <c r="F31" s="636"/>
      <c r="G31" s="636"/>
      <c r="H31" s="636"/>
      <c r="I31" s="637"/>
    </row>
    <row r="32" spans="2:9" ht="16.899999999999999" customHeight="1" x14ac:dyDescent="0.25">
      <c r="B32" s="635"/>
      <c r="C32" s="636"/>
      <c r="D32" s="636"/>
      <c r="E32" s="636"/>
      <c r="F32" s="636"/>
      <c r="G32" s="636"/>
      <c r="H32" s="636"/>
      <c r="I32" s="637"/>
    </row>
    <row r="33" spans="2:9" ht="16.899999999999999" customHeight="1" x14ac:dyDescent="0.25">
      <c r="B33" s="632"/>
      <c r="C33" s="633"/>
      <c r="D33" s="633"/>
      <c r="E33" s="633"/>
      <c r="F33" s="633"/>
      <c r="G33" s="633"/>
      <c r="H33" s="633"/>
      <c r="I33" s="634"/>
    </row>
    <row r="34" spans="2:9" ht="16.899999999999999" customHeight="1" thickBot="1" x14ac:dyDescent="0.3"/>
    <row r="35" spans="2:9" ht="21" customHeight="1" thickBot="1" x14ac:dyDescent="0.3">
      <c r="B35" s="641" t="s">
        <v>371</v>
      </c>
      <c r="C35" s="642"/>
      <c r="D35" s="642"/>
      <c r="E35" s="642"/>
      <c r="F35" s="642"/>
      <c r="G35" s="643"/>
      <c r="H35" s="644"/>
      <c r="I35" s="645"/>
    </row>
    <row r="36" spans="2:9" ht="21" customHeight="1" thickBot="1" x14ac:dyDescent="0.3">
      <c r="B36" s="646" t="s">
        <v>372</v>
      </c>
      <c r="C36" s="647"/>
      <c r="D36" s="647"/>
      <c r="E36" s="647"/>
      <c r="F36" s="647"/>
      <c r="G36" s="648"/>
      <c r="H36" s="649"/>
      <c r="I36" s="650"/>
    </row>
    <row r="37" spans="2:9" ht="16.899999999999999" customHeight="1" x14ac:dyDescent="0.25">
      <c r="B37" s="2" t="s">
        <v>113</v>
      </c>
      <c r="E37" s="629"/>
      <c r="F37" s="629"/>
      <c r="H37" s="631"/>
      <c r="I37" s="631"/>
    </row>
  </sheetData>
  <sheetProtection algorithmName="SHA-512" hashValue="7nKi8/a9zp2UsRK2FfaM1s8c5lRJeuBeoDwNhWkB6vS6z0tj+Q7AxutWaJ2Yq5urg4kHlQJKlbwfKS4PxPgCSQ==" saltValue="ZaI0RcSbKjDwT4vnh38Mmg==" spinCount="100000" sheet="1" selectLockedCells="1"/>
  <protectedRanges>
    <protectedRange password="D9AD" sqref="H17:I25" name="Computation_1_1"/>
  </protectedRanges>
  <mergeCells count="35">
    <mergeCell ref="B2:I3"/>
    <mergeCell ref="H14:H16"/>
    <mergeCell ref="G14:G16"/>
    <mergeCell ref="F14:F16"/>
    <mergeCell ref="B5:E7"/>
    <mergeCell ref="B9:I9"/>
    <mergeCell ref="B11:E11"/>
    <mergeCell ref="B10:E10"/>
    <mergeCell ref="F6:F7"/>
    <mergeCell ref="I5:I7"/>
    <mergeCell ref="H5:H7"/>
    <mergeCell ref="G5:G7"/>
    <mergeCell ref="I14:I16"/>
    <mergeCell ref="B4:I4"/>
    <mergeCell ref="B13:I13"/>
    <mergeCell ref="E37:F37"/>
    <mergeCell ref="B26:I26"/>
    <mergeCell ref="H37:I37"/>
    <mergeCell ref="B33:I33"/>
    <mergeCell ref="B32:I32"/>
    <mergeCell ref="B29:I29"/>
    <mergeCell ref="B28:I28"/>
    <mergeCell ref="B27:I27"/>
    <mergeCell ref="B31:I31"/>
    <mergeCell ref="B30:I30"/>
    <mergeCell ref="B35:G35"/>
    <mergeCell ref="H35:I35"/>
    <mergeCell ref="B36:G36"/>
    <mergeCell ref="H36:I36"/>
    <mergeCell ref="H24:I24"/>
    <mergeCell ref="B24:F24"/>
    <mergeCell ref="B14:B16"/>
    <mergeCell ref="E14:E16"/>
    <mergeCell ref="D14:D16"/>
    <mergeCell ref="C14:C16"/>
  </mergeCells>
  <conditionalFormatting sqref="B36:G36">
    <cfRule type="expression" dxfId="2" priority="2">
      <formula>$H$35&lt;&gt;"Yes"</formula>
    </cfRule>
  </conditionalFormatting>
  <conditionalFormatting sqref="B35:I35">
    <cfRule type="expression" dxfId="1" priority="1">
      <formula>$H$35="Yes"</formula>
    </cfRule>
  </conditionalFormatting>
  <conditionalFormatting sqref="H36:I36">
    <cfRule type="expression" dxfId="0" priority="3">
      <formula>$H$35&lt;&gt;"Yes"</formula>
    </cfRule>
  </conditionalFormatting>
  <dataValidations count="1">
    <dataValidation type="list" allowBlank="1" showInputMessage="1" showErrorMessage="1" errorTitle="Error" error="This is a Yes/No question. Do not enter numbers in this field." sqref="H35:I35" xr:uid="{C7DC505B-5B2D-484F-B9A7-931B4A10F45D}">
      <formula1>"Yes,No"</formula1>
    </dataValidation>
  </dataValidations>
  <printOptions horizontalCentered="1"/>
  <pageMargins left="0.25" right="0.25" top="0.25" bottom="0.25" header="0.3" footer="0.3"/>
  <pageSetup scale="71"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89A29-5E5E-43AB-BCF2-5F746508E22C}">
  <sheetPr codeName="Sheet6"/>
  <dimension ref="A1:AF25"/>
  <sheetViews>
    <sheetView topLeftCell="C1" zoomScale="85" zoomScaleNormal="85" workbookViewId="0">
      <pane xSplit="1" ySplit="1" topLeftCell="D2" activePane="bottomRight" state="frozen"/>
      <selection activeCell="C1" sqref="C1"/>
      <selection pane="topRight" activeCell="D1" sqref="D1"/>
      <selection pane="bottomLeft" activeCell="C2" sqref="C2"/>
      <selection pane="bottomRight" activeCell="G1" sqref="G1"/>
    </sheetView>
  </sheetViews>
  <sheetFormatPr defaultRowHeight="15.75" x14ac:dyDescent="0.25"/>
  <cols>
    <col min="1" max="1" width="12.5" hidden="1" customWidth="1"/>
    <col min="2" max="2" width="21.875" hidden="1" customWidth="1"/>
    <col min="3" max="3" width="18.875" customWidth="1"/>
    <col min="4" max="4" width="19" customWidth="1"/>
    <col min="5" max="5" width="13.75" bestFit="1" customWidth="1"/>
    <col min="6" max="6" width="17.75" customWidth="1"/>
    <col min="7" max="7" width="13" bestFit="1" customWidth="1"/>
    <col min="8" max="8" width="27.5" bestFit="1" customWidth="1"/>
    <col min="9" max="9" width="32.75" customWidth="1"/>
    <col min="10" max="10" width="16.125" customWidth="1"/>
    <col min="11" max="12" width="19" customWidth="1"/>
    <col min="13" max="13" width="26.625" customWidth="1"/>
    <col min="14" max="16" width="12.75" customWidth="1"/>
    <col min="17" max="19" width="11.875" customWidth="1"/>
    <col min="20" max="22" width="19.875" customWidth="1"/>
    <col min="23" max="25" width="18" customWidth="1"/>
    <col min="26" max="26" width="13.25" style="71" bestFit="1" customWidth="1"/>
    <col min="27" max="29" width="27.375" style="71" customWidth="1"/>
    <col min="30" max="32" width="30.875" style="71" customWidth="1"/>
  </cols>
  <sheetData>
    <row r="1" spans="1:32" x14ac:dyDescent="0.25">
      <c r="A1" s="71" t="s">
        <v>91</v>
      </c>
      <c r="B1" s="71" t="s">
        <v>92</v>
      </c>
      <c r="C1" s="71" t="s">
        <v>68</v>
      </c>
      <c r="D1" s="151" t="s">
        <v>310</v>
      </c>
      <c r="E1" s="110" t="s">
        <v>258</v>
      </c>
      <c r="F1" s="110" t="s">
        <v>259</v>
      </c>
      <c r="G1" s="110" t="s">
        <v>325</v>
      </c>
      <c r="H1" s="71" t="s">
        <v>336</v>
      </c>
      <c r="I1" s="71" t="s">
        <v>337</v>
      </c>
      <c r="J1" s="71" t="s">
        <v>93</v>
      </c>
      <c r="K1" s="71" t="s">
        <v>131</v>
      </c>
      <c r="L1" s="71" t="s">
        <v>132</v>
      </c>
      <c r="M1" s="134" t="s">
        <v>198</v>
      </c>
      <c r="N1" s="71" t="s">
        <v>199</v>
      </c>
      <c r="O1" s="71" t="s">
        <v>200</v>
      </c>
      <c r="P1" s="71" t="s">
        <v>315</v>
      </c>
      <c r="Q1" s="71" t="s">
        <v>150</v>
      </c>
      <c r="R1" s="71" t="s">
        <v>158</v>
      </c>
      <c r="S1" s="71" t="s">
        <v>320</v>
      </c>
      <c r="T1" s="71" t="s">
        <v>203</v>
      </c>
      <c r="U1" s="71" t="s">
        <v>204</v>
      </c>
      <c r="V1" s="71" t="s">
        <v>316</v>
      </c>
      <c r="W1" s="71" t="s">
        <v>201</v>
      </c>
      <c r="X1" s="71" t="s">
        <v>202</v>
      </c>
      <c r="Y1" s="71" t="s">
        <v>317</v>
      </c>
      <c r="Z1" s="71" t="s">
        <v>350</v>
      </c>
      <c r="AA1" s="71" t="s">
        <v>193</v>
      </c>
      <c r="AB1" s="71" t="s">
        <v>194</v>
      </c>
      <c r="AC1" s="71" t="s">
        <v>318</v>
      </c>
      <c r="AD1" s="71" t="s">
        <v>195</v>
      </c>
      <c r="AE1" s="71" t="s">
        <v>196</v>
      </c>
      <c r="AF1" s="71" t="s">
        <v>319</v>
      </c>
    </row>
    <row r="2" spans="1:32" x14ac:dyDescent="0.25">
      <c r="A2" s="71" t="s">
        <v>69</v>
      </c>
      <c r="B2" s="71" t="s">
        <v>32</v>
      </c>
      <c r="C2" s="105" t="s">
        <v>46</v>
      </c>
      <c r="D2" s="105">
        <v>1</v>
      </c>
      <c r="E2" s="110" t="s">
        <v>260</v>
      </c>
      <c r="F2" s="110" t="s">
        <v>261</v>
      </c>
      <c r="G2" s="110" t="s">
        <v>165</v>
      </c>
      <c r="H2" s="71">
        <v>610432209</v>
      </c>
      <c r="I2" s="71">
        <v>479733977</v>
      </c>
      <c r="J2" s="71">
        <v>66253</v>
      </c>
      <c r="K2" s="71">
        <v>267568</v>
      </c>
      <c r="L2" s="71">
        <v>88984</v>
      </c>
      <c r="M2" s="71">
        <v>86393</v>
      </c>
      <c r="N2" s="71">
        <v>0</v>
      </c>
      <c r="O2" s="71">
        <v>0</v>
      </c>
      <c r="P2" s="71">
        <v>0</v>
      </c>
      <c r="Q2" s="71">
        <v>0</v>
      </c>
      <c r="R2" s="71">
        <v>0</v>
      </c>
      <c r="S2" s="71">
        <v>0</v>
      </c>
      <c r="T2" s="71">
        <v>0</v>
      </c>
      <c r="U2" s="71">
        <v>0</v>
      </c>
      <c r="V2" s="71">
        <v>0</v>
      </c>
      <c r="W2" s="71">
        <v>0</v>
      </c>
      <c r="X2" s="71">
        <v>0</v>
      </c>
      <c r="Y2" s="71">
        <v>0</v>
      </c>
      <c r="Z2" s="71">
        <v>3112141</v>
      </c>
      <c r="AA2" s="71">
        <v>26618178</v>
      </c>
      <c r="AB2" s="71">
        <v>27629033</v>
      </c>
      <c r="AC2" s="71">
        <v>29037412</v>
      </c>
      <c r="AD2" s="71">
        <v>2557709</v>
      </c>
      <c r="AE2" s="71">
        <v>2299242</v>
      </c>
      <c r="AF2" s="71">
        <v>2240935</v>
      </c>
    </row>
    <row r="3" spans="1:32" x14ac:dyDescent="0.25">
      <c r="A3" s="71" t="s">
        <v>90</v>
      </c>
      <c r="B3" s="71" t="s">
        <v>32</v>
      </c>
      <c r="C3" s="71" t="s">
        <v>47</v>
      </c>
      <c r="D3" s="71" t="s">
        <v>151</v>
      </c>
      <c r="E3" s="110" t="s">
        <v>262</v>
      </c>
      <c r="F3" s="110" t="s">
        <v>263</v>
      </c>
      <c r="G3" s="110" t="s">
        <v>164</v>
      </c>
      <c r="H3" s="71">
        <v>222042374</v>
      </c>
      <c r="I3" s="71">
        <v>222042374</v>
      </c>
      <c r="J3" s="71">
        <v>30856</v>
      </c>
      <c r="K3" s="71">
        <v>25165</v>
      </c>
      <c r="L3" s="71">
        <v>8974</v>
      </c>
      <c r="M3" s="71">
        <v>8835</v>
      </c>
      <c r="N3" s="71">
        <v>0</v>
      </c>
      <c r="O3" s="71">
        <v>0</v>
      </c>
      <c r="P3" s="71">
        <v>0</v>
      </c>
      <c r="Q3" s="71">
        <v>0</v>
      </c>
      <c r="R3" s="71">
        <v>0</v>
      </c>
      <c r="S3" s="71">
        <v>0</v>
      </c>
      <c r="T3" s="71">
        <v>0</v>
      </c>
      <c r="U3" s="71">
        <v>0</v>
      </c>
      <c r="V3" s="71">
        <v>0</v>
      </c>
      <c r="W3" s="71">
        <v>0</v>
      </c>
      <c r="X3" s="71">
        <v>0</v>
      </c>
      <c r="Y3" s="71">
        <v>0</v>
      </c>
      <c r="Z3" s="71">
        <v>0</v>
      </c>
      <c r="AA3" s="71">
        <v>3380804</v>
      </c>
      <c r="AB3" s="71">
        <v>3317172</v>
      </c>
      <c r="AC3" s="71">
        <v>3467575</v>
      </c>
      <c r="AD3" s="71">
        <v>708265</v>
      </c>
      <c r="AE3" s="71">
        <v>994015</v>
      </c>
      <c r="AF3" s="71">
        <v>1069202</v>
      </c>
    </row>
    <row r="4" spans="1:32" x14ac:dyDescent="0.25">
      <c r="A4" s="71" t="s">
        <v>70</v>
      </c>
      <c r="B4" s="71" t="s">
        <v>32</v>
      </c>
      <c r="C4" s="105" t="s">
        <v>48</v>
      </c>
      <c r="D4" s="105">
        <v>1</v>
      </c>
      <c r="E4" s="110" t="s">
        <v>264</v>
      </c>
      <c r="F4" s="110" t="s">
        <v>265</v>
      </c>
      <c r="G4" s="110" t="s">
        <v>164</v>
      </c>
      <c r="H4" s="71">
        <v>31193727</v>
      </c>
      <c r="I4" s="71">
        <v>19060257</v>
      </c>
      <c r="J4" s="71">
        <v>30958</v>
      </c>
      <c r="K4" s="71">
        <v>64059</v>
      </c>
      <c r="L4" s="71">
        <v>11009</v>
      </c>
      <c r="M4" s="71">
        <v>10601</v>
      </c>
      <c r="N4" s="71">
        <v>0</v>
      </c>
      <c r="O4" s="71">
        <v>0</v>
      </c>
      <c r="P4" s="71">
        <v>0</v>
      </c>
      <c r="Q4" s="71">
        <v>0</v>
      </c>
      <c r="R4" s="71">
        <v>0</v>
      </c>
      <c r="S4" s="71">
        <v>0</v>
      </c>
      <c r="T4" s="71">
        <v>0</v>
      </c>
      <c r="U4" s="71">
        <v>0</v>
      </c>
      <c r="V4" s="71">
        <v>0</v>
      </c>
      <c r="W4" s="71">
        <v>0</v>
      </c>
      <c r="X4" s="71">
        <v>0</v>
      </c>
      <c r="Y4" s="71">
        <v>0</v>
      </c>
      <c r="Z4" s="71">
        <v>0</v>
      </c>
      <c r="AA4" s="71">
        <v>3890021</v>
      </c>
      <c r="AB4" s="71">
        <v>4482146</v>
      </c>
      <c r="AC4" s="71">
        <v>4526307</v>
      </c>
      <c r="AD4" s="71">
        <v>669200</v>
      </c>
      <c r="AE4" s="71">
        <v>311000</v>
      </c>
      <c r="AF4" s="71">
        <v>482246</v>
      </c>
    </row>
    <row r="5" spans="1:32" x14ac:dyDescent="0.25">
      <c r="A5" s="71" t="s">
        <v>71</v>
      </c>
      <c r="B5" s="71" t="s">
        <v>32</v>
      </c>
      <c r="C5" s="71" t="s">
        <v>49</v>
      </c>
      <c r="D5" s="71" t="s">
        <v>151</v>
      </c>
      <c r="E5" s="110" t="s">
        <v>266</v>
      </c>
      <c r="F5" s="110" t="s">
        <v>267</v>
      </c>
      <c r="G5" s="110" t="s">
        <v>165</v>
      </c>
      <c r="H5" s="71">
        <v>220774855</v>
      </c>
      <c r="I5" s="71">
        <v>220774855</v>
      </c>
      <c r="J5" s="71">
        <v>413387</v>
      </c>
      <c r="K5" s="71">
        <v>149458</v>
      </c>
      <c r="L5" s="71">
        <v>43818</v>
      </c>
      <c r="M5" s="71">
        <v>43602</v>
      </c>
      <c r="N5" s="71">
        <v>0</v>
      </c>
      <c r="O5" s="71">
        <v>0</v>
      </c>
      <c r="P5" s="71">
        <v>0</v>
      </c>
      <c r="Q5" s="71">
        <v>0</v>
      </c>
      <c r="R5" s="71">
        <v>0</v>
      </c>
      <c r="S5" s="71">
        <v>0</v>
      </c>
      <c r="T5" s="71">
        <v>0</v>
      </c>
      <c r="U5" s="71">
        <v>0</v>
      </c>
      <c r="V5" s="71">
        <v>0</v>
      </c>
      <c r="W5" s="71">
        <v>0</v>
      </c>
      <c r="X5" s="71">
        <v>0</v>
      </c>
      <c r="Y5" s="71">
        <v>0</v>
      </c>
      <c r="Z5" s="71">
        <v>2489544</v>
      </c>
      <c r="AA5" s="71">
        <v>13283620</v>
      </c>
      <c r="AB5" s="71">
        <v>14189719</v>
      </c>
      <c r="AC5" s="71">
        <v>15394798</v>
      </c>
      <c r="AD5" s="71">
        <v>611394</v>
      </c>
      <c r="AE5" s="71">
        <v>420500</v>
      </c>
      <c r="AF5" s="71">
        <v>125000</v>
      </c>
    </row>
    <row r="6" spans="1:32" x14ac:dyDescent="0.25">
      <c r="A6" s="71" t="s">
        <v>72</v>
      </c>
      <c r="B6" s="71" t="s">
        <v>32</v>
      </c>
      <c r="C6" s="71" t="s">
        <v>50</v>
      </c>
      <c r="D6" s="71" t="s">
        <v>151</v>
      </c>
      <c r="E6" s="110" t="s">
        <v>268</v>
      </c>
      <c r="F6" s="110" t="s">
        <v>269</v>
      </c>
      <c r="G6" s="110" t="s">
        <v>164</v>
      </c>
      <c r="H6" s="71">
        <v>29338234</v>
      </c>
      <c r="I6" s="71">
        <v>29338234</v>
      </c>
      <c r="J6" s="71">
        <v>2528</v>
      </c>
      <c r="K6" s="71">
        <v>49641</v>
      </c>
      <c r="L6" s="71">
        <v>4823</v>
      </c>
      <c r="M6" s="71">
        <v>4823</v>
      </c>
      <c r="N6" s="71">
        <v>0</v>
      </c>
      <c r="O6" s="71">
        <v>0</v>
      </c>
      <c r="P6" s="71">
        <v>0</v>
      </c>
      <c r="Q6" s="71">
        <v>0</v>
      </c>
      <c r="R6" s="71">
        <v>0</v>
      </c>
      <c r="S6" s="71">
        <v>0</v>
      </c>
      <c r="T6" s="71">
        <v>0</v>
      </c>
      <c r="U6" s="71">
        <v>0</v>
      </c>
      <c r="V6" s="71">
        <v>0</v>
      </c>
      <c r="W6" s="71">
        <v>0</v>
      </c>
      <c r="X6" s="71">
        <v>0</v>
      </c>
      <c r="Y6" s="71">
        <v>0</v>
      </c>
      <c r="Z6" s="71">
        <v>0</v>
      </c>
      <c r="AA6" s="71">
        <v>5594420</v>
      </c>
      <c r="AB6" s="71">
        <v>5928553</v>
      </c>
      <c r="AC6" s="71">
        <v>6238296</v>
      </c>
      <c r="AD6" s="71">
        <v>0</v>
      </c>
      <c r="AE6" s="71">
        <v>0</v>
      </c>
      <c r="AF6" s="71">
        <v>0</v>
      </c>
    </row>
    <row r="7" spans="1:32" x14ac:dyDescent="0.25">
      <c r="A7" s="71" t="s">
        <v>73</v>
      </c>
      <c r="B7" s="71" t="s">
        <v>32</v>
      </c>
      <c r="C7" s="105" t="s">
        <v>51</v>
      </c>
      <c r="D7" s="105">
        <v>1</v>
      </c>
      <c r="E7" s="110" t="s">
        <v>270</v>
      </c>
      <c r="F7" s="110" t="s">
        <v>271</v>
      </c>
      <c r="G7" s="110" t="s">
        <v>165</v>
      </c>
      <c r="H7" s="71">
        <v>502712052</v>
      </c>
      <c r="I7" s="71">
        <v>460930295</v>
      </c>
      <c r="J7" s="71">
        <v>35223</v>
      </c>
      <c r="K7" s="71">
        <v>213786</v>
      </c>
      <c r="L7" s="71">
        <v>41099</v>
      </c>
      <c r="M7" s="71">
        <v>40556</v>
      </c>
      <c r="N7" s="71">
        <v>5186</v>
      </c>
      <c r="O7" s="71">
        <v>5197</v>
      </c>
      <c r="P7" s="71">
        <v>1866</v>
      </c>
      <c r="Q7" s="71">
        <v>0</v>
      </c>
      <c r="R7" s="71">
        <v>0</v>
      </c>
      <c r="S7" s="71">
        <v>0</v>
      </c>
      <c r="T7" s="71">
        <v>0</v>
      </c>
      <c r="U7" s="71">
        <v>0</v>
      </c>
      <c r="V7" s="71">
        <v>0</v>
      </c>
      <c r="W7" s="71">
        <v>0</v>
      </c>
      <c r="X7" s="71">
        <v>0</v>
      </c>
      <c r="Y7" s="71">
        <v>0</v>
      </c>
      <c r="Z7" s="71">
        <v>4866</v>
      </c>
      <c r="AA7" s="71">
        <v>27394841</v>
      </c>
      <c r="AB7" s="71">
        <v>28714154</v>
      </c>
      <c r="AC7" s="71">
        <v>30860269</v>
      </c>
      <c r="AD7" s="71">
        <v>6312133</v>
      </c>
      <c r="AE7" s="71">
        <v>6734158</v>
      </c>
      <c r="AF7" s="71">
        <v>6223007</v>
      </c>
    </row>
    <row r="8" spans="1:32" x14ac:dyDescent="0.25">
      <c r="A8" s="71" t="s">
        <v>74</v>
      </c>
      <c r="B8" s="71" t="s">
        <v>32</v>
      </c>
      <c r="C8" s="71" t="s">
        <v>52</v>
      </c>
      <c r="D8" s="71" t="s">
        <v>151</v>
      </c>
      <c r="E8" s="110" t="s">
        <v>272</v>
      </c>
      <c r="F8" s="110" t="s">
        <v>273</v>
      </c>
      <c r="G8" s="110" t="s">
        <v>165</v>
      </c>
      <c r="H8" s="71">
        <v>148341627</v>
      </c>
      <c r="I8" s="71">
        <v>148341627</v>
      </c>
      <c r="J8" s="71">
        <v>191843</v>
      </c>
      <c r="K8" s="71">
        <v>337284</v>
      </c>
      <c r="L8" s="71">
        <v>116573</v>
      </c>
      <c r="M8" s="71">
        <v>116573</v>
      </c>
      <c r="N8" s="71">
        <v>10717</v>
      </c>
      <c r="O8" s="71">
        <v>659</v>
      </c>
      <c r="P8" s="71">
        <v>4114</v>
      </c>
      <c r="Q8" s="71">
        <v>0</v>
      </c>
      <c r="R8" s="71">
        <v>0</v>
      </c>
      <c r="S8" s="71">
        <v>0</v>
      </c>
      <c r="T8" s="71">
        <v>0</v>
      </c>
      <c r="U8" s="71">
        <v>0</v>
      </c>
      <c r="V8" s="71">
        <v>0</v>
      </c>
      <c r="W8" s="71">
        <v>0</v>
      </c>
      <c r="X8" s="71">
        <v>0</v>
      </c>
      <c r="Y8" s="71">
        <v>0</v>
      </c>
      <c r="Z8" s="71">
        <v>3695317</v>
      </c>
      <c r="AA8" s="71">
        <v>39116031</v>
      </c>
      <c r="AB8" s="71">
        <v>41183077</v>
      </c>
      <c r="AC8" s="71">
        <v>43763326</v>
      </c>
      <c r="AD8" s="71">
        <v>600000</v>
      </c>
      <c r="AE8" s="71">
        <v>625000</v>
      </c>
      <c r="AF8" s="71">
        <v>725000</v>
      </c>
    </row>
    <row r="9" spans="1:32" x14ac:dyDescent="0.25">
      <c r="A9" s="71" t="s">
        <v>75</v>
      </c>
      <c r="B9" s="71" t="s">
        <v>32</v>
      </c>
      <c r="C9" s="71" t="s">
        <v>53</v>
      </c>
      <c r="D9" s="71" t="s">
        <v>151</v>
      </c>
      <c r="E9" s="110" t="s">
        <v>274</v>
      </c>
      <c r="F9" s="110" t="s">
        <v>275</v>
      </c>
      <c r="G9" s="110" t="s">
        <v>165</v>
      </c>
      <c r="H9" s="71">
        <v>260551939</v>
      </c>
      <c r="I9" s="71">
        <v>260551939</v>
      </c>
      <c r="J9" s="71">
        <v>48772</v>
      </c>
      <c r="K9" s="71">
        <v>76880</v>
      </c>
      <c r="L9" s="71">
        <v>16596</v>
      </c>
      <c r="M9" s="71">
        <v>16596</v>
      </c>
      <c r="N9" s="71">
        <v>0</v>
      </c>
      <c r="O9" s="71">
        <v>0</v>
      </c>
      <c r="P9" s="71">
        <v>0</v>
      </c>
      <c r="Q9" s="71">
        <v>0</v>
      </c>
      <c r="R9" s="71">
        <v>0</v>
      </c>
      <c r="S9" s="71">
        <v>0</v>
      </c>
      <c r="T9" s="71">
        <v>0</v>
      </c>
      <c r="U9" s="71">
        <v>0</v>
      </c>
      <c r="V9" s="71">
        <v>0</v>
      </c>
      <c r="W9" s="71">
        <v>0</v>
      </c>
      <c r="X9" s="71">
        <v>190282</v>
      </c>
      <c r="Y9" s="71">
        <v>201259</v>
      </c>
      <c r="Z9" s="71">
        <v>233198</v>
      </c>
      <c r="AA9" s="71">
        <v>5237058</v>
      </c>
      <c r="AB9" s="71">
        <v>6083716</v>
      </c>
      <c r="AC9" s="71">
        <v>6841984</v>
      </c>
      <c r="AD9" s="71">
        <v>678859</v>
      </c>
      <c r="AE9" s="71">
        <v>370491</v>
      </c>
      <c r="AF9" s="71">
        <v>0</v>
      </c>
    </row>
    <row r="10" spans="1:32" x14ac:dyDescent="0.25">
      <c r="A10" s="71" t="s">
        <v>76</v>
      </c>
      <c r="B10" s="71" t="s">
        <v>32</v>
      </c>
      <c r="C10" s="71" t="s">
        <v>54</v>
      </c>
      <c r="D10" s="71" t="s">
        <v>151</v>
      </c>
      <c r="E10" s="110" t="s">
        <v>276</v>
      </c>
      <c r="F10" s="110" t="s">
        <v>277</v>
      </c>
      <c r="G10" s="110" t="s">
        <v>164</v>
      </c>
      <c r="H10" s="71">
        <v>224892243</v>
      </c>
      <c r="I10" s="71">
        <v>224892243</v>
      </c>
      <c r="J10" s="71">
        <v>87626</v>
      </c>
      <c r="K10" s="71">
        <v>65223</v>
      </c>
      <c r="L10" s="71">
        <v>27408</v>
      </c>
      <c r="M10" s="71">
        <v>27258</v>
      </c>
      <c r="N10" s="71">
        <v>0</v>
      </c>
      <c r="O10" s="71">
        <v>0</v>
      </c>
      <c r="P10" s="71">
        <v>0</v>
      </c>
      <c r="Q10" s="71">
        <v>0</v>
      </c>
      <c r="R10" s="71">
        <v>0</v>
      </c>
      <c r="S10" s="71">
        <v>0</v>
      </c>
      <c r="T10" s="71">
        <v>0</v>
      </c>
      <c r="U10" s="71">
        <v>0</v>
      </c>
      <c r="V10" s="71">
        <v>0</v>
      </c>
      <c r="W10" s="71">
        <v>0</v>
      </c>
      <c r="X10" s="71">
        <v>0</v>
      </c>
      <c r="Y10" s="71">
        <v>0</v>
      </c>
      <c r="Z10" s="71">
        <v>833303</v>
      </c>
      <c r="AA10" s="71">
        <v>6144547</v>
      </c>
      <c r="AB10" s="71">
        <v>6208653</v>
      </c>
      <c r="AC10" s="71">
        <v>6467606</v>
      </c>
      <c r="AD10" s="71">
        <v>790547</v>
      </c>
      <c r="AE10" s="71">
        <v>804362</v>
      </c>
      <c r="AF10" s="71">
        <v>621099</v>
      </c>
    </row>
    <row r="11" spans="1:32" x14ac:dyDescent="0.25">
      <c r="A11" s="71" t="s">
        <v>77</v>
      </c>
      <c r="B11" s="71" t="s">
        <v>32</v>
      </c>
      <c r="C11" s="105" t="s">
        <v>55</v>
      </c>
      <c r="D11" s="105">
        <v>1</v>
      </c>
      <c r="E11" s="110" t="s">
        <v>278</v>
      </c>
      <c r="F11" s="110" t="s">
        <v>279</v>
      </c>
      <c r="G11" s="110" t="s">
        <v>165</v>
      </c>
      <c r="H11" s="71">
        <v>103978443</v>
      </c>
      <c r="I11" s="71">
        <v>1777774</v>
      </c>
      <c r="J11" s="71">
        <v>207941</v>
      </c>
      <c r="K11" s="71">
        <v>69909</v>
      </c>
      <c r="L11" s="71">
        <v>24524</v>
      </c>
      <c r="M11" s="71">
        <v>24524</v>
      </c>
      <c r="N11" s="71">
        <v>0</v>
      </c>
      <c r="O11" s="71">
        <v>0</v>
      </c>
      <c r="P11" s="71">
        <v>0</v>
      </c>
      <c r="Q11" s="71">
        <v>0</v>
      </c>
      <c r="R11" s="71">
        <v>0</v>
      </c>
      <c r="S11" s="71">
        <v>0</v>
      </c>
      <c r="T11" s="71">
        <v>0</v>
      </c>
      <c r="U11" s="71">
        <v>0</v>
      </c>
      <c r="V11" s="71">
        <v>0</v>
      </c>
      <c r="W11" s="71">
        <v>0</v>
      </c>
      <c r="X11" s="71">
        <v>0</v>
      </c>
      <c r="Y11" s="71">
        <v>0</v>
      </c>
      <c r="Z11" s="71">
        <v>15</v>
      </c>
      <c r="AA11" s="71">
        <v>6724377</v>
      </c>
      <c r="AB11" s="71">
        <v>6978766</v>
      </c>
      <c r="AC11" s="71">
        <v>7315901</v>
      </c>
      <c r="AD11" s="71">
        <v>64003</v>
      </c>
      <c r="AE11" s="71">
        <v>65920</v>
      </c>
      <c r="AF11" s="71">
        <v>69104</v>
      </c>
    </row>
    <row r="12" spans="1:32" x14ac:dyDescent="0.25">
      <c r="A12" s="71" t="s">
        <v>308</v>
      </c>
      <c r="B12" s="71" t="s">
        <v>32</v>
      </c>
      <c r="C12" s="110" t="s">
        <v>115</v>
      </c>
      <c r="D12" s="105">
        <v>1</v>
      </c>
      <c r="E12" s="110" t="s">
        <v>280</v>
      </c>
      <c r="F12" s="110" t="s">
        <v>281</v>
      </c>
      <c r="G12" s="110" t="s">
        <v>164</v>
      </c>
      <c r="H12" s="71">
        <v>19016828</v>
      </c>
      <c r="I12" s="71">
        <v>11963681</v>
      </c>
      <c r="J12" s="71">
        <v>13194</v>
      </c>
      <c r="K12" s="71">
        <v>65569</v>
      </c>
      <c r="L12" s="71">
        <v>7898</v>
      </c>
      <c r="M12" s="71">
        <v>7898</v>
      </c>
      <c r="N12" s="71">
        <v>0</v>
      </c>
      <c r="O12" s="71">
        <v>0</v>
      </c>
      <c r="P12" s="71">
        <v>2399</v>
      </c>
      <c r="Q12" s="71">
        <v>0</v>
      </c>
      <c r="R12" s="71">
        <v>0</v>
      </c>
      <c r="S12" s="71">
        <v>0</v>
      </c>
      <c r="T12" s="71">
        <v>0</v>
      </c>
      <c r="U12" s="71">
        <v>0</v>
      </c>
      <c r="V12" s="71">
        <v>0</v>
      </c>
      <c r="W12" s="71">
        <v>0</v>
      </c>
      <c r="X12" s="71">
        <v>0</v>
      </c>
      <c r="Y12" s="71">
        <v>0</v>
      </c>
      <c r="Z12" s="71">
        <v>0</v>
      </c>
      <c r="AA12" s="71">
        <v>3977216</v>
      </c>
      <c r="AB12" s="71">
        <v>4135266</v>
      </c>
      <c r="AC12" s="71">
        <v>4296272</v>
      </c>
      <c r="AD12" s="71">
        <v>0</v>
      </c>
      <c r="AE12" s="71">
        <v>0</v>
      </c>
      <c r="AF12" s="71">
        <v>0</v>
      </c>
    </row>
    <row r="13" spans="1:32" x14ac:dyDescent="0.25">
      <c r="A13" s="71" t="s">
        <v>78</v>
      </c>
      <c r="B13" s="71" t="s">
        <v>32</v>
      </c>
      <c r="C13" s="105" t="s">
        <v>56</v>
      </c>
      <c r="D13" s="105">
        <v>1</v>
      </c>
      <c r="E13" s="110" t="s">
        <v>282</v>
      </c>
      <c r="F13" s="110" t="s">
        <v>283</v>
      </c>
      <c r="G13" s="110" t="s">
        <v>164</v>
      </c>
      <c r="H13" s="71">
        <v>165928439</v>
      </c>
      <c r="I13" s="71">
        <v>165382710</v>
      </c>
      <c r="J13" s="71">
        <v>85471</v>
      </c>
      <c r="K13" s="71">
        <v>46215</v>
      </c>
      <c r="L13" s="71">
        <v>19071</v>
      </c>
      <c r="M13" s="71">
        <v>18317</v>
      </c>
      <c r="N13" s="71">
        <v>0</v>
      </c>
      <c r="O13" s="71">
        <v>0</v>
      </c>
      <c r="P13" s="71">
        <v>0</v>
      </c>
      <c r="Q13" s="71">
        <v>0</v>
      </c>
      <c r="R13" s="71">
        <v>0</v>
      </c>
      <c r="S13" s="71">
        <v>0</v>
      </c>
      <c r="T13" s="71">
        <v>0</v>
      </c>
      <c r="U13" s="71">
        <v>0</v>
      </c>
      <c r="V13" s="71">
        <v>0</v>
      </c>
      <c r="W13" s="71">
        <v>0</v>
      </c>
      <c r="X13" s="71">
        <v>0</v>
      </c>
      <c r="Y13" s="71">
        <v>0</v>
      </c>
      <c r="Z13" s="71">
        <v>0</v>
      </c>
      <c r="AA13" s="71">
        <v>4469527</v>
      </c>
      <c r="AB13" s="71">
        <v>4815463</v>
      </c>
      <c r="AC13" s="71">
        <v>4968336</v>
      </c>
      <c r="AD13" s="71">
        <v>802027</v>
      </c>
      <c r="AE13" s="71">
        <v>761999</v>
      </c>
      <c r="AF13" s="71">
        <v>910277</v>
      </c>
    </row>
    <row r="14" spans="1:32" x14ac:dyDescent="0.25">
      <c r="A14" s="71" t="s">
        <v>79</v>
      </c>
      <c r="B14" s="71" t="s">
        <v>32</v>
      </c>
      <c r="C14" s="71" t="s">
        <v>57</v>
      </c>
      <c r="D14" s="71" t="s">
        <v>151</v>
      </c>
      <c r="E14" s="110" t="s">
        <v>284</v>
      </c>
      <c r="F14" s="110" t="s">
        <v>285</v>
      </c>
      <c r="G14" s="110" t="s">
        <v>165</v>
      </c>
      <c r="H14" s="71">
        <v>64560412</v>
      </c>
      <c r="I14" s="71">
        <v>64560412</v>
      </c>
      <c r="J14" s="71">
        <v>114306</v>
      </c>
      <c r="K14" s="71">
        <v>44920</v>
      </c>
      <c r="L14" s="71">
        <v>8441</v>
      </c>
      <c r="M14" s="71">
        <v>8259</v>
      </c>
      <c r="N14" s="71">
        <v>0</v>
      </c>
      <c r="O14" s="71">
        <v>0</v>
      </c>
      <c r="P14" s="71">
        <v>0</v>
      </c>
      <c r="Q14" s="71">
        <v>0</v>
      </c>
      <c r="R14" s="71">
        <v>0</v>
      </c>
      <c r="S14" s="71">
        <v>0</v>
      </c>
      <c r="T14" s="71">
        <v>0</v>
      </c>
      <c r="U14" s="71">
        <v>0</v>
      </c>
      <c r="V14" s="71">
        <v>0</v>
      </c>
      <c r="W14" s="71">
        <v>0</v>
      </c>
      <c r="X14" s="71">
        <v>0</v>
      </c>
      <c r="Y14" s="71">
        <v>0</v>
      </c>
      <c r="Z14" s="71">
        <v>2</v>
      </c>
      <c r="AA14" s="71">
        <v>9158380</v>
      </c>
      <c r="AB14" s="71">
        <v>9090046</v>
      </c>
      <c r="AC14" s="71">
        <v>8563944</v>
      </c>
      <c r="AD14" s="71">
        <v>1802093</v>
      </c>
      <c r="AE14" s="71">
        <v>2492563</v>
      </c>
      <c r="AF14" s="71">
        <v>3646510</v>
      </c>
    </row>
    <row r="15" spans="1:32" x14ac:dyDescent="0.25">
      <c r="A15" s="71" t="s">
        <v>80</v>
      </c>
      <c r="B15" s="71" t="s">
        <v>32</v>
      </c>
      <c r="C15" s="71" t="s">
        <v>58</v>
      </c>
      <c r="D15" s="71" t="s">
        <v>151</v>
      </c>
      <c r="E15" s="110" t="s">
        <v>286</v>
      </c>
      <c r="F15" s="110" t="s">
        <v>287</v>
      </c>
      <c r="G15" s="110" t="s">
        <v>164</v>
      </c>
      <c r="H15" s="71">
        <v>39151760</v>
      </c>
      <c r="I15" s="71">
        <v>39151760</v>
      </c>
      <c r="J15" s="71">
        <v>44618</v>
      </c>
      <c r="K15" s="71">
        <v>69247</v>
      </c>
      <c r="L15" s="71">
        <v>6703</v>
      </c>
      <c r="M15" s="71">
        <v>6624</v>
      </c>
      <c r="N15" s="71">
        <v>0</v>
      </c>
      <c r="O15" s="71">
        <v>0</v>
      </c>
      <c r="P15" s="71">
        <v>0</v>
      </c>
      <c r="Q15" s="71">
        <v>0</v>
      </c>
      <c r="R15" s="71">
        <v>0</v>
      </c>
      <c r="S15" s="71">
        <v>0</v>
      </c>
      <c r="T15" s="71">
        <v>0</v>
      </c>
      <c r="U15" s="71">
        <v>0</v>
      </c>
      <c r="V15" s="71">
        <v>0</v>
      </c>
      <c r="W15" s="71">
        <v>0</v>
      </c>
      <c r="X15" s="71">
        <v>0</v>
      </c>
      <c r="Y15" s="71">
        <v>0</v>
      </c>
      <c r="Z15" s="71">
        <v>0</v>
      </c>
      <c r="AA15" s="71">
        <v>6168952</v>
      </c>
      <c r="AB15" s="71">
        <v>6588594</v>
      </c>
      <c r="AC15" s="71">
        <v>6743640</v>
      </c>
      <c r="AD15" s="71">
        <v>434892</v>
      </c>
      <c r="AE15" s="71">
        <v>350000</v>
      </c>
      <c r="AF15" s="71">
        <v>535535</v>
      </c>
    </row>
    <row r="16" spans="1:32" x14ac:dyDescent="0.25">
      <c r="A16" s="71" t="s">
        <v>81</v>
      </c>
      <c r="B16" s="71" t="s">
        <v>32</v>
      </c>
      <c r="C16" s="105" t="s">
        <v>59</v>
      </c>
      <c r="D16" s="105">
        <v>1</v>
      </c>
      <c r="E16" s="110" t="s">
        <v>288</v>
      </c>
      <c r="F16" s="110" t="s">
        <v>289</v>
      </c>
      <c r="G16" s="110" t="s">
        <v>165</v>
      </c>
      <c r="H16" s="71">
        <v>43812371</v>
      </c>
      <c r="I16" s="71">
        <v>22679072</v>
      </c>
      <c r="J16" s="71">
        <v>56559</v>
      </c>
      <c r="K16" s="71">
        <v>45651</v>
      </c>
      <c r="L16" s="71">
        <v>5673</v>
      </c>
      <c r="M16" s="71">
        <v>5673</v>
      </c>
      <c r="N16" s="71">
        <v>0</v>
      </c>
      <c r="O16" s="71">
        <v>0</v>
      </c>
      <c r="P16" s="71">
        <v>0</v>
      </c>
      <c r="Q16" s="71">
        <v>0</v>
      </c>
      <c r="R16" s="71">
        <v>0</v>
      </c>
      <c r="S16" s="71">
        <v>0</v>
      </c>
      <c r="T16" s="71">
        <v>0</v>
      </c>
      <c r="U16" s="71">
        <v>0</v>
      </c>
      <c r="V16" s="71">
        <v>0</v>
      </c>
      <c r="W16" s="71">
        <v>0</v>
      </c>
      <c r="X16" s="71">
        <v>0</v>
      </c>
      <c r="Y16" s="71">
        <v>0</v>
      </c>
      <c r="Z16" s="71">
        <v>0</v>
      </c>
      <c r="AA16" s="71">
        <v>3054634</v>
      </c>
      <c r="AB16" s="71">
        <v>3831942</v>
      </c>
      <c r="AC16" s="71">
        <v>3687871</v>
      </c>
      <c r="AD16" s="71">
        <v>816923</v>
      </c>
      <c r="AE16" s="71">
        <v>194705</v>
      </c>
      <c r="AF16" s="71">
        <v>511174</v>
      </c>
    </row>
    <row r="17" spans="1:32" x14ac:dyDescent="0.25">
      <c r="A17" s="71" t="s">
        <v>82</v>
      </c>
      <c r="B17" s="71" t="s">
        <v>32</v>
      </c>
      <c r="C17" s="71" t="s">
        <v>60</v>
      </c>
      <c r="D17" s="71" t="s">
        <v>151</v>
      </c>
      <c r="E17" s="110" t="s">
        <v>290</v>
      </c>
      <c r="F17" s="110" t="s">
        <v>291</v>
      </c>
      <c r="G17" s="110" t="s">
        <v>164</v>
      </c>
      <c r="H17" s="71">
        <v>118822362</v>
      </c>
      <c r="I17" s="71">
        <v>118822362</v>
      </c>
      <c r="J17" s="71">
        <v>148557</v>
      </c>
      <c r="K17" s="71">
        <v>66213</v>
      </c>
      <c r="L17" s="71">
        <v>18735</v>
      </c>
      <c r="M17" s="71">
        <v>18735</v>
      </c>
      <c r="N17" s="71">
        <v>0</v>
      </c>
      <c r="O17" s="71">
        <v>0</v>
      </c>
      <c r="P17" s="71">
        <v>0</v>
      </c>
      <c r="Q17" s="71">
        <v>0</v>
      </c>
      <c r="R17" s="71">
        <v>0</v>
      </c>
      <c r="S17" s="71">
        <v>0</v>
      </c>
      <c r="T17" s="71">
        <v>0</v>
      </c>
      <c r="U17" s="71">
        <v>0</v>
      </c>
      <c r="V17" s="71">
        <v>0</v>
      </c>
      <c r="W17" s="71">
        <v>0</v>
      </c>
      <c r="X17" s="71">
        <v>0</v>
      </c>
      <c r="Y17" s="71">
        <v>0</v>
      </c>
      <c r="Z17" s="71">
        <v>228830</v>
      </c>
      <c r="AA17" s="71">
        <v>7539312</v>
      </c>
      <c r="AB17" s="71">
        <v>7760547</v>
      </c>
      <c r="AC17" s="71">
        <v>8332572</v>
      </c>
      <c r="AD17" s="71">
        <v>935000</v>
      </c>
      <c r="AE17" s="71">
        <v>975000</v>
      </c>
      <c r="AF17" s="71">
        <v>975000</v>
      </c>
    </row>
    <row r="18" spans="1:32" x14ac:dyDescent="0.25">
      <c r="A18" s="71" t="s">
        <v>83</v>
      </c>
      <c r="B18" s="71" t="s">
        <v>32</v>
      </c>
      <c r="C18" s="71" t="s">
        <v>61</v>
      </c>
      <c r="D18" s="71" t="s">
        <v>151</v>
      </c>
      <c r="E18" s="110" t="s">
        <v>292</v>
      </c>
      <c r="F18" s="110" t="s">
        <v>293</v>
      </c>
      <c r="G18" s="110" t="s">
        <v>165</v>
      </c>
      <c r="H18" s="71">
        <v>53863472</v>
      </c>
      <c r="I18" s="71">
        <v>53863472</v>
      </c>
      <c r="J18" s="71">
        <v>168291</v>
      </c>
      <c r="K18" s="71">
        <v>114412</v>
      </c>
      <c r="L18" s="71">
        <v>40154</v>
      </c>
      <c r="M18" s="71">
        <v>38737</v>
      </c>
      <c r="N18" s="71">
        <v>0</v>
      </c>
      <c r="O18" s="71">
        <v>0</v>
      </c>
      <c r="P18" s="71">
        <v>0</v>
      </c>
      <c r="Q18" s="71">
        <v>0</v>
      </c>
      <c r="R18" s="71">
        <v>0</v>
      </c>
      <c r="S18" s="71">
        <v>0</v>
      </c>
      <c r="T18" s="71">
        <v>0</v>
      </c>
      <c r="U18" s="71">
        <v>0</v>
      </c>
      <c r="V18" s="71">
        <v>0</v>
      </c>
      <c r="W18" s="71">
        <v>231401</v>
      </c>
      <c r="X18" s="71">
        <v>0</v>
      </c>
      <c r="Y18" s="71">
        <v>0</v>
      </c>
      <c r="Z18" s="71">
        <v>0</v>
      </c>
      <c r="AA18" s="71">
        <v>14166802</v>
      </c>
      <c r="AB18" s="71">
        <v>14363500</v>
      </c>
      <c r="AC18" s="71">
        <v>15080209</v>
      </c>
      <c r="AD18" s="71">
        <v>1516543</v>
      </c>
      <c r="AE18" s="71">
        <v>1851524</v>
      </c>
      <c r="AF18" s="71">
        <v>2003599</v>
      </c>
    </row>
    <row r="19" spans="1:32" x14ac:dyDescent="0.25">
      <c r="A19" s="71" t="s">
        <v>89</v>
      </c>
      <c r="B19" s="71" t="s">
        <v>32</v>
      </c>
      <c r="C19" s="105" t="s">
        <v>62</v>
      </c>
      <c r="D19" s="105">
        <v>1</v>
      </c>
      <c r="E19" s="110" t="s">
        <v>294</v>
      </c>
      <c r="F19" s="110" t="s">
        <v>295</v>
      </c>
      <c r="G19" s="110" t="s">
        <v>165</v>
      </c>
      <c r="H19" s="71">
        <v>98585140</v>
      </c>
      <c r="I19" s="71">
        <v>97101387</v>
      </c>
      <c r="J19" s="71">
        <v>74040</v>
      </c>
      <c r="K19" s="71">
        <v>171918</v>
      </c>
      <c r="L19" s="71">
        <v>66713</v>
      </c>
      <c r="M19" s="71">
        <v>66445</v>
      </c>
      <c r="N19" s="71">
        <v>4925</v>
      </c>
      <c r="O19" s="71">
        <v>6487</v>
      </c>
      <c r="P19" s="71">
        <v>511</v>
      </c>
      <c r="Q19" s="71">
        <v>0</v>
      </c>
      <c r="R19" s="71">
        <v>0</v>
      </c>
      <c r="S19" s="71">
        <v>0</v>
      </c>
      <c r="T19" s="71">
        <v>0</v>
      </c>
      <c r="U19" s="71">
        <v>0</v>
      </c>
      <c r="V19" s="71">
        <v>0</v>
      </c>
      <c r="W19" s="71">
        <v>0</v>
      </c>
      <c r="X19" s="71">
        <v>0</v>
      </c>
      <c r="Y19" s="71">
        <v>0</v>
      </c>
      <c r="Z19" s="71">
        <v>2017708</v>
      </c>
      <c r="AA19" s="71">
        <v>19996522</v>
      </c>
      <c r="AB19" s="71">
        <v>20354307</v>
      </c>
      <c r="AC19" s="71">
        <v>19547503</v>
      </c>
      <c r="AD19" s="71">
        <v>50000</v>
      </c>
      <c r="AE19" s="71">
        <v>600000</v>
      </c>
      <c r="AF19" s="71">
        <v>1601675</v>
      </c>
    </row>
    <row r="20" spans="1:32" x14ac:dyDescent="0.25">
      <c r="A20" s="71" t="s">
        <v>84</v>
      </c>
      <c r="B20" s="71" t="s">
        <v>32</v>
      </c>
      <c r="C20" s="105" t="s">
        <v>63</v>
      </c>
      <c r="D20" s="105">
        <v>1</v>
      </c>
      <c r="E20" s="110" t="s">
        <v>296</v>
      </c>
      <c r="F20" s="110" t="s">
        <v>297</v>
      </c>
      <c r="G20" s="110" t="s">
        <v>164</v>
      </c>
      <c r="H20" s="71">
        <v>186131211</v>
      </c>
      <c r="I20" s="71">
        <v>125072549</v>
      </c>
      <c r="J20" s="71">
        <v>134304</v>
      </c>
      <c r="K20" s="71">
        <v>33020</v>
      </c>
      <c r="L20" s="71">
        <v>8407</v>
      </c>
      <c r="M20" s="71">
        <v>8407</v>
      </c>
      <c r="N20" s="71">
        <v>0</v>
      </c>
      <c r="O20" s="71">
        <v>0</v>
      </c>
      <c r="P20" s="71">
        <v>649</v>
      </c>
      <c r="Q20" s="71">
        <v>0</v>
      </c>
      <c r="R20" s="71">
        <v>97447</v>
      </c>
      <c r="S20" s="71">
        <v>72448</v>
      </c>
      <c r="T20" s="71">
        <v>0</v>
      </c>
      <c r="U20" s="71">
        <v>0</v>
      </c>
      <c r="V20" s="71">
        <v>0</v>
      </c>
      <c r="W20" s="71">
        <v>0</v>
      </c>
      <c r="X20" s="71">
        <v>0</v>
      </c>
      <c r="Y20" s="71">
        <v>0</v>
      </c>
      <c r="Z20" s="71">
        <v>535</v>
      </c>
      <c r="AA20" s="71">
        <v>3372550</v>
      </c>
      <c r="AB20" s="71">
        <v>3760511</v>
      </c>
      <c r="AC20" s="71">
        <v>3958064</v>
      </c>
      <c r="AD20" s="71">
        <v>262859</v>
      </c>
      <c r="AE20" s="71">
        <v>0</v>
      </c>
      <c r="AF20" s="71">
        <v>0</v>
      </c>
    </row>
    <row r="21" spans="1:32" x14ac:dyDescent="0.25">
      <c r="A21" s="71" t="s">
        <v>85</v>
      </c>
      <c r="B21" s="71" t="s">
        <v>32</v>
      </c>
      <c r="C21" s="105" t="s">
        <v>64</v>
      </c>
      <c r="D21" s="105">
        <v>1</v>
      </c>
      <c r="E21" s="110" t="s">
        <v>298</v>
      </c>
      <c r="F21" s="110" t="s">
        <v>299</v>
      </c>
      <c r="G21" s="110" t="s">
        <v>165</v>
      </c>
      <c r="H21" s="71">
        <v>250406504</v>
      </c>
      <c r="I21" s="71">
        <v>203274077</v>
      </c>
      <c r="J21" s="71">
        <v>85382</v>
      </c>
      <c r="K21" s="71">
        <v>86481</v>
      </c>
      <c r="L21" s="71">
        <v>18847</v>
      </c>
      <c r="M21" s="71">
        <v>18762</v>
      </c>
      <c r="N21" s="71">
        <v>0</v>
      </c>
      <c r="O21" s="71">
        <v>0</v>
      </c>
      <c r="P21" s="71">
        <v>0</v>
      </c>
      <c r="Q21" s="71">
        <v>0</v>
      </c>
      <c r="R21" s="71">
        <v>0</v>
      </c>
      <c r="S21" s="71">
        <v>0</v>
      </c>
      <c r="T21" s="71">
        <v>0</v>
      </c>
      <c r="U21" s="71">
        <v>0</v>
      </c>
      <c r="V21" s="71">
        <v>0</v>
      </c>
      <c r="W21" s="71">
        <v>0</v>
      </c>
      <c r="X21" s="71">
        <v>0</v>
      </c>
      <c r="Y21" s="71">
        <v>0</v>
      </c>
      <c r="Z21" s="71">
        <v>713419</v>
      </c>
      <c r="AA21" s="71">
        <v>7209503</v>
      </c>
      <c r="AB21" s="71">
        <v>7806118.1899999995</v>
      </c>
      <c r="AC21" s="71">
        <v>8310297</v>
      </c>
      <c r="AD21" s="71">
        <v>398596</v>
      </c>
      <c r="AE21" s="71">
        <v>264917</v>
      </c>
      <c r="AF21" s="71">
        <v>227503</v>
      </c>
    </row>
    <row r="22" spans="1:32" x14ac:dyDescent="0.25">
      <c r="A22" s="71" t="s">
        <v>309</v>
      </c>
      <c r="B22" s="71" t="s">
        <v>32</v>
      </c>
      <c r="C22" s="105" t="s">
        <v>116</v>
      </c>
      <c r="D22" s="105">
        <v>1</v>
      </c>
      <c r="E22" s="110" t="s">
        <v>300</v>
      </c>
      <c r="F22" s="110" t="s">
        <v>301</v>
      </c>
      <c r="G22" s="110" t="s">
        <v>164</v>
      </c>
      <c r="H22" s="71">
        <v>104126831</v>
      </c>
      <c r="I22" s="71">
        <v>103750172</v>
      </c>
      <c r="J22" s="71">
        <v>819</v>
      </c>
      <c r="K22" s="71">
        <v>69398</v>
      </c>
      <c r="L22" s="71">
        <v>13307</v>
      </c>
      <c r="M22" s="71">
        <v>13307</v>
      </c>
      <c r="N22" s="71">
        <v>995.24</v>
      </c>
      <c r="O22" s="71">
        <v>0</v>
      </c>
      <c r="P22" s="71">
        <v>0</v>
      </c>
      <c r="Q22" s="71">
        <v>0</v>
      </c>
      <c r="R22" s="71">
        <v>0</v>
      </c>
      <c r="S22" s="71">
        <v>0</v>
      </c>
      <c r="T22" s="71">
        <v>0</v>
      </c>
      <c r="U22" s="71">
        <v>0</v>
      </c>
      <c r="V22" s="71">
        <v>0</v>
      </c>
      <c r="W22" s="71">
        <v>0</v>
      </c>
      <c r="X22" s="71">
        <v>0</v>
      </c>
      <c r="Y22" s="71">
        <v>0</v>
      </c>
      <c r="Z22" s="71">
        <v>510382</v>
      </c>
      <c r="AA22" s="71">
        <v>5274331</v>
      </c>
      <c r="AB22" s="71">
        <v>5449200</v>
      </c>
      <c r="AC22" s="71">
        <v>5650869</v>
      </c>
      <c r="AD22" s="71">
        <v>0</v>
      </c>
      <c r="AE22" s="71">
        <v>0</v>
      </c>
      <c r="AF22" s="71">
        <v>4753</v>
      </c>
    </row>
    <row r="23" spans="1:32" x14ac:dyDescent="0.25">
      <c r="A23" s="71" t="s">
        <v>86</v>
      </c>
      <c r="B23" s="71" t="s">
        <v>32</v>
      </c>
      <c r="C23" s="71" t="s">
        <v>65</v>
      </c>
      <c r="D23" s="71" t="s">
        <v>151</v>
      </c>
      <c r="E23" s="110" t="s">
        <v>302</v>
      </c>
      <c r="F23" s="110" t="s">
        <v>303</v>
      </c>
      <c r="G23" s="110" t="s">
        <v>165</v>
      </c>
      <c r="H23" s="71">
        <v>14280407</v>
      </c>
      <c r="I23" s="71">
        <v>14280407</v>
      </c>
      <c r="J23" s="71">
        <v>24943</v>
      </c>
      <c r="K23" s="71">
        <v>26933</v>
      </c>
      <c r="L23" s="71">
        <v>2733</v>
      </c>
      <c r="M23" s="71">
        <v>2683</v>
      </c>
      <c r="N23" s="71">
        <v>187</v>
      </c>
      <c r="O23" s="71">
        <v>0</v>
      </c>
      <c r="P23" s="71">
        <v>0</v>
      </c>
      <c r="Q23" s="71">
        <v>0</v>
      </c>
      <c r="R23" s="71">
        <v>0</v>
      </c>
      <c r="S23" s="71">
        <v>0</v>
      </c>
      <c r="T23" s="71">
        <v>0</v>
      </c>
      <c r="U23" s="71">
        <v>0</v>
      </c>
      <c r="V23" s="71">
        <v>0</v>
      </c>
      <c r="W23" s="71">
        <v>0</v>
      </c>
      <c r="X23" s="71">
        <v>0</v>
      </c>
      <c r="Y23" s="71">
        <v>0</v>
      </c>
      <c r="Z23" s="71">
        <v>0</v>
      </c>
      <c r="AA23" s="71">
        <v>6068796</v>
      </c>
      <c r="AB23" s="71">
        <v>6483981</v>
      </c>
      <c r="AC23" s="71">
        <v>6909939</v>
      </c>
      <c r="AD23" s="71">
        <v>0</v>
      </c>
      <c r="AE23" s="71">
        <v>0</v>
      </c>
      <c r="AF23" s="71">
        <v>0</v>
      </c>
    </row>
    <row r="24" spans="1:32" x14ac:dyDescent="0.25">
      <c r="A24" s="71" t="s">
        <v>87</v>
      </c>
      <c r="B24" s="71" t="s">
        <v>32</v>
      </c>
      <c r="C24" s="71" t="s">
        <v>66</v>
      </c>
      <c r="D24" s="71" t="s">
        <v>151</v>
      </c>
      <c r="E24" s="110" t="s">
        <v>304</v>
      </c>
      <c r="F24" s="110" t="s">
        <v>305</v>
      </c>
      <c r="G24" s="110" t="s">
        <v>165</v>
      </c>
      <c r="H24" s="71">
        <v>65133985</v>
      </c>
      <c r="I24" s="71">
        <v>65133985</v>
      </c>
      <c r="J24" s="71">
        <v>3486</v>
      </c>
      <c r="K24" s="71">
        <v>25777</v>
      </c>
      <c r="L24" s="71">
        <v>4009</v>
      </c>
      <c r="M24" s="71">
        <v>4009</v>
      </c>
      <c r="N24" s="71">
        <v>0</v>
      </c>
      <c r="O24" s="71">
        <v>0</v>
      </c>
      <c r="P24" s="71">
        <v>0</v>
      </c>
      <c r="Q24" s="71">
        <v>0</v>
      </c>
      <c r="R24" s="71">
        <v>0</v>
      </c>
      <c r="S24" s="71">
        <v>0</v>
      </c>
      <c r="T24" s="71">
        <v>0</v>
      </c>
      <c r="U24" s="71">
        <v>0</v>
      </c>
      <c r="V24" s="71">
        <v>0</v>
      </c>
      <c r="W24" s="71">
        <v>0</v>
      </c>
      <c r="X24" s="71">
        <v>0</v>
      </c>
      <c r="Y24" s="71">
        <v>0</v>
      </c>
      <c r="Z24" s="71">
        <v>0</v>
      </c>
      <c r="AA24" s="71">
        <v>9516865</v>
      </c>
      <c r="AB24" s="71">
        <v>10005706</v>
      </c>
      <c r="AC24" s="71">
        <v>10516531</v>
      </c>
      <c r="AD24" s="71">
        <v>0</v>
      </c>
      <c r="AE24" s="71">
        <v>0</v>
      </c>
      <c r="AF24" s="71">
        <v>0</v>
      </c>
    </row>
    <row r="25" spans="1:32" x14ac:dyDescent="0.25">
      <c r="A25" s="71" t="s">
        <v>88</v>
      </c>
      <c r="B25" s="71" t="s">
        <v>32</v>
      </c>
      <c r="C25" s="105" t="s">
        <v>67</v>
      </c>
      <c r="D25" s="105">
        <v>1</v>
      </c>
      <c r="E25" s="110" t="s">
        <v>306</v>
      </c>
      <c r="F25" s="110" t="s">
        <v>307</v>
      </c>
      <c r="G25" s="110" t="s">
        <v>164</v>
      </c>
      <c r="H25" s="71">
        <v>342551218</v>
      </c>
      <c r="I25" s="71">
        <v>275897199</v>
      </c>
      <c r="J25" s="71">
        <v>83948</v>
      </c>
      <c r="K25" s="71">
        <v>50663</v>
      </c>
      <c r="L25" s="71">
        <v>22486</v>
      </c>
      <c r="M25" s="71">
        <v>22047</v>
      </c>
      <c r="N25" s="71">
        <v>164</v>
      </c>
      <c r="O25" s="71">
        <v>309</v>
      </c>
      <c r="P25" s="71">
        <v>2303</v>
      </c>
      <c r="Q25" s="71">
        <v>0</v>
      </c>
      <c r="R25" s="71">
        <v>0</v>
      </c>
      <c r="S25" s="71">
        <v>0</v>
      </c>
      <c r="T25" s="71">
        <v>0</v>
      </c>
      <c r="U25" s="71">
        <v>0</v>
      </c>
      <c r="V25" s="71">
        <v>0</v>
      </c>
      <c r="W25" s="71">
        <v>0</v>
      </c>
      <c r="X25" s="71">
        <v>0</v>
      </c>
      <c r="Y25" s="71">
        <v>0</v>
      </c>
      <c r="Z25" s="71">
        <v>80911</v>
      </c>
      <c r="AA25" s="71">
        <v>5241123</v>
      </c>
      <c r="AB25" s="71">
        <v>5677372</v>
      </c>
      <c r="AC25" s="71">
        <v>5979687</v>
      </c>
      <c r="AD25" s="71">
        <v>1044913</v>
      </c>
      <c r="AE25" s="71">
        <v>851129</v>
      </c>
      <c r="AF25" s="71">
        <v>848242</v>
      </c>
    </row>
  </sheetData>
  <sheetProtection algorithmName="SHA-512" hashValue="R2EWcprQT+kAKYBnD+nzVt7gvuSDT4+2APqr/vYgHnorueIjiYiQ2M+iq74fjZxCCcTodFSM/5ho2RaySWliNg==" saltValue="rHDwhGE4ztfme1HJl287kw==" spinCount="100000" sheet="1" objects="1" scenarios="1"/>
  <autoFilter ref="A1:I1334" xr:uid="{F57656D4-A6B9-4F47-88C2-9CE533ADDF95}"/>
  <sortState xmlns:xlrd2="http://schemas.microsoft.com/office/spreadsheetml/2017/richdata2" ref="A2:J1046168">
    <sortCondition ref="C2:C1046168"/>
  </sortState>
  <phoneticPr fontId="20" type="noConversion"/>
  <conditionalFormatting sqref="M2:M25">
    <cfRule type="cellIs" dxfId="93" priority="1" operator="notEqual">
      <formula>$L2</formula>
    </cfRule>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6AB07-0002-4652-BEC4-C501BB633211}">
  <sheetPr codeName="Sheet1"/>
  <dimension ref="A3:C26"/>
  <sheetViews>
    <sheetView workbookViewId="0">
      <selection activeCell="C3" sqref="C3:C4"/>
    </sheetView>
  </sheetViews>
  <sheetFormatPr defaultRowHeight="15.75" x14ac:dyDescent="0.25"/>
  <cols>
    <col min="1" max="1" width="18.25" bestFit="1" customWidth="1"/>
  </cols>
  <sheetData>
    <row r="3" spans="1:3" x14ac:dyDescent="0.25">
      <c r="A3" s="71" t="s">
        <v>46</v>
      </c>
      <c r="C3" t="s">
        <v>165</v>
      </c>
    </row>
    <row r="4" spans="1:3" x14ac:dyDescent="0.25">
      <c r="A4" s="71" t="s">
        <v>47</v>
      </c>
      <c r="C4" t="s">
        <v>164</v>
      </c>
    </row>
    <row r="5" spans="1:3" x14ac:dyDescent="0.25">
      <c r="A5" s="71" t="s">
        <v>48</v>
      </c>
    </row>
    <row r="6" spans="1:3" x14ac:dyDescent="0.25">
      <c r="A6" s="71" t="s">
        <v>49</v>
      </c>
    </row>
    <row r="7" spans="1:3" x14ac:dyDescent="0.25">
      <c r="A7" s="71" t="s">
        <v>50</v>
      </c>
      <c r="C7" t="s">
        <v>251</v>
      </c>
    </row>
    <row r="8" spans="1:3" x14ac:dyDescent="0.25">
      <c r="A8" s="71" t="s">
        <v>51</v>
      </c>
    </row>
    <row r="9" spans="1:3" x14ac:dyDescent="0.25">
      <c r="A9" s="71" t="s">
        <v>52</v>
      </c>
      <c r="C9" t="s">
        <v>253</v>
      </c>
    </row>
    <row r="10" spans="1:3" x14ac:dyDescent="0.25">
      <c r="A10" s="71" t="s">
        <v>53</v>
      </c>
      <c r="C10" t="s">
        <v>254</v>
      </c>
    </row>
    <row r="11" spans="1:3" x14ac:dyDescent="0.25">
      <c r="A11" s="71" t="s">
        <v>54</v>
      </c>
      <c r="C11" t="s">
        <v>255</v>
      </c>
    </row>
    <row r="12" spans="1:3" x14ac:dyDescent="0.25">
      <c r="A12" s="71" t="s">
        <v>55</v>
      </c>
      <c r="C12" t="s">
        <v>252</v>
      </c>
    </row>
    <row r="13" spans="1:3" x14ac:dyDescent="0.25">
      <c r="A13" s="71" t="s">
        <v>115</v>
      </c>
    </row>
    <row r="14" spans="1:3" x14ac:dyDescent="0.25">
      <c r="A14" s="71" t="s">
        <v>56</v>
      </c>
    </row>
    <row r="15" spans="1:3" x14ac:dyDescent="0.25">
      <c r="A15" s="71" t="s">
        <v>57</v>
      </c>
    </row>
    <row r="16" spans="1:3" x14ac:dyDescent="0.25">
      <c r="A16" s="71" t="s">
        <v>58</v>
      </c>
    </row>
    <row r="17" spans="1:1" x14ac:dyDescent="0.25">
      <c r="A17" s="71" t="s">
        <v>59</v>
      </c>
    </row>
    <row r="18" spans="1:1" x14ac:dyDescent="0.25">
      <c r="A18" s="71" t="s">
        <v>60</v>
      </c>
    </row>
    <row r="19" spans="1:1" x14ac:dyDescent="0.25">
      <c r="A19" s="71" t="s">
        <v>61</v>
      </c>
    </row>
    <row r="20" spans="1:1" x14ac:dyDescent="0.25">
      <c r="A20" s="71" t="s">
        <v>62</v>
      </c>
    </row>
    <row r="21" spans="1:1" x14ac:dyDescent="0.25">
      <c r="A21" s="71" t="s">
        <v>63</v>
      </c>
    </row>
    <row r="22" spans="1:1" x14ac:dyDescent="0.25">
      <c r="A22" s="71" t="s">
        <v>64</v>
      </c>
    </row>
    <row r="23" spans="1:1" x14ac:dyDescent="0.25">
      <c r="A23" s="71" t="s">
        <v>116</v>
      </c>
    </row>
    <row r="24" spans="1:1" x14ac:dyDescent="0.25">
      <c r="A24" s="71" t="s">
        <v>65</v>
      </c>
    </row>
    <row r="25" spans="1:1" x14ac:dyDescent="0.25">
      <c r="A25" s="71" t="s">
        <v>66</v>
      </c>
    </row>
    <row r="26" spans="1:1" x14ac:dyDescent="0.25">
      <c r="A26" s="71" t="s">
        <v>67</v>
      </c>
    </row>
  </sheetData>
  <sheetProtection algorithmName="SHA-512" hashValue="AIMzQAb3cXgVAmulWobrsq8m1PxjCVDONJBYLvrfg37qBa/BwSs3E8D8H+nWx0E1/uBjh3lwZinaNvFsScK8Cg==" saltValue="bYCoAwBVHkur2d52gdf/wg=="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F74B1-757F-4FDE-8456-87808BC22E54}">
  <sheetPr>
    <tabColor rgb="FFFF0000"/>
    <pageSetUpPr fitToPage="1"/>
  </sheetPr>
  <dimension ref="B1:S16"/>
  <sheetViews>
    <sheetView showGridLines="0" tabSelected="1" workbookViewId="0"/>
  </sheetViews>
  <sheetFormatPr defaultRowHeight="15.75" x14ac:dyDescent="0.25"/>
  <cols>
    <col min="1" max="1" width="5.75" customWidth="1"/>
    <col min="3" max="3" width="13.375" customWidth="1"/>
    <col min="8" max="8" width="11.75" customWidth="1"/>
  </cols>
  <sheetData>
    <row r="1" spans="2:19" ht="16.5" thickBot="1" x14ac:dyDescent="0.3"/>
    <row r="2" spans="2:19" x14ac:dyDescent="0.25">
      <c r="B2" s="196" t="s">
        <v>368</v>
      </c>
      <c r="C2" s="197"/>
      <c r="D2" s="197"/>
      <c r="E2" s="197"/>
      <c r="F2" s="197"/>
      <c r="G2" s="197"/>
      <c r="H2" s="197"/>
      <c r="I2" s="197"/>
      <c r="J2" s="197"/>
      <c r="K2" s="197"/>
      <c r="L2" s="197"/>
      <c r="M2" s="197"/>
      <c r="N2" s="197"/>
      <c r="O2" s="197"/>
      <c r="P2" s="197"/>
      <c r="Q2" s="197"/>
      <c r="R2" s="197"/>
      <c r="S2" s="198"/>
    </row>
    <row r="3" spans="2:19" x14ac:dyDescent="0.25">
      <c r="B3" s="187"/>
      <c r="C3" s="188"/>
      <c r="D3" s="188"/>
      <c r="E3" s="188"/>
      <c r="F3" s="188"/>
      <c r="G3" s="188"/>
      <c r="H3" s="188"/>
      <c r="I3" s="188"/>
      <c r="J3" s="188"/>
      <c r="K3" s="188"/>
      <c r="L3" s="188"/>
      <c r="M3" s="188"/>
      <c r="N3" s="188"/>
      <c r="O3" s="188"/>
      <c r="P3" s="188"/>
      <c r="Q3" s="188"/>
      <c r="R3" s="188"/>
      <c r="S3" s="189"/>
    </row>
    <row r="4" spans="2:19" x14ac:dyDescent="0.25">
      <c r="B4" s="187" t="s">
        <v>221</v>
      </c>
      <c r="C4" s="188"/>
      <c r="D4" s="188"/>
      <c r="E4" s="188"/>
      <c r="F4" s="188"/>
      <c r="G4" s="188"/>
      <c r="H4" s="188"/>
      <c r="I4" s="188"/>
      <c r="J4" s="188"/>
      <c r="K4" s="188"/>
      <c r="L4" s="188"/>
      <c r="M4" s="188"/>
      <c r="N4" s="188"/>
      <c r="O4" s="188"/>
      <c r="P4" s="188"/>
      <c r="Q4" s="188"/>
      <c r="R4" s="188"/>
      <c r="S4" s="189"/>
    </row>
    <row r="5" spans="2:19" x14ac:dyDescent="0.25">
      <c r="B5" s="187" t="s">
        <v>222</v>
      </c>
      <c r="C5" s="188"/>
      <c r="D5" s="188"/>
      <c r="E5" s="188"/>
      <c r="F5" s="188"/>
      <c r="G5" s="188"/>
      <c r="H5" s="188"/>
      <c r="I5" s="188"/>
      <c r="J5" s="188"/>
      <c r="K5" s="188"/>
      <c r="L5" s="188"/>
      <c r="M5" s="188"/>
      <c r="N5" s="188"/>
      <c r="O5" s="188"/>
      <c r="P5" s="188"/>
      <c r="Q5" s="188"/>
      <c r="R5" s="188"/>
      <c r="S5" s="189"/>
    </row>
    <row r="6" spans="2:19" x14ac:dyDescent="0.25">
      <c r="B6" s="187" t="s">
        <v>223</v>
      </c>
      <c r="C6" s="188"/>
      <c r="D6" s="188"/>
      <c r="E6" s="188"/>
      <c r="F6" s="188"/>
      <c r="G6" s="188"/>
      <c r="H6" s="188"/>
      <c r="I6" s="188"/>
      <c r="J6" s="188"/>
      <c r="K6" s="188"/>
      <c r="L6" s="188"/>
      <c r="M6" s="188"/>
      <c r="N6" s="188"/>
      <c r="O6" s="188"/>
      <c r="P6" s="188"/>
      <c r="Q6" s="188"/>
      <c r="R6" s="188"/>
      <c r="S6" s="189"/>
    </row>
    <row r="7" spans="2:19" x14ac:dyDescent="0.25">
      <c r="B7" s="187"/>
      <c r="C7" s="188"/>
      <c r="D7" s="188"/>
      <c r="E7" s="188"/>
      <c r="F7" s="188"/>
      <c r="G7" s="188"/>
      <c r="H7" s="188"/>
      <c r="I7" s="188"/>
      <c r="J7" s="188"/>
      <c r="K7" s="188"/>
      <c r="L7" s="188"/>
      <c r="M7" s="188"/>
      <c r="N7" s="188"/>
      <c r="O7" s="188"/>
      <c r="P7" s="188"/>
      <c r="Q7" s="188"/>
      <c r="R7" s="188"/>
      <c r="S7" s="189"/>
    </row>
    <row r="8" spans="2:19" x14ac:dyDescent="0.25">
      <c r="B8" s="139"/>
      <c r="C8" s="199" t="s">
        <v>224</v>
      </c>
      <c r="D8" s="200"/>
      <c r="E8" s="200"/>
      <c r="F8" s="200"/>
      <c r="G8" s="201"/>
      <c r="S8" s="138"/>
    </row>
    <row r="9" spans="2:19" x14ac:dyDescent="0.25">
      <c r="B9" s="187"/>
      <c r="C9" s="188"/>
      <c r="D9" s="188"/>
      <c r="E9" s="188"/>
      <c r="F9" s="188"/>
      <c r="G9" s="188"/>
      <c r="H9" s="188"/>
      <c r="I9" s="188"/>
      <c r="J9" s="188"/>
      <c r="K9" s="188"/>
      <c r="L9" s="188"/>
      <c r="M9" s="188"/>
      <c r="N9" s="188"/>
      <c r="O9" s="188"/>
      <c r="P9" s="188"/>
      <c r="Q9" s="188"/>
      <c r="R9" s="188"/>
      <c r="S9" s="189"/>
    </row>
    <row r="10" spans="2:19" x14ac:dyDescent="0.25">
      <c r="B10" s="139"/>
      <c r="C10" s="202" t="s">
        <v>225</v>
      </c>
      <c r="D10" s="203"/>
      <c r="E10" s="203"/>
      <c r="F10" s="204"/>
      <c r="S10" s="138"/>
    </row>
    <row r="11" spans="2:19" x14ac:dyDescent="0.25">
      <c r="B11" s="187"/>
      <c r="C11" s="188"/>
      <c r="D11" s="188"/>
      <c r="E11" s="188"/>
      <c r="F11" s="188"/>
      <c r="G11" s="188"/>
      <c r="H11" s="188"/>
      <c r="I11" s="188"/>
      <c r="J11" s="188"/>
      <c r="K11" s="188"/>
      <c r="L11" s="188"/>
      <c r="M11" s="188"/>
      <c r="N11" s="188"/>
      <c r="O11" s="188"/>
      <c r="P11" s="188"/>
      <c r="Q11" s="188"/>
      <c r="R11" s="188"/>
      <c r="S11" s="189"/>
    </row>
    <row r="12" spans="2:19" x14ac:dyDescent="0.25">
      <c r="B12" s="139"/>
      <c r="C12" s="205" t="s">
        <v>226</v>
      </c>
      <c r="D12" s="206"/>
      <c r="E12" s="206"/>
      <c r="F12" s="206"/>
      <c r="G12" s="207"/>
      <c r="S12" s="138"/>
    </row>
    <row r="13" spans="2:19" x14ac:dyDescent="0.25">
      <c r="B13" s="187"/>
      <c r="C13" s="188"/>
      <c r="D13" s="188"/>
      <c r="E13" s="188"/>
      <c r="F13" s="188"/>
      <c r="G13" s="188"/>
      <c r="H13" s="188"/>
      <c r="I13" s="188"/>
      <c r="J13" s="188"/>
      <c r="K13" s="188"/>
      <c r="L13" s="188"/>
      <c r="M13" s="188"/>
      <c r="N13" s="188"/>
      <c r="O13" s="188"/>
      <c r="P13" s="188"/>
      <c r="Q13" s="188"/>
      <c r="R13" s="188"/>
      <c r="S13" s="189"/>
    </row>
    <row r="14" spans="2:19" ht="36" customHeight="1" x14ac:dyDescent="0.25">
      <c r="B14" s="190" t="s">
        <v>227</v>
      </c>
      <c r="C14" s="191"/>
      <c r="D14" s="191"/>
      <c r="E14" s="191"/>
      <c r="F14" s="191"/>
      <c r="G14" s="191"/>
      <c r="H14" s="191"/>
      <c r="I14" s="191"/>
      <c r="J14" s="191"/>
      <c r="K14" s="191"/>
      <c r="L14" s="191"/>
      <c r="M14" s="191"/>
      <c r="N14" s="191"/>
      <c r="O14" s="191"/>
      <c r="P14" s="191"/>
      <c r="Q14" s="191"/>
      <c r="R14" s="191"/>
      <c r="S14" s="192"/>
    </row>
    <row r="15" spans="2:19" x14ac:dyDescent="0.25">
      <c r="B15" s="187"/>
      <c r="C15" s="188"/>
      <c r="D15" s="188"/>
      <c r="E15" s="188"/>
      <c r="F15" s="188"/>
      <c r="G15" s="188"/>
      <c r="H15" s="188"/>
      <c r="I15" s="188"/>
      <c r="J15" s="188"/>
      <c r="K15" s="188"/>
      <c r="L15" s="188"/>
      <c r="M15" s="188"/>
      <c r="N15" s="188"/>
      <c r="O15" s="188"/>
      <c r="P15" s="188"/>
      <c r="Q15" s="188"/>
      <c r="R15" s="188"/>
      <c r="S15" s="189"/>
    </row>
    <row r="16" spans="2:19" ht="16.5" thickBot="1" x14ac:dyDescent="0.3">
      <c r="B16" s="193" t="s">
        <v>228</v>
      </c>
      <c r="C16" s="194"/>
      <c r="D16" s="194"/>
      <c r="E16" s="194"/>
      <c r="F16" s="194"/>
      <c r="G16" s="194"/>
      <c r="H16" s="194"/>
      <c r="I16" s="194"/>
      <c r="J16" s="194"/>
      <c r="K16" s="194"/>
      <c r="L16" s="194"/>
      <c r="M16" s="194"/>
      <c r="N16" s="194"/>
      <c r="O16" s="194"/>
      <c r="P16" s="194"/>
      <c r="Q16" s="194"/>
      <c r="R16" s="194"/>
      <c r="S16" s="195"/>
    </row>
  </sheetData>
  <sheetProtection algorithmName="SHA-512" hashValue="xCK9w/r3wpOjUJSnR5SowJkfrYlk7jcOLFoQ7Mroq77d1ot+8ItMrBJDx1sN/p2TyODHIAj5HFzUqGRCKJv4zA==" saltValue="ZFYiGvn1IAo3QxK8RVCc1g==" spinCount="100000" sheet="1" objects="1" scenarios="1"/>
  <mergeCells count="15">
    <mergeCell ref="B13:S13"/>
    <mergeCell ref="B14:S14"/>
    <mergeCell ref="B15:S15"/>
    <mergeCell ref="B16:S16"/>
    <mergeCell ref="B2:S2"/>
    <mergeCell ref="B3:S3"/>
    <mergeCell ref="B4:S4"/>
    <mergeCell ref="B5:S5"/>
    <mergeCell ref="B6:S6"/>
    <mergeCell ref="B7:S7"/>
    <mergeCell ref="C8:G8"/>
    <mergeCell ref="C10:F10"/>
    <mergeCell ref="C12:G12"/>
    <mergeCell ref="B9:S9"/>
    <mergeCell ref="B11:S11"/>
  </mergeCells>
  <conditionalFormatting sqref="C12">
    <cfRule type="cellIs" dxfId="92" priority="1" operator="greaterThan">
      <formula>0</formula>
    </cfRule>
  </conditionalFormatting>
  <pageMargins left="0.25" right="0.25" top="0.75" bottom="0.75" header="0.3" footer="0.3"/>
  <pageSetup scale="66" fitToHeight="0" orientation="landscape" horizontalDpi="4294967295" verticalDpi="4294967295"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BBC8D-90E5-4328-B9B6-D32A8A271D28}">
  <sheetPr>
    <tabColor theme="4"/>
  </sheetPr>
  <dimension ref="B1:I70"/>
  <sheetViews>
    <sheetView showGridLines="0" zoomScale="90" zoomScaleNormal="90" workbookViewId="0">
      <selection activeCell="G10" sqref="G10:I10"/>
    </sheetView>
  </sheetViews>
  <sheetFormatPr defaultRowHeight="15.75" x14ac:dyDescent="0.25"/>
  <cols>
    <col min="2" max="2" width="10.875" customWidth="1"/>
    <col min="3" max="4" width="9" customWidth="1"/>
    <col min="5" max="5" width="11.375" customWidth="1"/>
    <col min="6" max="6" width="11.875" customWidth="1"/>
    <col min="7" max="7" width="17.875" customWidth="1"/>
    <col min="9" max="9" width="12.75" customWidth="1"/>
  </cols>
  <sheetData>
    <row r="1" spans="2:9" ht="16.5" thickBot="1" x14ac:dyDescent="0.3"/>
    <row r="2" spans="2:9" x14ac:dyDescent="0.25">
      <c r="B2" s="228" t="s">
        <v>159</v>
      </c>
      <c r="C2" s="229"/>
      <c r="D2" s="229"/>
      <c r="E2" s="229"/>
      <c r="F2" s="229"/>
      <c r="G2" s="229"/>
      <c r="H2" s="229"/>
      <c r="I2" s="230"/>
    </row>
    <row r="3" spans="2:9" ht="16.5" thickBot="1" x14ac:dyDescent="0.3">
      <c r="B3" s="231"/>
      <c r="C3" s="232"/>
      <c r="D3" s="232"/>
      <c r="E3" s="232"/>
      <c r="F3" s="232"/>
      <c r="G3" s="232"/>
      <c r="H3" s="232"/>
      <c r="I3" s="233"/>
    </row>
    <row r="4" spans="2:9" x14ac:dyDescent="0.25">
      <c r="B4" s="234" t="s">
        <v>160</v>
      </c>
      <c r="C4" s="235"/>
      <c r="D4" s="235"/>
      <c r="E4" s="235"/>
      <c r="F4" s="235"/>
      <c r="G4" s="236"/>
      <c r="H4" s="237"/>
      <c r="I4" s="238"/>
    </row>
    <row r="5" spans="2:9" x14ac:dyDescent="0.25">
      <c r="B5" s="239" t="s">
        <v>161</v>
      </c>
      <c r="C5" s="240"/>
      <c r="D5" s="240"/>
      <c r="E5" s="240"/>
      <c r="F5" s="240"/>
      <c r="G5" s="241"/>
      <c r="H5" s="242" t="s">
        <v>162</v>
      </c>
      <c r="I5" s="243"/>
    </row>
    <row r="6" spans="2:9" ht="16.5" thickBot="1" x14ac:dyDescent="0.3">
      <c r="B6" s="244" t="s">
        <v>163</v>
      </c>
      <c r="C6" s="245"/>
      <c r="D6" s="245"/>
      <c r="E6" s="245"/>
      <c r="F6" s="245"/>
      <c r="G6" s="245"/>
      <c r="H6" s="245"/>
      <c r="I6" s="246"/>
    </row>
    <row r="7" spans="2:9" ht="16.5" thickBot="1" x14ac:dyDescent="0.3">
      <c r="B7" s="264"/>
      <c r="C7" s="264"/>
      <c r="D7" s="264"/>
      <c r="E7" s="264"/>
      <c r="F7" s="264"/>
      <c r="G7" s="264"/>
      <c r="H7" s="264"/>
      <c r="I7" s="264"/>
    </row>
    <row r="8" spans="2:9" ht="22.5" customHeight="1" x14ac:dyDescent="0.25">
      <c r="B8" s="265" t="s">
        <v>311</v>
      </c>
      <c r="C8" s="266"/>
      <c r="D8" s="266"/>
      <c r="E8" s="266"/>
      <c r="F8" s="266"/>
      <c r="G8" s="266"/>
      <c r="H8" s="266"/>
      <c r="I8" s="267"/>
    </row>
    <row r="9" spans="2:9" ht="22.5" customHeight="1" thickBot="1" x14ac:dyDescent="0.3">
      <c r="B9" s="268"/>
      <c r="C9" s="269"/>
      <c r="D9" s="269"/>
      <c r="E9" s="269"/>
      <c r="F9" s="269"/>
      <c r="G9" s="269"/>
      <c r="H9" s="269"/>
      <c r="I9" s="270"/>
    </row>
    <row r="10" spans="2:9" ht="33" customHeight="1" thickBot="1" x14ac:dyDescent="0.3">
      <c r="B10" s="271" t="s">
        <v>215</v>
      </c>
      <c r="C10" s="272"/>
      <c r="D10" s="272"/>
      <c r="E10" s="272"/>
      <c r="F10" s="272"/>
      <c r="G10" s="273"/>
      <c r="H10" s="274"/>
      <c r="I10" s="275"/>
    </row>
    <row r="11" spans="2:9" ht="16.5" thickBot="1" x14ac:dyDescent="0.3">
      <c r="B11" s="247"/>
      <c r="C11" s="247"/>
      <c r="D11" s="247"/>
      <c r="E11" s="247"/>
      <c r="F11" s="247"/>
      <c r="G11" s="247"/>
      <c r="H11" s="247"/>
      <c r="I11" s="247"/>
    </row>
    <row r="12" spans="2:9" s="166" customFormat="1" ht="54.75" customHeight="1" thickBot="1" x14ac:dyDescent="0.3">
      <c r="B12" s="259" t="str">
        <f>"Is this district currently compliant with the local government registry of the Idaho State Controller's Office? 
          - If not compliant, property tax budget increases are not allowed"</f>
        <v>Is this district currently compliant with the local government registry of the Idaho State Controller's Office? 
          - If not compliant, property tax budget increases are not allowed</v>
      </c>
      <c r="C12" s="260"/>
      <c r="D12" s="260"/>
      <c r="E12" s="260"/>
      <c r="F12" s="260"/>
      <c r="G12" s="261"/>
      <c r="H12" s="262" t="s">
        <v>165</v>
      </c>
      <c r="I12" s="263"/>
    </row>
    <row r="13" spans="2:9" ht="21" x14ac:dyDescent="0.25">
      <c r="B13" s="250" t="s">
        <v>231</v>
      </c>
      <c r="C13" s="251"/>
      <c r="D13" s="251"/>
      <c r="E13" s="251"/>
      <c r="F13" s="251"/>
      <c r="G13" s="144" t="str">
        <f>IF(DistrictName&lt;&gt;0,DistrictName,"")</f>
        <v/>
      </c>
      <c r="H13" s="248">
        <v>0.03</v>
      </c>
      <c r="I13" s="249"/>
    </row>
    <row r="14" spans="2:9" ht="21" x14ac:dyDescent="0.25">
      <c r="B14" s="252"/>
      <c r="C14" s="253"/>
      <c r="D14" s="253"/>
      <c r="E14" s="253"/>
      <c r="F14" s="253"/>
      <c r="G14" s="124" t="str">
        <f>IF(DistrictName&lt;&gt;0,"Road &amp; Bridge","")</f>
        <v/>
      </c>
      <c r="H14" s="254">
        <v>0.03</v>
      </c>
      <c r="I14" s="255"/>
    </row>
    <row r="15" spans="2:9" ht="12" customHeight="1" x14ac:dyDescent="0.25">
      <c r="B15" s="256"/>
      <c r="C15" s="257"/>
      <c r="D15" s="257"/>
      <c r="E15" s="257"/>
      <c r="F15" s="257"/>
      <c r="G15" s="257"/>
      <c r="H15" s="257"/>
      <c r="I15" s="258"/>
    </row>
    <row r="16" spans="2:9" ht="21" customHeight="1" x14ac:dyDescent="0.25">
      <c r="B16" s="208" t="str">
        <f>"Total "&amp;LEFT($B$8,4)&amp;" Net Taxable Value + Estimated Sub-roll:
      (not including Operating Property)"</f>
        <v>Total 2026 Net Taxable Value + Estimated Sub-roll:
      (not including Operating Property)</v>
      </c>
      <c r="C16" s="209"/>
      <c r="D16" s="209"/>
      <c r="E16" s="209"/>
      <c r="F16" s="210"/>
      <c r="G16" s="123" t="str">
        <f>IF(DistrictName&lt;&gt;0,DistrictName,"")</f>
        <v/>
      </c>
      <c r="H16" s="216"/>
      <c r="I16" s="217"/>
    </row>
    <row r="17" spans="2:9" ht="21" customHeight="1" x14ac:dyDescent="0.25">
      <c r="B17" s="211"/>
      <c r="C17" s="212"/>
      <c r="D17" s="212"/>
      <c r="E17" s="212"/>
      <c r="F17" s="213"/>
      <c r="G17" s="124" t="str">
        <f>IF(DistrictName&lt;&gt;0,"Road &amp; Bridge","")</f>
        <v/>
      </c>
      <c r="H17" s="216"/>
      <c r="I17" s="217"/>
    </row>
    <row r="18" spans="2:9" ht="12" customHeight="1" x14ac:dyDescent="0.25">
      <c r="B18" s="256"/>
      <c r="C18" s="257"/>
      <c r="D18" s="257"/>
      <c r="E18" s="257"/>
      <c r="F18" s="257"/>
      <c r="G18" s="257"/>
      <c r="H18" s="257"/>
      <c r="I18" s="258"/>
    </row>
    <row r="19" spans="2:9" ht="21.75" customHeight="1" x14ac:dyDescent="0.25">
      <c r="B19" s="222" t="str">
        <f>"Enter "&amp;LEFT($B$8,4)&amp;" New Construction value:     
      (reported by County Assessor at 90%)"</f>
        <v>Enter 2026 New Construction value:     
      (reported by County Assessor at 90%)</v>
      </c>
      <c r="C19" s="335"/>
      <c r="D19" s="335"/>
      <c r="E19" s="335"/>
      <c r="F19" s="336"/>
      <c r="G19" s="123" t="str">
        <f>IF(DistrictName&lt;&gt;0,DistrictName,"")</f>
        <v/>
      </c>
      <c r="H19" s="216"/>
      <c r="I19" s="217"/>
    </row>
    <row r="20" spans="2:9" ht="21.75" customHeight="1" x14ac:dyDescent="0.25">
      <c r="B20" s="337"/>
      <c r="C20" s="338"/>
      <c r="D20" s="338"/>
      <c r="E20" s="338"/>
      <c r="F20" s="339"/>
      <c r="G20" s="124" t="str">
        <f>IF(DistrictName&lt;&gt;0,"Road &amp; Bridge","")</f>
        <v/>
      </c>
      <c r="H20" s="216"/>
      <c r="I20" s="217"/>
    </row>
    <row r="21" spans="2:9" ht="12" customHeight="1" x14ac:dyDescent="0.25">
      <c r="B21" s="218"/>
      <c r="C21" s="219"/>
      <c r="D21" s="219"/>
      <c r="E21" s="219"/>
      <c r="F21" s="219"/>
      <c r="G21" s="219"/>
      <c r="H21" s="219"/>
      <c r="I21" s="220"/>
    </row>
    <row r="22" spans="2:9" x14ac:dyDescent="0.25">
      <c r="B22" s="218" t="str">
        <f>"Did this county have annexation value for "&amp;LEFT($B$8,4)&amp;"?"</f>
        <v>Did this county have annexation value for 2026?</v>
      </c>
      <c r="C22" s="219"/>
      <c r="D22" s="219"/>
      <c r="E22" s="219"/>
      <c r="F22" s="219"/>
      <c r="G22" s="221"/>
      <c r="H22" s="214"/>
      <c r="I22" s="215"/>
    </row>
    <row r="23" spans="2:9" ht="21" customHeight="1" x14ac:dyDescent="0.25">
      <c r="B23" s="222" t="s">
        <v>326</v>
      </c>
      <c r="C23" s="223"/>
      <c r="D23" s="223"/>
      <c r="E23" s="223"/>
      <c r="F23" s="224"/>
      <c r="G23" s="123" t="str">
        <f>IF(DistrictName&lt;&gt;0,DistrictName,"")</f>
        <v/>
      </c>
      <c r="H23" s="216"/>
      <c r="I23" s="217"/>
    </row>
    <row r="24" spans="2:9" ht="21" customHeight="1" x14ac:dyDescent="0.25">
      <c r="B24" s="225"/>
      <c r="C24" s="226"/>
      <c r="D24" s="226"/>
      <c r="E24" s="226"/>
      <c r="F24" s="227"/>
      <c r="G24" s="145" t="str">
        <f>IF(DistrictName&lt;&gt;0,"Road &amp; Bridge","")</f>
        <v/>
      </c>
      <c r="H24" s="216"/>
      <c r="I24" s="217"/>
    </row>
    <row r="25" spans="2:9" ht="12" customHeight="1" x14ac:dyDescent="0.25">
      <c r="B25" s="218"/>
      <c r="C25" s="219"/>
      <c r="D25" s="219"/>
      <c r="E25" s="219"/>
      <c r="F25" s="219"/>
      <c r="G25" s="219"/>
      <c r="H25" s="219"/>
      <c r="I25" s="220"/>
    </row>
    <row r="26" spans="2:9" x14ac:dyDescent="0.25">
      <c r="B26" s="276" t="s">
        <v>185</v>
      </c>
      <c r="C26" s="277"/>
      <c r="D26" s="277"/>
      <c r="E26" s="277"/>
      <c r="F26" s="277"/>
      <c r="G26" s="278"/>
      <c r="H26" s="214"/>
      <c r="I26" s="215"/>
    </row>
    <row r="27" spans="2:9" ht="21" customHeight="1" x14ac:dyDescent="0.25">
      <c r="B27" s="222" t="s">
        <v>232</v>
      </c>
      <c r="C27" s="223"/>
      <c r="D27" s="223"/>
      <c r="E27" s="223"/>
      <c r="F27" s="224"/>
      <c r="G27" s="123" t="str">
        <f>IF(DistrictName&lt;&gt;0,DistrictName,"")</f>
        <v/>
      </c>
      <c r="H27" s="216"/>
      <c r="I27" s="217"/>
    </row>
    <row r="28" spans="2:9" ht="21" customHeight="1" x14ac:dyDescent="0.25">
      <c r="B28" s="225"/>
      <c r="C28" s="226"/>
      <c r="D28" s="226"/>
      <c r="E28" s="226"/>
      <c r="F28" s="227"/>
      <c r="G28" s="145" t="str">
        <f>IF(DistrictName&lt;&gt;0,"Road &amp; Bridge","")</f>
        <v/>
      </c>
      <c r="H28" s="216"/>
      <c r="I28" s="217"/>
    </row>
    <row r="29" spans="2:9" ht="21" customHeight="1" x14ac:dyDescent="0.25">
      <c r="B29" s="297" t="s">
        <v>233</v>
      </c>
      <c r="C29" s="298"/>
      <c r="D29" s="298"/>
      <c r="E29" s="298"/>
      <c r="F29" s="299"/>
      <c r="G29" s="144" t="str">
        <f>IF(DistrictName&lt;&gt;0,DistrictName,"")</f>
        <v/>
      </c>
      <c r="H29" s="303"/>
      <c r="I29" s="304"/>
    </row>
    <row r="30" spans="2:9" ht="21" customHeight="1" thickBot="1" x14ac:dyDescent="0.3">
      <c r="B30" s="300"/>
      <c r="C30" s="301"/>
      <c r="D30" s="301"/>
      <c r="E30" s="301"/>
      <c r="F30" s="302"/>
      <c r="G30" s="124" t="str">
        <f>IF(DistrictName&lt;&gt;0,"Road &amp; Bridge","")</f>
        <v/>
      </c>
      <c r="H30" s="216"/>
      <c r="I30" s="217"/>
    </row>
    <row r="31" spans="2:9" ht="16.5" customHeight="1" thickBot="1" x14ac:dyDescent="0.3">
      <c r="B31" s="288"/>
      <c r="C31" s="288"/>
      <c r="D31" s="288"/>
      <c r="E31" s="288"/>
      <c r="F31" s="288"/>
      <c r="G31" s="288"/>
      <c r="H31" s="288"/>
      <c r="I31" s="288"/>
    </row>
    <row r="32" spans="2:9" ht="24" customHeight="1" x14ac:dyDescent="0.25">
      <c r="B32" s="289" t="s">
        <v>166</v>
      </c>
      <c r="C32" s="290"/>
      <c r="D32" s="290"/>
      <c r="E32" s="290"/>
      <c r="F32" s="290"/>
      <c r="G32" s="290"/>
      <c r="H32" s="290"/>
      <c r="I32" s="291"/>
    </row>
    <row r="33" spans="2:9" ht="31.5" customHeight="1" x14ac:dyDescent="0.25">
      <c r="B33" s="292" t="s">
        <v>167</v>
      </c>
      <c r="C33" s="293"/>
      <c r="D33" s="293"/>
      <c r="E33" s="293"/>
      <c r="F33" s="293"/>
      <c r="G33" s="294"/>
      <c r="H33" s="295"/>
      <c r="I33" s="296"/>
    </row>
    <row r="34" spans="2:9" x14ac:dyDescent="0.25">
      <c r="B34" s="218" t="str">
        <f>"Enter current year's amount of Solar Farm Tax here (7/1/"&amp;MID($B$8,3,2)-1&amp;" - 6/30/"&amp;MID($B$8,3,2)&amp;"):"</f>
        <v>Enter current year's amount of Solar Farm Tax here (7/1/25 - 6/30/26):</v>
      </c>
      <c r="C34" s="219"/>
      <c r="D34" s="219"/>
      <c r="E34" s="219"/>
      <c r="F34" s="219"/>
      <c r="G34" s="221"/>
      <c r="H34" s="216"/>
      <c r="I34" s="217"/>
    </row>
    <row r="35" spans="2:9" ht="31.5" customHeight="1" x14ac:dyDescent="0.25">
      <c r="B35" s="284" t="s">
        <v>168</v>
      </c>
      <c r="C35" s="285"/>
      <c r="D35" s="285"/>
      <c r="E35" s="285"/>
      <c r="F35" s="285"/>
      <c r="G35" s="285"/>
      <c r="H35" s="286"/>
      <c r="I35" s="287"/>
    </row>
    <row r="36" spans="2:9" x14ac:dyDescent="0.25">
      <c r="B36" s="323" t="s">
        <v>169</v>
      </c>
      <c r="C36" s="324"/>
      <c r="D36" s="324"/>
      <c r="E36" s="324"/>
      <c r="F36" s="324"/>
      <c r="G36" s="325"/>
      <c r="H36" s="282"/>
      <c r="I36" s="283"/>
    </row>
    <row r="37" spans="2:9" ht="33" customHeight="1" x14ac:dyDescent="0.25">
      <c r="B37" s="326" t="s">
        <v>170</v>
      </c>
      <c r="C37" s="327"/>
      <c r="D37" s="327"/>
      <c r="E37" s="327"/>
      <c r="F37" s="327"/>
      <c r="G37" s="328"/>
      <c r="H37" s="214"/>
      <c r="I37" s="215"/>
    </row>
    <row r="38" spans="2:9" x14ac:dyDescent="0.25">
      <c r="B38" s="279" t="s">
        <v>171</v>
      </c>
      <c r="C38" s="280"/>
      <c r="D38" s="280"/>
      <c r="E38" s="280"/>
      <c r="F38" s="280"/>
      <c r="G38" s="281"/>
      <c r="H38" s="282"/>
      <c r="I38" s="283"/>
    </row>
    <row r="39" spans="2:9" ht="33" customHeight="1" x14ac:dyDescent="0.25">
      <c r="B39" s="211" t="s">
        <v>172</v>
      </c>
      <c r="C39" s="212"/>
      <c r="D39" s="212"/>
      <c r="E39" s="212"/>
      <c r="F39" s="212"/>
      <c r="G39" s="213"/>
      <c r="H39" s="347"/>
      <c r="I39" s="348"/>
    </row>
    <row r="40" spans="2:9" ht="16.5" thickBot="1" x14ac:dyDescent="0.3">
      <c r="B40" s="305" t="s">
        <v>312</v>
      </c>
      <c r="C40" s="306"/>
      <c r="D40" s="306"/>
      <c r="E40" s="306"/>
      <c r="F40" s="306"/>
      <c r="G40" s="307"/>
      <c r="H40" s="317"/>
      <c r="I40" s="318"/>
    </row>
    <row r="41" spans="2:9" ht="11.25" customHeight="1" x14ac:dyDescent="0.25">
      <c r="B41" s="288"/>
      <c r="C41" s="288"/>
      <c r="D41" s="288"/>
      <c r="E41" s="288"/>
      <c r="F41" s="288"/>
      <c r="G41" s="288"/>
      <c r="H41" s="288"/>
      <c r="I41" s="288"/>
    </row>
    <row r="42" spans="2:9" ht="11.25" customHeight="1" thickBot="1" x14ac:dyDescent="0.3">
      <c r="B42" s="360"/>
      <c r="C42" s="360"/>
      <c r="D42" s="360"/>
      <c r="E42" s="360"/>
      <c r="F42" s="360"/>
      <c r="G42" s="360"/>
      <c r="H42" s="360"/>
      <c r="I42" s="360"/>
    </row>
    <row r="43" spans="2:9" ht="24" customHeight="1" x14ac:dyDescent="0.25">
      <c r="B43" s="289" t="s">
        <v>400</v>
      </c>
      <c r="C43" s="290"/>
      <c r="D43" s="290"/>
      <c r="E43" s="290"/>
      <c r="F43" s="290"/>
      <c r="G43" s="290"/>
      <c r="H43" s="290"/>
      <c r="I43" s="291"/>
    </row>
    <row r="44" spans="2:9" ht="31.5" customHeight="1" thickBot="1" x14ac:dyDescent="0.3">
      <c r="B44" s="292" t="str">
        <f>"Enter the estimated revenues to be received by this district for tax year "&amp;LEFT($B$8,4)&amp;" for kWh/therms taxes from rate-regulated electric &amp; gas utility companies:"</f>
        <v>Enter the estimated revenues to be received by this district for tax year 2026 for kWh/therms taxes from rate-regulated electric &amp; gas utility companies:</v>
      </c>
      <c r="C44" s="293"/>
      <c r="D44" s="293"/>
      <c r="E44" s="293"/>
      <c r="F44" s="293"/>
      <c r="G44" s="294"/>
      <c r="H44" s="282"/>
      <c r="I44" s="283"/>
    </row>
    <row r="45" spans="2:9" ht="11.25" customHeight="1" x14ac:dyDescent="0.25">
      <c r="B45" s="359"/>
      <c r="C45" s="359"/>
      <c r="D45" s="359"/>
      <c r="E45" s="359"/>
      <c r="F45" s="359"/>
      <c r="G45" s="359"/>
      <c r="H45" s="359"/>
      <c r="I45" s="359"/>
    </row>
    <row r="46" spans="2:9" ht="11.25" customHeight="1" thickBot="1" x14ac:dyDescent="0.3">
      <c r="B46" s="319"/>
      <c r="C46" s="319"/>
      <c r="D46" s="319"/>
      <c r="E46" s="319"/>
      <c r="F46" s="319"/>
      <c r="G46" s="319"/>
      <c r="H46" s="319"/>
      <c r="I46" s="319"/>
    </row>
    <row r="47" spans="2:9" ht="24" thickBot="1" x14ac:dyDescent="0.4">
      <c r="B47" s="320" t="s">
        <v>184</v>
      </c>
      <c r="C47" s="321"/>
      <c r="D47" s="321"/>
      <c r="E47" s="321"/>
      <c r="F47" s="321"/>
      <c r="G47" s="321"/>
      <c r="H47" s="321"/>
      <c r="I47" s="322"/>
    </row>
    <row r="48" spans="2:9" x14ac:dyDescent="0.25">
      <c r="B48" s="340" t="s">
        <v>173</v>
      </c>
      <c r="C48" s="341"/>
      <c r="D48" s="341"/>
      <c r="E48" s="341"/>
      <c r="F48" s="341"/>
      <c r="G48" s="342"/>
      <c r="H48" s="343" t="str">
        <f>IFERROR(IF(DistrictName=0,"",
            INDEX(Data!Z2:Z25,MATCH(DistrictName,Data!C2:C25,0))),0)</f>
        <v/>
      </c>
      <c r="I48" s="344"/>
    </row>
    <row r="49" spans="2:9" x14ac:dyDescent="0.25">
      <c r="B49" s="345" t="str">
        <f>IF(SCOstatus="No",
    "Forgone amounts cannot be recovered when non-compliant with SCO",
    "Will the district use its forgone balance to increase this year's budget?")</f>
        <v>Will the district use its forgone balance to increase this year's budget?</v>
      </c>
      <c r="C49" s="346"/>
      <c r="D49" s="346"/>
      <c r="E49" s="346"/>
      <c r="F49" s="346"/>
      <c r="G49" s="346"/>
      <c r="H49" s="347"/>
      <c r="I49" s="348"/>
    </row>
    <row r="50" spans="2:9" x14ac:dyDescent="0.25">
      <c r="B50" s="311" t="s">
        <v>174</v>
      </c>
      <c r="C50" s="312"/>
      <c r="D50" s="312"/>
      <c r="E50" s="312"/>
      <c r="F50" s="312"/>
      <c r="G50" s="312"/>
      <c r="H50" s="315" t="str">
        <f>IFERROR(MAX(ROUND(MIN($H$48,'2. L-2 Worksheet'!$I$66*0.01),0),0),"")</f>
        <v/>
      </c>
      <c r="I50" s="316"/>
    </row>
    <row r="51" spans="2:9" x14ac:dyDescent="0.25">
      <c r="B51" s="311" t="s">
        <v>175</v>
      </c>
      <c r="C51" s="312"/>
      <c r="D51" s="312"/>
      <c r="E51" s="312"/>
      <c r="F51" s="312"/>
      <c r="G51" s="312"/>
      <c r="H51" s="313"/>
      <c r="I51" s="314"/>
    </row>
    <row r="52" spans="2:9" x14ac:dyDescent="0.25">
      <c r="B52" s="311" t="s">
        <v>176</v>
      </c>
      <c r="C52" s="312"/>
      <c r="D52" s="312"/>
      <c r="E52" s="312"/>
      <c r="F52" s="312"/>
      <c r="G52" s="312"/>
      <c r="H52" s="315" t="str">
        <f>IF(DistrictName=0,"",
    MIN($H$48-$H$51,ROUND(0.03*'2. L-2 Worksheet'!$I$66,0)))</f>
        <v/>
      </c>
      <c r="I52" s="316"/>
    </row>
    <row r="53" spans="2:9" x14ac:dyDescent="0.25">
      <c r="B53" s="311" t="s">
        <v>177</v>
      </c>
      <c r="C53" s="312"/>
      <c r="D53" s="312"/>
      <c r="E53" s="312"/>
      <c r="F53" s="312"/>
      <c r="G53" s="312"/>
      <c r="H53" s="313"/>
      <c r="I53" s="314"/>
    </row>
    <row r="54" spans="2:9" ht="16.5" thickBot="1" x14ac:dyDescent="0.3">
      <c r="B54" s="349" t="str">
        <f>IF(SCOstatus="No","","Please complete and submit a resolution to recover forgone")</f>
        <v>Please complete and submit a resolution to recover forgone</v>
      </c>
      <c r="C54" s="350"/>
      <c r="D54" s="350"/>
      <c r="E54" s="350"/>
      <c r="F54" s="350"/>
      <c r="G54" s="350"/>
      <c r="H54" s="350"/>
      <c r="I54" s="351"/>
    </row>
    <row r="55" spans="2:9" ht="8.25" customHeight="1" x14ac:dyDescent="0.25">
      <c r="B55" s="140"/>
      <c r="C55" s="140"/>
      <c r="D55" s="140"/>
      <c r="E55" s="140"/>
      <c r="F55" s="140"/>
      <c r="G55" s="140"/>
      <c r="H55" s="140"/>
      <c r="I55" s="140"/>
    </row>
    <row r="56" spans="2:9" ht="8.25" customHeight="1" thickBot="1" x14ac:dyDescent="0.3">
      <c r="B56" s="352"/>
      <c r="C56" s="352"/>
      <c r="D56" s="352"/>
      <c r="E56" s="352"/>
      <c r="F56" s="352"/>
      <c r="G56" s="352"/>
      <c r="H56" s="352"/>
      <c r="I56" s="352"/>
    </row>
    <row r="57" spans="2:9" ht="26.25" x14ac:dyDescent="0.25">
      <c r="B57" s="353" t="s">
        <v>178</v>
      </c>
      <c r="C57" s="354"/>
      <c r="D57" s="354"/>
      <c r="E57" s="354"/>
      <c r="F57" s="354"/>
      <c r="G57" s="354"/>
      <c r="H57" s="354"/>
      <c r="I57" s="355"/>
    </row>
    <row r="58" spans="2:9" ht="49.15" customHeight="1" x14ac:dyDescent="0.25">
      <c r="B58" s="356" t="str">
        <f>IF(SCOstatus="No","This district is out of compliance with the local govt registry of the State Controller's Office (SCO) and
property tax budget increases are not allowed","This section summarizes the allowable increases from the highest non-exempt property tax 
budget of the last 3 years (including replacements but not solar farm tax)
(see 'L-2 worksheet' tab for calculation detail)")</f>
        <v>This section summarizes the allowable increases from the highest non-exempt property tax 
budget of the last 3 years (including replacements but not solar farm tax)
(see 'L-2 worksheet' tab for calculation detail)</v>
      </c>
      <c r="C58" s="357"/>
      <c r="D58" s="357"/>
      <c r="E58" s="357"/>
      <c r="F58" s="357"/>
      <c r="G58" s="357"/>
      <c r="H58" s="357"/>
      <c r="I58" s="358"/>
    </row>
    <row r="59" spans="2:9" x14ac:dyDescent="0.25">
      <c r="B59" s="308" t="s">
        <v>179</v>
      </c>
      <c r="C59" s="309"/>
      <c r="D59" s="309"/>
      <c r="E59" s="309"/>
      <c r="F59" s="309"/>
      <c r="G59" s="310"/>
      <c r="H59" s="118" t="str">
        <f>IFERROR(I59/'2. L-2 Worksheet'!$I$20,"")</f>
        <v/>
      </c>
      <c r="I59" s="119">
        <f>IF(DistrictName&lt;&gt;0,SUM('2. L-2 Worksheet'!I22:I23),0)</f>
        <v>0</v>
      </c>
    </row>
    <row r="60" spans="2:9" x14ac:dyDescent="0.25">
      <c r="B60" s="308" t="s">
        <v>180</v>
      </c>
      <c r="C60" s="309"/>
      <c r="D60" s="309"/>
      <c r="E60" s="309"/>
      <c r="F60" s="309"/>
      <c r="G60" s="310"/>
      <c r="H60" s="118" t="str">
        <f>IFERROR(I60/'2. L-2 Worksheet'!$I$20,"")</f>
        <v/>
      </c>
      <c r="I60" s="119">
        <f>IF(DistrictName&lt;&gt;0,'2. L-2 Worksheet'!I39,0)</f>
        <v>0</v>
      </c>
    </row>
    <row r="61" spans="2:9" x14ac:dyDescent="0.25">
      <c r="B61" s="308" t="str">
        <f>IF($H$22="Yes","Annexation budget increase","")</f>
        <v/>
      </c>
      <c r="C61" s="309"/>
      <c r="D61" s="309"/>
      <c r="E61" s="309"/>
      <c r="F61" s="309"/>
      <c r="G61" s="310"/>
      <c r="H61" s="118" t="str">
        <f>IF($H$22="Yes",
    IFERROR(I61/'2. L-2 Worksheet'!$I$20,""),
    "")</f>
        <v/>
      </c>
      <c r="I61" s="119" t="str">
        <f>IF(DistrictName=0,"",
 IF($H$22="Yes",'2. L-2 Worksheet'!I51,""))</f>
        <v/>
      </c>
    </row>
    <row r="62" spans="2:9" x14ac:dyDescent="0.25">
      <c r="B62" s="308" t="s">
        <v>181</v>
      </c>
      <c r="C62" s="309"/>
      <c r="D62" s="309"/>
      <c r="E62" s="309"/>
      <c r="F62" s="309"/>
      <c r="G62" s="310"/>
      <c r="H62" s="118" t="str">
        <f>IFERROR(I62/'2. L-2 Worksheet'!$I$20,"")</f>
        <v/>
      </c>
      <c r="I62" s="119" t="str">
        <f>ReductionByPercentCap</f>
        <v/>
      </c>
    </row>
    <row r="63" spans="2:9" x14ac:dyDescent="0.25">
      <c r="B63" s="308" t="str">
        <f>IF(H26="Yes","Terminating Urban Renewal allowable increase","")</f>
        <v/>
      </c>
      <c r="C63" s="309"/>
      <c r="D63" s="309"/>
      <c r="E63" s="309"/>
      <c r="F63" s="309"/>
      <c r="G63" s="310"/>
      <c r="H63" s="118" t="str">
        <f>IF(H26="Yes",IFERROR(I63/'2. L-2 Worksheet'!$I$20,""),"")</f>
        <v/>
      </c>
      <c r="I63" s="119" t="str">
        <f>IF(H26="Yes",'2. L-2 Worksheet'!I65,"")</f>
        <v/>
      </c>
    </row>
    <row r="64" spans="2:9" x14ac:dyDescent="0.25">
      <c r="B64" s="308" t="str">
        <f>IF(H33="Yes","Effect of changing solar farm tax revenue","")</f>
        <v/>
      </c>
      <c r="C64" s="309"/>
      <c r="D64" s="309"/>
      <c r="E64" s="309"/>
      <c r="F64" s="309"/>
      <c r="G64" s="310"/>
      <c r="H64" s="118" t="str">
        <f>IFERROR(I64/'2. L-2 Worksheet'!$I$20,"")</f>
        <v/>
      </c>
      <c r="I64" s="119" t="str">
        <f>IFERROR(IF(H33="Yes",
      IF('2. L-2 Worksheet'!I15=MAX('2. L-2 Worksheet'!E15:I15),'2. L-2 Worksheet'!I13-'2. L-2 Worksheet'!G83,
      IF('2. L-2 Worksheet'!G15=MAX('2. L-2 Worksheet'!E15:I15),'2. L-2 Worksheet'!G13-'2. L-2 Worksheet'!G83,
      IF('2. L-2 Worksheet'!E15=MAX('2. L-2 Worksheet'!E15:I15),'2. L-2 Worksheet'!E13-'2. L-2 Worksheet'!G83))),""),0)</f>
        <v/>
      </c>
    </row>
    <row r="65" spans="2:9" s="166" customFormat="1" ht="18" customHeight="1" x14ac:dyDescent="0.25">
      <c r="B65" s="308" t="str">
        <f>"Effect of changing kWh/therms tax revenue"</f>
        <v>Effect of changing kWh/therms tax revenue</v>
      </c>
      <c r="C65" s="309"/>
      <c r="D65" s="309"/>
      <c r="E65" s="309"/>
      <c r="F65" s="309"/>
      <c r="G65" s="310"/>
      <c r="H65" s="120" t="str">
        <f>IFERROR(ROUND(I65/'2. L-2 Worksheet'!$I$20,4),"")</f>
        <v/>
      </c>
      <c r="I65" s="119" t="str">
        <f>IF(DistrictName&lt;&gt;0,-H44,"")</f>
        <v/>
      </c>
    </row>
    <row r="66" spans="2:9" x14ac:dyDescent="0.25">
      <c r="B66" s="308" t="s">
        <v>182</v>
      </c>
      <c r="C66" s="309"/>
      <c r="D66" s="309"/>
      <c r="E66" s="309"/>
      <c r="F66" s="309"/>
      <c r="G66" s="310"/>
      <c r="H66" s="118" t="str">
        <f>IFERROR(I66/'2. L-2 Worksheet'!$I$20,"")</f>
        <v/>
      </c>
      <c r="I66" s="119">
        <f>SUM(-H36,-H38,-H40)</f>
        <v>0</v>
      </c>
    </row>
    <row r="67" spans="2:9" ht="31.5" customHeight="1" x14ac:dyDescent="0.25">
      <c r="B67" s="326" t="str">
        <f>IF($H$49="Yes","Extra increase to the maximum budget from forgone amounts 
      (Maintenance &amp; Operations)","")</f>
        <v/>
      </c>
      <c r="C67" s="327"/>
      <c r="D67" s="327"/>
      <c r="E67" s="327"/>
      <c r="F67" s="327"/>
      <c r="G67" s="328"/>
      <c r="H67" s="120" t="str">
        <f>IFERROR(I67/'2. L-2 Worksheet'!$I$55,"")</f>
        <v/>
      </c>
      <c r="I67" s="119" t="str">
        <f>IF(DistrictName=0,"",
 IF($H$49="Yes",H51,""))</f>
        <v/>
      </c>
    </row>
    <row r="68" spans="2:9" ht="31.5" customHeight="1" x14ac:dyDescent="0.25">
      <c r="B68" s="326" t="str">
        <f>IF($H$49="Yes","Extra increase to the maximum budget from forgone amounts 
      (Capital Projects)","")</f>
        <v/>
      </c>
      <c r="C68" s="327"/>
      <c r="D68" s="327"/>
      <c r="E68" s="327"/>
      <c r="F68" s="327"/>
      <c r="G68" s="328"/>
      <c r="H68" s="120" t="str">
        <f>IFERROR(I68/'2. L-2 Worksheet'!$I$55,"")</f>
        <v/>
      </c>
      <c r="I68" s="119" t="str">
        <f>IF(DistrictName=0,"",
 IF($H$49="Yes",H53,""))</f>
        <v/>
      </c>
    </row>
    <row r="69" spans="2:9" ht="16.5" thickBot="1" x14ac:dyDescent="0.3">
      <c r="B69" s="332" t="s">
        <v>183</v>
      </c>
      <c r="C69" s="333"/>
      <c r="D69" s="333"/>
      <c r="E69" s="333"/>
      <c r="F69" s="333"/>
      <c r="G69" s="334"/>
      <c r="H69" s="121" t="str">
        <f>IFERROR(ROUND(I69/'2. L-2 Worksheet'!$I$20,4),"")</f>
        <v/>
      </c>
      <c r="I69" s="122">
        <f>SUM(I59:I68)</f>
        <v>0</v>
      </c>
    </row>
    <row r="70" spans="2:9" s="166" customFormat="1" ht="22.5" customHeight="1" thickBot="1" x14ac:dyDescent="0.3">
      <c r="B70" s="329" t="s">
        <v>356</v>
      </c>
      <c r="C70" s="330"/>
      <c r="D70" s="330"/>
      <c r="E70" s="330"/>
      <c r="F70" s="330"/>
      <c r="G70" s="331"/>
      <c r="H70" s="167" t="str">
        <f>IF(DistrictName="","",
    ROUND($I$70/HighestofLast3yrs,4))</f>
        <v/>
      </c>
      <c r="I70" s="168" t="str">
        <f>IF(DistrictName="","",
    IF(SCOstatus&lt;&gt;"No",0,
       SUM(MIN(SUM('2. L-2 Worksheet'!J22,
                   '2. L-2 Worksheet'!J23,
                   '2. L-2 Worksheet'!J39,
                   '2. L-2 Worksheet'!J51),
               ROUND(HighestofLast3yrs*0.08,0)),
           '2. L-2 Worksheet'!J65)))</f>
        <v/>
      </c>
    </row>
  </sheetData>
  <sheetProtection algorithmName="SHA-512" hashValue="EFMln8gcNOcB1mhu8UbbG4SHyeo/togPCwKm1lPH/B5hMv8R2v03d8KvDJSt4P6juVpMfAj0Nvdztltk7I1T3g==" saltValue="0ENTjw4kyRSQBartTGH6Tg==" spinCount="100000" sheet="1" selectLockedCells="1"/>
  <protectedRanges>
    <protectedRange sqref="H57:H58 G10:I10 H13:H35 H41:H44" name="Range1_7"/>
    <protectedRange sqref="H12" name="Range1"/>
  </protectedRanges>
  <mergeCells count="93">
    <mergeCell ref="B41:I41"/>
    <mergeCell ref="B43:I43"/>
    <mergeCell ref="B44:G44"/>
    <mergeCell ref="H44:I44"/>
    <mergeCell ref="B65:G65"/>
    <mergeCell ref="B64:G64"/>
    <mergeCell ref="B54:I54"/>
    <mergeCell ref="B56:I56"/>
    <mergeCell ref="B57:I57"/>
    <mergeCell ref="B58:I58"/>
    <mergeCell ref="B59:G59"/>
    <mergeCell ref="B60:G60"/>
    <mergeCell ref="B61:G61"/>
    <mergeCell ref="B45:I45"/>
    <mergeCell ref="B42:I42"/>
    <mergeCell ref="B70:G70"/>
    <mergeCell ref="B67:G67"/>
    <mergeCell ref="B68:G68"/>
    <mergeCell ref="B69:G69"/>
    <mergeCell ref="B19:F20"/>
    <mergeCell ref="B25:I25"/>
    <mergeCell ref="B66:G66"/>
    <mergeCell ref="H53:I53"/>
    <mergeCell ref="B48:G48"/>
    <mergeCell ref="H48:I48"/>
    <mergeCell ref="B49:G49"/>
    <mergeCell ref="H49:I49"/>
    <mergeCell ref="B50:G50"/>
    <mergeCell ref="H50:I50"/>
    <mergeCell ref="B39:G39"/>
    <mergeCell ref="H39:I39"/>
    <mergeCell ref="B40:G40"/>
    <mergeCell ref="B18:I18"/>
    <mergeCell ref="B27:F28"/>
    <mergeCell ref="B62:G62"/>
    <mergeCell ref="B63:G63"/>
    <mergeCell ref="B51:G51"/>
    <mergeCell ref="H51:I51"/>
    <mergeCell ref="B52:G52"/>
    <mergeCell ref="H52:I52"/>
    <mergeCell ref="B53:G53"/>
    <mergeCell ref="H40:I40"/>
    <mergeCell ref="B46:I46"/>
    <mergeCell ref="B47:I47"/>
    <mergeCell ref="B36:G36"/>
    <mergeCell ref="H36:I36"/>
    <mergeCell ref="B37:G37"/>
    <mergeCell ref="H37:I37"/>
    <mergeCell ref="B38:G38"/>
    <mergeCell ref="H38:I38"/>
    <mergeCell ref="H23:I23"/>
    <mergeCell ref="H24:I24"/>
    <mergeCell ref="B35:G35"/>
    <mergeCell ref="H35:I35"/>
    <mergeCell ref="H28:I28"/>
    <mergeCell ref="B31:I31"/>
    <mergeCell ref="B32:I32"/>
    <mergeCell ref="B33:G33"/>
    <mergeCell ref="H33:I33"/>
    <mergeCell ref="B34:G34"/>
    <mergeCell ref="H34:I34"/>
    <mergeCell ref="B29:F30"/>
    <mergeCell ref="H29:I29"/>
    <mergeCell ref="H30:I30"/>
    <mergeCell ref="B6:I6"/>
    <mergeCell ref="B11:I11"/>
    <mergeCell ref="H13:I13"/>
    <mergeCell ref="H16:I16"/>
    <mergeCell ref="B13:F14"/>
    <mergeCell ref="H14:I14"/>
    <mergeCell ref="B15:I15"/>
    <mergeCell ref="B12:G12"/>
    <mergeCell ref="H12:I12"/>
    <mergeCell ref="B7:I7"/>
    <mergeCell ref="B8:I9"/>
    <mergeCell ref="B10:F10"/>
    <mergeCell ref="G10:I10"/>
    <mergeCell ref="H17:I17"/>
    <mergeCell ref="B26:G26"/>
    <mergeCell ref="B2:I3"/>
    <mergeCell ref="B4:G4"/>
    <mergeCell ref="H4:I4"/>
    <mergeCell ref="B5:G5"/>
    <mergeCell ref="H5:I5"/>
    <mergeCell ref="B16:F17"/>
    <mergeCell ref="H26:I26"/>
    <mergeCell ref="H27:I27"/>
    <mergeCell ref="H20:I20"/>
    <mergeCell ref="H19:I19"/>
    <mergeCell ref="B21:I21"/>
    <mergeCell ref="B22:G22"/>
    <mergeCell ref="H22:I22"/>
    <mergeCell ref="B23:F24"/>
  </mergeCells>
  <conditionalFormatting sqref="B11 B13 H13:I14 B16:G16 G17 B18:B19 G19:G20 B21 B22:G22 B23 G23:G24 B25 B26:G26 B27 G27:G30 B29 B31 B33:G40 B41:B42 B44:G44 B45:B46 B49:B53 B59:B64 H59:I64 B66:B69 H66:I69">
    <cfRule type="expression" dxfId="91" priority="2">
      <formula>DistrictName=""</formula>
    </cfRule>
  </conditionalFormatting>
  <conditionalFormatting sqref="B23">
    <cfRule type="expression" dxfId="90" priority="34">
      <formula>$H$26&lt;&gt;"Yes"</formula>
    </cfRule>
  </conditionalFormatting>
  <conditionalFormatting sqref="B27">
    <cfRule type="expression" dxfId="89" priority="67">
      <formula>$H$26&lt;&gt;"Yes"</formula>
    </cfRule>
  </conditionalFormatting>
  <conditionalFormatting sqref="B29">
    <cfRule type="expression" dxfId="88" priority="36">
      <formula>$H$26&lt;&gt;"Yes"</formula>
    </cfRule>
  </conditionalFormatting>
  <conditionalFormatting sqref="B34">
    <cfRule type="expression" dxfId="87" priority="82">
      <formula>$H$33&lt;&gt;"Yes"</formula>
    </cfRule>
  </conditionalFormatting>
  <conditionalFormatting sqref="B36">
    <cfRule type="expression" dxfId="86" priority="83">
      <formula>$H$35&lt;&gt;"Yes"</formula>
    </cfRule>
  </conditionalFormatting>
  <conditionalFormatting sqref="B65">
    <cfRule type="expression" dxfId="85" priority="22">
      <formula>$G$13=""</formula>
    </cfRule>
  </conditionalFormatting>
  <conditionalFormatting sqref="B70">
    <cfRule type="expression" dxfId="84" priority="23">
      <formula>$G$13=""</formula>
    </cfRule>
  </conditionalFormatting>
  <conditionalFormatting sqref="B26:G26">
    <cfRule type="expression" dxfId="83" priority="37">
      <formula>$H$22=""</formula>
    </cfRule>
  </conditionalFormatting>
  <conditionalFormatting sqref="B33:G33">
    <cfRule type="expression" dxfId="82" priority="111">
      <formula>OR($H$26="", AND($H$26="Yes",$H$27=0,$H$29=0))</formula>
    </cfRule>
  </conditionalFormatting>
  <conditionalFormatting sqref="B35:G35">
    <cfRule type="expression" dxfId="81" priority="79">
      <formula>OR($H$33="",AND($H$33="Yes",$H$34=0))</formula>
    </cfRule>
  </conditionalFormatting>
  <conditionalFormatting sqref="B37:G37">
    <cfRule type="expression" dxfId="80" priority="46">
      <formula>OR($H$35="", AND($H$35="Yes",$H$36=0))</formula>
    </cfRule>
  </conditionalFormatting>
  <conditionalFormatting sqref="B38:G38">
    <cfRule type="expression" dxfId="79" priority="48">
      <formula>$H$37&lt;&gt;"Yes"</formula>
    </cfRule>
  </conditionalFormatting>
  <conditionalFormatting sqref="B39:G39">
    <cfRule type="expression" dxfId="78" priority="71">
      <formula>OR($H$37="", AND($H$37="Yes",$H$38=0))</formula>
    </cfRule>
  </conditionalFormatting>
  <conditionalFormatting sqref="B40:G40">
    <cfRule type="expression" dxfId="77" priority="74">
      <formula>$H$39&lt;&gt;"Yes"</formula>
    </cfRule>
  </conditionalFormatting>
  <conditionalFormatting sqref="B44:G44">
    <cfRule type="expression" dxfId="76" priority="12">
      <formula>OR($H$26="", AND($H$26="Yes",$H$27=0,$H$29=0))</formula>
    </cfRule>
  </conditionalFormatting>
  <conditionalFormatting sqref="B49:G49">
    <cfRule type="expression" dxfId="75" priority="56">
      <formula>OR($H$33="",$H$35="",$H$37="",$H$39="",$H$44="")</formula>
    </cfRule>
  </conditionalFormatting>
  <conditionalFormatting sqref="B50:G50">
    <cfRule type="expression" dxfId="74" priority="26">
      <formula>SCOstatus="No"</formula>
    </cfRule>
  </conditionalFormatting>
  <conditionalFormatting sqref="B51:G53">
    <cfRule type="expression" dxfId="73" priority="27">
      <formula>SCOstatus="No"</formula>
    </cfRule>
  </conditionalFormatting>
  <conditionalFormatting sqref="B12:I12">
    <cfRule type="expression" dxfId="72" priority="31">
      <formula>$G$13=""</formula>
    </cfRule>
  </conditionalFormatting>
  <conditionalFormatting sqref="B13:I14">
    <cfRule type="expression" dxfId="71" priority="29">
      <formula>SCOstatus="No"</formula>
    </cfRule>
  </conditionalFormatting>
  <conditionalFormatting sqref="B22:I22 G23:G24 G27:G30">
    <cfRule type="expression" dxfId="70" priority="4">
      <formula>SUM($H$16:$I$17,$H$19:$I$20)=0</formula>
    </cfRule>
  </conditionalFormatting>
  <conditionalFormatting sqref="B26:I26">
    <cfRule type="expression" dxfId="69" priority="3">
      <formula>SUM($H$16:$I$17,$H$19:$I$20)=0</formula>
    </cfRule>
  </conditionalFormatting>
  <conditionalFormatting sqref="B54:I55">
    <cfRule type="expression" dxfId="68" priority="66">
      <formula>OR($H$49&lt;&gt;"Yes", AND($H$51=0,$H$53=0))</formula>
    </cfRule>
  </conditionalFormatting>
  <conditionalFormatting sqref="B59:I63">
    <cfRule type="expression" dxfId="67" priority="7">
      <formula>SCOstatus="No"</formula>
    </cfRule>
  </conditionalFormatting>
  <conditionalFormatting sqref="B67:I69">
    <cfRule type="expression" dxfId="66" priority="6">
      <formula>SCOstatus="No"</formula>
    </cfRule>
  </conditionalFormatting>
  <conditionalFormatting sqref="B70:I70">
    <cfRule type="expression" dxfId="65" priority="21">
      <formula>SCOstatus="Yes"</formula>
    </cfRule>
  </conditionalFormatting>
  <conditionalFormatting sqref="G23:G24">
    <cfRule type="expression" dxfId="64" priority="33">
      <formula>$H$22&lt;&gt;"Yes"</formula>
    </cfRule>
  </conditionalFormatting>
  <conditionalFormatting sqref="G27:G30">
    <cfRule type="expression" dxfId="63" priority="39">
      <formula>$H$26&lt;&gt;"Yes"</formula>
    </cfRule>
  </conditionalFormatting>
  <conditionalFormatting sqref="H5">
    <cfRule type="cellIs" dxfId="62" priority="73" operator="greaterThan">
      <formula>0.03</formula>
    </cfRule>
  </conditionalFormatting>
  <conditionalFormatting sqref="H34">
    <cfRule type="expression" dxfId="61" priority="81">
      <formula>$H$33&lt;&gt;"Yes"</formula>
    </cfRule>
  </conditionalFormatting>
  <conditionalFormatting sqref="H36">
    <cfRule type="expression" dxfId="60" priority="106">
      <formula>$H$35&lt;&gt;"Yes"</formula>
    </cfRule>
  </conditionalFormatting>
  <conditionalFormatting sqref="H38">
    <cfRule type="expression" dxfId="59" priority="49">
      <formula>$H$37&lt;&gt;"Yes"</formula>
    </cfRule>
  </conditionalFormatting>
  <conditionalFormatting sqref="H40">
    <cfRule type="expression" dxfId="58" priority="78">
      <formula>$H$39&lt;&gt;"Yes"</formula>
    </cfRule>
  </conditionalFormatting>
  <conditionalFormatting sqref="H50 H52 B49:G53">
    <cfRule type="expression" dxfId="57" priority="57">
      <formula>OR($H$33="",$H$35="",$H$37="",$H$39="")</formula>
    </cfRule>
  </conditionalFormatting>
  <conditionalFormatting sqref="H50 H52 B50:G53">
    <cfRule type="expression" dxfId="56" priority="85">
      <formula>OR($H$49&lt;&gt;"Yes",$H$48="N/A")</formula>
    </cfRule>
  </conditionalFormatting>
  <conditionalFormatting sqref="H51 H53 H49">
    <cfRule type="expression" dxfId="55" priority="35">
      <formula>OR($H$33="",$H$35="",$H$37="",$H$39="",$H$44="")</formula>
    </cfRule>
  </conditionalFormatting>
  <conditionalFormatting sqref="H51 H53">
    <cfRule type="expression" dxfId="54" priority="60">
      <formula>OR($H$49&lt;&gt;"Yes",$H$48="N/A")</formula>
    </cfRule>
    <cfRule type="expression" dxfId="53" priority="65">
      <formula>SUM($H$51,$H$53)&gt;$H$48</formula>
    </cfRule>
  </conditionalFormatting>
  <conditionalFormatting sqref="H51">
    <cfRule type="expression" dxfId="52" priority="62">
      <formula>$H$51&gt;$H$50</formula>
    </cfRule>
  </conditionalFormatting>
  <conditionalFormatting sqref="H53">
    <cfRule type="expression" dxfId="51" priority="64">
      <formula>$H$53&gt;$H$52</formula>
    </cfRule>
  </conditionalFormatting>
  <conditionalFormatting sqref="H12:I12">
    <cfRule type="expression" dxfId="50" priority="30">
      <formula>DistrictType="School"</formula>
    </cfRule>
  </conditionalFormatting>
  <conditionalFormatting sqref="H16:I17 H19:I20 H22:I24 H26:I30 H33:I40 H44:I44 H49:I53">
    <cfRule type="expression" dxfId="49" priority="1">
      <formula>DistrictName=""</formula>
    </cfRule>
  </conditionalFormatting>
  <conditionalFormatting sqref="H23:I24">
    <cfRule type="expression" dxfId="48" priority="32">
      <formula>$H$22&lt;&gt;"Yes"</formula>
    </cfRule>
  </conditionalFormatting>
  <conditionalFormatting sqref="H26:I26">
    <cfRule type="expression" dxfId="47" priority="24">
      <formula>$H$22=""</formula>
    </cfRule>
  </conditionalFormatting>
  <conditionalFormatting sqref="H27:I30">
    <cfRule type="expression" dxfId="46" priority="38">
      <formula>$H$26&lt;&gt;"Yes"</formula>
    </cfRule>
  </conditionalFormatting>
  <conditionalFormatting sqref="H33:I33">
    <cfRule type="expression" dxfId="45" priority="110">
      <formula>OR($H$26="", AND($H$26="Yes",$H$27=0,$H$29=0))</formula>
    </cfRule>
  </conditionalFormatting>
  <conditionalFormatting sqref="H33:I40 H44:I44">
    <cfRule type="expression" dxfId="44" priority="52">
      <formula>AND($H$26="Yes",$H$27=0,$H$28=0,$H$29=0,$H$30=0)</formula>
    </cfRule>
  </conditionalFormatting>
  <conditionalFormatting sqref="H34:I34">
    <cfRule type="expression" dxfId="43" priority="80">
      <formula>AND($H$33&lt;&gt;"Yes",$H$34&lt;&gt;0)</formula>
    </cfRule>
  </conditionalFormatting>
  <conditionalFormatting sqref="H35:I35">
    <cfRule type="expression" dxfId="42" priority="94">
      <formula>OR($H$33="",AND($H$33="Yes",$H$34=0))</formula>
    </cfRule>
  </conditionalFormatting>
  <conditionalFormatting sqref="H36:I36">
    <cfRule type="expression" dxfId="41" priority="77">
      <formula>AND($H$35&lt;&gt;"Yes",$H$36&lt;&gt;0)</formula>
    </cfRule>
  </conditionalFormatting>
  <conditionalFormatting sqref="H37:I37">
    <cfRule type="expression" dxfId="40" priority="47">
      <formula>OR($H$35="", AND($H$35="Yes",$H$36=0))</formula>
    </cfRule>
  </conditionalFormatting>
  <conditionalFormatting sqref="H39:I39">
    <cfRule type="expression" dxfId="39" priority="72">
      <formula>OR($H$37="", AND($H$37="Yes",$H$38=0))</formula>
    </cfRule>
  </conditionalFormatting>
  <conditionalFormatting sqref="H44:I44">
    <cfRule type="expression" dxfId="38" priority="11">
      <formula>OR($H$26="", AND($H$26="Yes",$H$27=0,$H$29=0))</formula>
    </cfRule>
  </conditionalFormatting>
  <conditionalFormatting sqref="H49:I49">
    <cfRule type="expression" dxfId="37" priority="5">
      <formula>SCOstatus="No"</formula>
    </cfRule>
  </conditionalFormatting>
  <conditionalFormatting sqref="H50:I50">
    <cfRule type="expression" dxfId="36" priority="25">
      <formula>SCOstatus="No"</formula>
    </cfRule>
  </conditionalFormatting>
  <conditionalFormatting sqref="H51:I53">
    <cfRule type="expression" dxfId="35" priority="28">
      <formula>SCOstatus="No"</formula>
    </cfRule>
  </conditionalFormatting>
  <dataValidations count="7">
    <dataValidation type="list" allowBlank="1" showInputMessage="1" showErrorMessage="1" errorTitle="Error" error="This is a Yes/No question. Do not enter numbers in this field." prompt="The &quot;Recovered/Recaptured Property Tax and Refund List&quot; needs to be completed for this section._x000a__x000a_If there are no amounts to be reported on that form, answer these questions with &quot;No.&quot;" sqref="H33:I33" xr:uid="{F361AA98-9161-4A69-9D85-013C33D0341C}">
      <formula1>"Yes,No"</formula1>
    </dataValidation>
    <dataValidation type="whole" operator="lessThanOrEqual" allowBlank="1" showInputMessage="1" showErrorMessage="1" errorTitle="Error" error="That amount either exceeds the district's forgone balance or the 1% cap on forgone amounts recovered for M&amp;O." sqref="H51:I51" xr:uid="{81C7023C-5603-4C93-A050-395A4687ECFB}">
      <formula1>H50</formula1>
    </dataValidation>
    <dataValidation type="whole" operator="lessThanOrEqual" allowBlank="1" showInputMessage="1" showErrorMessage="1" errorTitle="Error" error="That amount either exceeds the district's forgone balance or the 3% cap on forgone amounts recovered for capital projects." sqref="H53:I53" xr:uid="{6CCF9E6C-6FDD-424C-92D6-D8DB0F86907F}">
      <formula1>H52</formula1>
    </dataValidation>
    <dataValidation type="list" allowBlank="1" showInputMessage="1" showErrorMessage="1" errorTitle="Error" error="This is a Yes/No question. Do not enter numbers in this field." sqref="H12:I12 H49:I49 H39:I39 H37:I37 H35:I35 H26:I26 H22:I22" xr:uid="{FFCB98F3-61DC-4296-9024-3ABBC87578A9}">
      <formula1>"Yes,No"</formula1>
    </dataValidation>
    <dataValidation type="decimal" allowBlank="1" showInputMessage="1" showErrorMessage="1" errorTitle="Error" error="Base budget growth cannot exceed 3% per year." sqref="H13:I14" xr:uid="{7850153D-F4C8-4C25-BA20-1464C9AB5B75}">
      <formula1>0</formula1>
      <formula2>0.03</formula2>
    </dataValidation>
    <dataValidation type="list" allowBlank="1" showInputMessage="1" showErrorMessage="1" errorTitle="Error" error="Please pick a county from the drop-down list." sqref="G10:I10" xr:uid="{0DEC1014-89D7-4275-8206-A8A57C269BF1}">
      <formula1>CountyList</formula1>
    </dataValidation>
    <dataValidation type="list" allowBlank="1" showInputMessage="1" showErrorMessage="1" sqref="G10:I10" xr:uid="{3F084EA4-9B08-4179-A78E-5D17F20DBEE7}">
      <formula1>UserType</formula1>
    </dataValidation>
  </dataValidations>
  <printOptions horizontalCentered="1"/>
  <pageMargins left="0.45" right="0.45" top="0.5" bottom="0.5" header="0.3" footer="0.3"/>
  <pageSetup scale="80" fitToHeight="0" orientation="portrait" horizontalDpi="4294967295" verticalDpi="4294967295" r:id="rId1"/>
  <rowBreaks count="1" manualBreakCount="1">
    <brk id="41" max="1638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80382-E85E-2848-97F8-E03A2B349A62}">
  <sheetPr codeName="Sheet8"/>
  <dimension ref="B1:J87"/>
  <sheetViews>
    <sheetView showGridLines="0" showZeros="0" zoomScale="90" zoomScaleNormal="90" workbookViewId="0">
      <selection activeCell="B72" sqref="B72:G72"/>
    </sheetView>
  </sheetViews>
  <sheetFormatPr defaultColWidth="8.75" defaultRowHeight="16.899999999999999" customHeight="1" x14ac:dyDescent="0.25"/>
  <cols>
    <col min="1" max="1" width="2.75" style="1" customWidth="1"/>
    <col min="2" max="2" width="13.25" style="1" customWidth="1"/>
    <col min="3" max="3" width="40.25" style="1" customWidth="1"/>
    <col min="4" max="4" width="25" style="1" customWidth="1"/>
    <col min="5" max="5" width="16.75" style="1" customWidth="1"/>
    <col min="6" max="6" width="5.375" style="1" customWidth="1"/>
    <col min="7" max="7" width="16.75" style="1" customWidth="1"/>
    <col min="8" max="8" width="5" style="1" customWidth="1"/>
    <col min="9" max="9" width="21.25" style="1" customWidth="1"/>
    <col min="10" max="10" width="11.375" style="169" bestFit="1" customWidth="1"/>
    <col min="11" max="16384" width="8.75" style="1"/>
  </cols>
  <sheetData>
    <row r="1" spans="2:9" ht="16.899999999999999" customHeight="1" thickBot="1" x14ac:dyDescent="0.3">
      <c r="B1" s="370"/>
      <c r="C1" s="370"/>
      <c r="D1" s="370"/>
      <c r="E1" s="370"/>
      <c r="F1" s="370"/>
      <c r="G1" s="370"/>
      <c r="H1" s="370"/>
      <c r="I1" s="370"/>
    </row>
    <row r="2" spans="2:9" ht="16.899999999999999" customHeight="1" thickBot="1" x14ac:dyDescent="0.3">
      <c r="B2" s="402" t="s">
        <v>186</v>
      </c>
      <c r="C2" s="403"/>
      <c r="D2" s="403"/>
      <c r="E2" s="403"/>
      <c r="F2" s="403"/>
      <c r="G2" s="403"/>
      <c r="H2" s="403"/>
      <c r="I2" s="404"/>
    </row>
    <row r="3" spans="2:9" ht="16.899999999999999" customHeight="1" thickBot="1" x14ac:dyDescent="0.3">
      <c r="B3" s="410" t="str">
        <f>IF(DistrictName&lt;&gt;0,"District Name: "&amp;DistrictName&amp;" and "&amp;DistrictName&amp;" Road &amp; Bridge","District Name:")</f>
        <v>District Name:</v>
      </c>
      <c r="C3" s="411"/>
      <c r="D3" s="411"/>
      <c r="E3" s="411"/>
      <c r="F3" s="411"/>
      <c r="G3" s="411"/>
      <c r="H3" s="411"/>
      <c r="I3" s="412"/>
    </row>
    <row r="4" spans="2:9" ht="16.899999999999999" customHeight="1" x14ac:dyDescent="0.25">
      <c r="B4" s="415" t="s">
        <v>187</v>
      </c>
      <c r="C4" s="416"/>
      <c r="D4" s="417"/>
      <c r="E4" s="413">
        <f>LEFT($B$17,4)-3</f>
        <v>2023</v>
      </c>
      <c r="F4" s="414"/>
      <c r="G4" s="413">
        <f>LEFT($B$17,4)-2</f>
        <v>2024</v>
      </c>
      <c r="H4" s="414"/>
      <c r="I4" s="126">
        <f>LEFT($B$17,4)-1</f>
        <v>2025</v>
      </c>
    </row>
    <row r="5" spans="2:9" ht="16.899999999999999" customHeight="1" x14ac:dyDescent="0.25">
      <c r="B5" s="428" t="str">
        <f>"Non-exempt property tax budget"</f>
        <v>Non-exempt property tax budget</v>
      </c>
      <c r="C5" s="429"/>
      <c r="D5" s="131">
        <f>DistrictName</f>
        <v>0</v>
      </c>
      <c r="E5" s="405" t="str">
        <f>IFERROR(ROUND(
   IF(DistrictName&lt;&gt;0,
     INDEX(Data!AA2:AA25,MATCH($D5,Data!$C2:$C25,0)),""),0),"")</f>
        <v/>
      </c>
      <c r="F5" s="406"/>
      <c r="G5" s="405" t="str">
        <f>IFERROR(ROUND(
   IF(DistrictName&lt;&gt;0,
     INDEX(Data!AB2:AB25,MATCH($D5,Data!$C2:$C25,0)),""),0),"")</f>
        <v/>
      </c>
      <c r="H5" s="406"/>
      <c r="I5" s="130" t="str">
        <f>IFERROR(ROUND(
   IF(DistrictName&lt;&gt;0,
     INDEX(Data!AC2:AC25,MATCH($D5,Data!$C2:$C25,0)),""),0),"")</f>
        <v/>
      </c>
    </row>
    <row r="6" spans="2:9" ht="16.899999999999999" customHeight="1" x14ac:dyDescent="0.25">
      <c r="B6" s="430"/>
      <c r="C6" s="431"/>
      <c r="D6" s="132" t="str">
        <f>IF(D5&lt;&gt;0,"Road and Bridge","")</f>
        <v/>
      </c>
      <c r="E6" s="405" t="str">
        <f>IFERROR(ROUND(
   IF(DistrictName&lt;&gt;0,
     INDEX(Data!AD2:AD25,MATCH($D5,Data!$C2:$C25,0)),""),0),"")</f>
        <v/>
      </c>
      <c r="F6" s="406"/>
      <c r="G6" s="405" t="str">
        <f>IFERROR(ROUND(
   IF(DistrictName&lt;&gt;0,
     INDEX(Data!AE2:AE25,MATCH($D5,Data!$C2:$C25,0)),""),0),"")</f>
        <v/>
      </c>
      <c r="H6" s="406"/>
      <c r="I6" s="130" t="str">
        <f>IFERROR(ROUND(
   IF(DistrictName&lt;&gt;0,
     INDEX(Data!AF2:AF25,MATCH($D5,Data!$C2:$C25,0)),""),0),"")</f>
        <v/>
      </c>
    </row>
    <row r="7" spans="2:9" ht="16.899999999999999" customHeight="1" x14ac:dyDescent="0.25">
      <c r="B7" s="432"/>
      <c r="C7" s="433"/>
      <c r="D7" s="133" t="s">
        <v>197</v>
      </c>
      <c r="E7" s="405">
        <f>SUM(E5:F6)</f>
        <v>0</v>
      </c>
      <c r="F7" s="406"/>
      <c r="G7" s="405">
        <f>SUM(G5:H6)</f>
        <v>0</v>
      </c>
      <c r="H7" s="406"/>
      <c r="I7" s="130">
        <f>SUM(I5:I6)</f>
        <v>0</v>
      </c>
    </row>
    <row r="8" spans="2:9" ht="16.899999999999999" customHeight="1" x14ac:dyDescent="0.25">
      <c r="B8" s="418" t="s">
        <v>188</v>
      </c>
      <c r="C8" s="419"/>
      <c r="D8" s="420"/>
      <c r="E8" s="405" t="str">
        <f>IFERROR(ROUND(
   IF(DistrictName&lt;&gt;0,
     INDEX(Data!J2:J25,MATCH($D5,Data!$C2:$C25,0)),""),0),"")</f>
        <v/>
      </c>
      <c r="F8" s="406"/>
      <c r="G8" s="405" t="str">
        <f>IFERROR(ROUND(
   IF(DistrictName&lt;&gt;0,
     INDEX(Data!J2:J25,MATCH($D5,Data!$C2:$C25,0)),""),0),"")</f>
        <v/>
      </c>
      <c r="H8" s="406"/>
      <c r="I8" s="127" t="str">
        <f>IFERROR(ROUND(
   IF(DistrictName&lt;&gt;0,
     INDEX(Data!J2:J25,MATCH($D5,Data!$C2:$C25,0)),""),0),"")</f>
        <v/>
      </c>
    </row>
    <row r="9" spans="2:9" ht="16.899999999999999" customHeight="1" x14ac:dyDescent="0.25">
      <c r="B9" s="418" t="s">
        <v>189</v>
      </c>
      <c r="C9" s="419"/>
      <c r="D9" s="420"/>
      <c r="E9" s="405" t="str">
        <f>IFERROR(ROUND(
   IF(DistrictName&lt;&gt;0,
     INDEX(Data!K2:K25,MATCH($D5,Data!$C2:$C25,0)),""),0),"")</f>
        <v/>
      </c>
      <c r="F9" s="406"/>
      <c r="G9" s="405" t="str">
        <f>IFERROR(ROUND(
   IF(DistrictName&lt;&gt;0,
     INDEX(Data!K2:K25,MATCH($D5,Data!$C2:$C25,0)),""),0),"")</f>
        <v/>
      </c>
      <c r="H9" s="406"/>
      <c r="I9" s="127" t="str">
        <f>IFERROR(ROUND(
   IF(DistrictName&lt;&gt;0,
     INDEX(Data!K2:K25,MATCH($D5,Data!$C2:$C25,0)),""),0),"")</f>
        <v/>
      </c>
    </row>
    <row r="10" spans="2:9" ht="16.899999999999999" customHeight="1" x14ac:dyDescent="0.25">
      <c r="B10" s="418" t="s">
        <v>190</v>
      </c>
      <c r="C10" s="419"/>
      <c r="D10" s="420"/>
      <c r="E10" s="405" t="str">
        <f>IFERROR(ROUND(
   IF(DistrictName&lt;&gt;0,
     INDEX(Data!L2:L25,MATCH($D5,Data!$C2:$C25,0)),""),0),"")</f>
        <v/>
      </c>
      <c r="F10" s="406"/>
      <c r="G10" s="405" t="str">
        <f>IFERROR(ROUND(
   IF(DistrictName&lt;&gt;0,
     INDEX(Data!L2:L25,MATCH($D5,Data!$C2:$C25,0)),""),0),"")</f>
        <v/>
      </c>
      <c r="H10" s="406"/>
      <c r="I10" s="127" t="str">
        <f>IFERROR(ROUND(
   IF(DistrictName&lt;&gt;0,
     INDEX(Data!M2:M25,MATCH($D5,Data!$C2:$C25,0)),""),0),"")</f>
        <v/>
      </c>
    </row>
    <row r="11" spans="2:9" ht="16.899999999999999" customHeight="1" x14ac:dyDescent="0.25">
      <c r="B11" s="418" t="s">
        <v>191</v>
      </c>
      <c r="C11" s="419"/>
      <c r="D11" s="420"/>
      <c r="E11" s="405" t="str">
        <f>IFERROR(ROUND(
   IF(DistrictName&lt;&gt;0,
     INDEX(Data!N2:N25,MATCH($D5,Data!$C2:$C25,0)),""),0),"")</f>
        <v/>
      </c>
      <c r="F11" s="406"/>
      <c r="G11" s="405" t="str">
        <f>IFERROR(ROUND(
   IF(DistrictName&lt;&gt;0,
     INDEX(Data!O2:O25,MATCH($D5,Data!$C2:$C25,0)),""),0),"")</f>
        <v/>
      </c>
      <c r="H11" s="406"/>
      <c r="I11" s="127" t="str">
        <f>IFERROR(ROUND(
   IF(DistrictName&lt;&gt;0,
     INDEX(Data!P2:P25,MATCH($D5,Data!$C2:$C25,0)),""),0),"")</f>
        <v/>
      </c>
    </row>
    <row r="12" spans="2:9" ht="16.899999999999999" customHeight="1" x14ac:dyDescent="0.25">
      <c r="B12" s="418" t="s">
        <v>192</v>
      </c>
      <c r="C12" s="419"/>
      <c r="D12" s="420"/>
      <c r="E12" s="405" t="str">
        <f>IFERROR(ROUND(
   IF(DistrictName&lt;&gt;0,
     INDEX(Data!T2:T25,MATCH($D5,Data!$C2:$C25,0)),""),0),"")</f>
        <v/>
      </c>
      <c r="F12" s="406"/>
      <c r="G12" s="405" t="str">
        <f>IFERROR(ROUND(
   IF(DistrictName&lt;&gt;0,
     INDEX(Data!U2:U25,MATCH($D5,Data!$C2:$C25,0)),""),0),"")</f>
        <v/>
      </c>
      <c r="H12" s="406"/>
      <c r="I12" s="127" t="str">
        <f>IFERROR(ROUND(
   IF(DistrictName&lt;&gt;0,
     INDEX(Data!V2:V25,MATCH($D5,Data!$C2:$C25,0)),""),0),"")</f>
        <v/>
      </c>
    </row>
    <row r="13" spans="2:9" ht="16.899999999999999" customHeight="1" x14ac:dyDescent="0.25">
      <c r="B13" s="418" t="str">
        <f>"Solar Farm Tax Revenue (not added until line 28 after all growth calculations)"</f>
        <v>Solar Farm Tax Revenue (not added until line 28 after all growth calculations)</v>
      </c>
      <c r="C13" s="419"/>
      <c r="D13" s="420"/>
      <c r="E13" s="405" t="str">
        <f>IFERROR(ROUND(
   IF(DistrictName&lt;&gt;0,
     INDEX(Data!Q2:Q25,MATCH($D5,Data!$C2:$C25,0)),""),0),"")</f>
        <v/>
      </c>
      <c r="F13" s="406"/>
      <c r="G13" s="435" t="str">
        <f>IFERROR(ROUND(
   IF(DistrictName&lt;&gt;0,
     INDEX(Data!R2:R25,MATCH($D5,Data!$C2:$C25,0)),""),0),"")</f>
        <v/>
      </c>
      <c r="H13" s="435"/>
      <c r="I13" s="127" t="str">
        <f>IFERROR(ROUND(
   IF(DistrictName&lt;&gt;0,
     INDEX(Data!S2:S25,MATCH($D5,Data!$C2:$C25,0)),""),0),"")</f>
        <v/>
      </c>
    </row>
    <row r="14" spans="2:9" ht="16.899999999999999" customHeight="1" thickBot="1" x14ac:dyDescent="0.3">
      <c r="B14" s="439" t="str">
        <f>"Forgone Recovered for Capital Projects ( - )"</f>
        <v>Forgone Recovered for Capital Projects ( - )</v>
      </c>
      <c r="C14" s="440"/>
      <c r="D14" s="441"/>
      <c r="E14" s="436" t="str">
        <f>IFERROR(ROUND(
   IF(DistrictName&lt;&gt;0,
     INDEX(Data!W2:W25,MATCH($D5,Data!$C2:$C25,0)),""),0),"")</f>
        <v/>
      </c>
      <c r="F14" s="437"/>
      <c r="G14" s="436" t="str">
        <f>IFERROR(ROUND(
   IF(DistrictName&lt;&gt;0,
     INDEX(Data!X2:X25,MATCH($D5,Data!$C2:$C25,0)),""),0),"")</f>
        <v/>
      </c>
      <c r="H14" s="437"/>
      <c r="I14" s="128" t="str">
        <f>IFERROR(ROUND(
   IF(DistrictName&lt;&gt;0,
     INDEX(Data!Y2:Y25,MATCH($D5,Data!$C2:$C25,0)),""),0),"")</f>
        <v/>
      </c>
    </row>
    <row r="15" spans="2:9" ht="33" customHeight="1" thickBot="1" x14ac:dyDescent="0.3">
      <c r="B15" s="425" t="str">
        <f>"TOTAL Non-Exempt Property Tax Budget (including replacements but not including solar farm tax revenue or forgone amounts recovered for capital projects):"</f>
        <v>TOTAL Non-Exempt Property Tax Budget (including replacements but not including solar farm tax revenue or forgone amounts recovered for capital projects):</v>
      </c>
      <c r="C15" s="426"/>
      <c r="D15" s="427"/>
      <c r="E15" s="434">
        <f>IFERROR(E7+E8+E9+E10+E11+E12-E14,0)</f>
        <v>0</v>
      </c>
      <c r="F15" s="434"/>
      <c r="G15" s="434">
        <f>IFERROR(G7+G8+G9+G10+G11+G12-G14,0)</f>
        <v>0</v>
      </c>
      <c r="H15" s="434"/>
      <c r="I15" s="129">
        <f>IFERROR(I7+I8+I9+I10+I11+I12-I14,0)</f>
        <v>0</v>
      </c>
    </row>
    <row r="16" spans="2:9" ht="33" customHeight="1" thickBot="1" x14ac:dyDescent="0.3">
      <c r="B16" s="438"/>
      <c r="C16" s="438"/>
      <c r="D16" s="438"/>
      <c r="E16" s="438"/>
      <c r="F16" s="438"/>
      <c r="G16" s="438"/>
      <c r="H16" s="438"/>
      <c r="I16" s="438"/>
    </row>
    <row r="17" spans="2:10" ht="24" customHeight="1" thickBot="1" x14ac:dyDescent="0.3">
      <c r="B17" s="407" t="str">
        <f>LEFT('1. Dashboard'!$B$8,4)&amp;" L-2 Worksheet"</f>
        <v>2026 L-2 Worksheet</v>
      </c>
      <c r="C17" s="408"/>
      <c r="D17" s="408"/>
      <c r="E17" s="408"/>
      <c r="F17" s="408"/>
      <c r="G17" s="408"/>
      <c r="H17" s="408"/>
      <c r="I17" s="409"/>
    </row>
    <row r="18" spans="2:10" ht="16.899999999999999" customHeight="1" thickBot="1" x14ac:dyDescent="0.3">
      <c r="B18" s="423" t="str">
        <f>IF(DistrictName&lt;&gt;0,"District Name: "&amp;DistrictName&amp;" and "&amp;DistrictName&amp;" Road &amp; Bridge","District Name:")</f>
        <v>District Name:</v>
      </c>
      <c r="C18" s="424"/>
      <c r="D18" s="424"/>
      <c r="E18" s="421" t="str">
        <f>"Form Type: County w/County Road &amp; Bridge"</f>
        <v>Form Type: County w/County Road &amp; Bridge</v>
      </c>
      <c r="F18" s="421"/>
      <c r="G18" s="421"/>
      <c r="H18" s="421"/>
      <c r="I18" s="422"/>
    </row>
    <row r="19" spans="2:10" ht="16.899999999999999" customHeight="1" thickBot="1" x14ac:dyDescent="0.3">
      <c r="B19" s="395" t="s">
        <v>155</v>
      </c>
      <c r="C19" s="396"/>
      <c r="D19" s="396"/>
      <c r="E19" s="396"/>
      <c r="F19" s="396"/>
      <c r="G19" s="396"/>
      <c r="H19" s="396"/>
      <c r="I19" s="397"/>
    </row>
    <row r="20" spans="2:10" ht="33" customHeight="1" x14ac:dyDescent="0.25">
      <c r="B20" s="442" t="s">
        <v>348</v>
      </c>
      <c r="C20" s="443"/>
      <c r="D20" s="443"/>
      <c r="E20" s="443"/>
      <c r="F20" s="443"/>
      <c r="G20" s="444"/>
      <c r="H20" s="81" t="s">
        <v>4</v>
      </c>
      <c r="I20" s="100">
        <f>IFERROR(ROUND(MAX(E15:I15),0),"")</f>
        <v>0</v>
      </c>
    </row>
    <row r="21" spans="2:10" ht="16.899999999999999" customHeight="1" x14ac:dyDescent="0.25">
      <c r="B21" s="448" t="s">
        <v>99</v>
      </c>
      <c r="C21" s="449"/>
      <c r="D21" s="449"/>
      <c r="E21" s="449"/>
      <c r="F21" s="449"/>
      <c r="G21" s="450"/>
      <c r="H21" s="86" t="s">
        <v>3</v>
      </c>
      <c r="I21" s="100" t="str">
        <f>IF(I15=MAX(E15:I15),I6,
 IF(G15=MAX(E15:I15),G6,
 IF(E15=MAX(E15:I15),E6)))</f>
        <v/>
      </c>
    </row>
    <row r="22" spans="2:10" ht="16.899999999999999" customHeight="1" x14ac:dyDescent="0.25">
      <c r="B22" s="361" t="str">
        <f>IF(SCOstatus="No","Property tax budget increases not allowed while non-compliant with local govt registry of the State Controller's Office",
    "Selected Base Budget Growth for the County minus County Road &amp; Bridge = "&amp;('1. Dashboard'!H13*100)&amp;"% (cannot exceed 3% of line 1)")</f>
        <v>Selected Base Budget Growth for the County minus County Road &amp; Bridge = 3% (cannot exceed 3% of line 1)</v>
      </c>
      <c r="C22" s="362"/>
      <c r="D22" s="362"/>
      <c r="E22" s="363"/>
      <c r="F22" s="86" t="s">
        <v>156</v>
      </c>
      <c r="G22" s="125">
        <f>IF(SCOstatus="No",0,
    '1. Dashboard'!H13)</f>
        <v>0.03</v>
      </c>
      <c r="H22" s="86" t="s">
        <v>2</v>
      </c>
      <c r="I22" s="90" t="str">
        <f>IF(DistrictName=0,"",
    IF(SCOstatus="No",0,
       ROUND((HighestofLast3yrs-I21)*G22,0)))</f>
        <v/>
      </c>
      <c r="J22" s="186" t="str">
        <f>IFERROR(ROUND((HighestofLast3yrs-I21)*0.03,0),"")</f>
        <v/>
      </c>
    </row>
    <row r="23" spans="2:10" ht="16.899999999999999" customHeight="1" thickBot="1" x14ac:dyDescent="0.3">
      <c r="B23" s="361" t="str">
        <f>IF(SCOstatus="No","",
    "Selected Base Budget Growth for the County Road &amp; Bridge = "&amp;('1. Dashboard'!H14*100)&amp;"% (cannot exceed 3% of line 2)")</f>
        <v>Selected Base Budget Growth for the County Road &amp; Bridge = 3% (cannot exceed 3% of line 2)</v>
      </c>
      <c r="C23" s="362"/>
      <c r="D23" s="362"/>
      <c r="E23" s="363"/>
      <c r="F23" s="86" t="s">
        <v>157</v>
      </c>
      <c r="G23" s="125">
        <f>IF(SCOstatus="No",0,
    '1. Dashboard'!H14)</f>
        <v>0.03</v>
      </c>
      <c r="H23" s="86" t="s">
        <v>1</v>
      </c>
      <c r="I23" s="90" t="str">
        <f>IF(DistrictName=0,"",
    IF(SCOstatus="No",0,
       ROUND(I21*G23,0)))</f>
        <v/>
      </c>
      <c r="J23" s="186" t="e">
        <f>ROUND(I21*0.03,0)</f>
        <v>#VALUE!</v>
      </c>
    </row>
    <row r="24" spans="2:10" ht="16.899999999999999" customHeight="1" thickBot="1" x14ac:dyDescent="0.3">
      <c r="B24" s="395" t="s">
        <v>396</v>
      </c>
      <c r="C24" s="396"/>
      <c r="D24" s="396"/>
      <c r="E24" s="396"/>
      <c r="F24" s="396"/>
      <c r="G24" s="396"/>
      <c r="H24" s="396"/>
      <c r="I24" s="397"/>
    </row>
    <row r="25" spans="2:10" ht="16.899999999999999" customHeight="1" x14ac:dyDescent="0.25">
      <c r="B25" s="371" t="str">
        <f>LEFT($B$17,4)-1&amp;" Operating Property Value:"</f>
        <v>2025 Operating Property Value:</v>
      </c>
      <c r="C25" s="372"/>
      <c r="D25" s="372"/>
      <c r="E25" s="372"/>
      <c r="F25" s="372"/>
      <c r="G25" s="373"/>
      <c r="H25" s="88"/>
      <c r="I25" s="89"/>
    </row>
    <row r="26" spans="2:10" ht="16.899999999999999" customHeight="1" x14ac:dyDescent="0.25">
      <c r="B26" s="376" t="str">
        <f>IF(DistrictName=0,"County",DistrictName)</f>
        <v>County</v>
      </c>
      <c r="C26" s="377"/>
      <c r="D26" s="377"/>
      <c r="E26" s="378"/>
      <c r="F26" s="86" t="s">
        <v>144</v>
      </c>
      <c r="G26" s="107" t="str">
        <f>IF(DistrictName=0,"",
    INDEX(Data!H2:H25,MATCH(DistrictName,Data!C2:C25)))</f>
        <v/>
      </c>
      <c r="H26" s="88"/>
      <c r="I26" s="89"/>
    </row>
    <row r="27" spans="2:10" ht="16.899999999999999" customHeight="1" x14ac:dyDescent="0.25">
      <c r="B27" s="361" t="s">
        <v>41</v>
      </c>
      <c r="C27" s="362"/>
      <c r="D27" s="362"/>
      <c r="E27" s="363"/>
      <c r="F27" s="86" t="s">
        <v>145</v>
      </c>
      <c r="G27" s="107" t="str">
        <f>IF(DistrictName=0,"",
    INDEX(Data!I2:I25,MATCH(DistrictName,Data!C2:C25)))</f>
        <v/>
      </c>
      <c r="H27" s="88"/>
      <c r="I27" s="89"/>
    </row>
    <row r="28" spans="2:10" ht="16.5" customHeight="1" x14ac:dyDescent="0.25">
      <c r="B28" s="445" t="str">
        <f>LEFT($B$17,4)&amp;" Net Taxable Value of Real &amp; Personal Property (Including Estimated Sub-Roll):"</f>
        <v>2026 Net Taxable Value of Real &amp; Personal Property (Including Estimated Sub-Roll):</v>
      </c>
      <c r="C28" s="446"/>
      <c r="D28" s="446"/>
      <c r="E28" s="446"/>
      <c r="F28" s="446"/>
      <c r="G28" s="447"/>
      <c r="H28" s="88"/>
      <c r="I28" s="89"/>
    </row>
    <row r="29" spans="2:10" ht="16.899999999999999" customHeight="1" x14ac:dyDescent="0.25">
      <c r="B29" s="376" t="str">
        <f>IF(DistrictName=0,"County",DistrictName)</f>
        <v>County</v>
      </c>
      <c r="C29" s="377"/>
      <c r="D29" s="377"/>
      <c r="E29" s="378"/>
      <c r="F29" s="86" t="s">
        <v>96</v>
      </c>
      <c r="G29" s="107">
        <f>'1. Dashboard'!H16</f>
        <v>0</v>
      </c>
      <c r="H29" s="88"/>
      <c r="I29" s="89"/>
    </row>
    <row r="30" spans="2:10" ht="16.899999999999999" customHeight="1" x14ac:dyDescent="0.25">
      <c r="B30" s="361" t="s">
        <v>41</v>
      </c>
      <c r="C30" s="362"/>
      <c r="D30" s="362"/>
      <c r="E30" s="363"/>
      <c r="F30" s="86" t="s">
        <v>97</v>
      </c>
      <c r="G30" s="107">
        <f>'1. Dashboard'!H17</f>
        <v>0</v>
      </c>
      <c r="H30" s="88"/>
      <c r="I30" s="89"/>
    </row>
    <row r="31" spans="2:10" ht="16.899999999999999" customHeight="1" x14ac:dyDescent="0.25">
      <c r="B31" s="371" t="str">
        <f>LEFT($B$17,4)&amp;" New Construction Roll Values:"</f>
        <v>2026 New Construction Roll Values:</v>
      </c>
      <c r="C31" s="372"/>
      <c r="D31" s="372"/>
      <c r="E31" s="372"/>
      <c r="F31" s="372"/>
      <c r="G31" s="373"/>
      <c r="H31" s="88"/>
      <c r="I31" s="89"/>
    </row>
    <row r="32" spans="2:10" ht="16.899999999999999" customHeight="1" x14ac:dyDescent="0.25">
      <c r="B32" s="376" t="str">
        <f>IF(DistrictName=0,"County",DistrictName)</f>
        <v>County</v>
      </c>
      <c r="C32" s="377"/>
      <c r="D32" s="377"/>
      <c r="E32" s="378"/>
      <c r="F32" s="86" t="s">
        <v>100</v>
      </c>
      <c r="G32" s="107">
        <f>'1. Dashboard'!H19</f>
        <v>0</v>
      </c>
      <c r="H32" s="88"/>
      <c r="I32" s="89"/>
    </row>
    <row r="33" spans="2:10" ht="16.899999999999999" customHeight="1" x14ac:dyDescent="0.25">
      <c r="B33" s="361" t="s">
        <v>41</v>
      </c>
      <c r="C33" s="362"/>
      <c r="D33" s="362"/>
      <c r="E33" s="363"/>
      <c r="F33" s="86" t="s">
        <v>101</v>
      </c>
      <c r="G33" s="107">
        <f>'1. Dashboard'!H20</f>
        <v>0</v>
      </c>
      <c r="H33" s="88"/>
      <c r="I33" s="89"/>
    </row>
    <row r="34" spans="2:10" ht="16.899999999999999" customHeight="1" x14ac:dyDescent="0.25">
      <c r="B34" s="371" t="s">
        <v>111</v>
      </c>
      <c r="C34" s="372"/>
      <c r="D34" s="372"/>
      <c r="E34" s="372"/>
      <c r="F34" s="372"/>
      <c r="G34" s="373"/>
      <c r="H34" s="88"/>
      <c r="I34" s="89"/>
    </row>
    <row r="35" spans="2:10" ht="33" customHeight="1" x14ac:dyDescent="0.25">
      <c r="B35" s="361" t="s">
        <v>321</v>
      </c>
      <c r="C35" s="362"/>
      <c r="D35" s="362"/>
      <c r="E35" s="363"/>
      <c r="F35" s="86" t="s">
        <v>102</v>
      </c>
      <c r="G35" s="87" t="str">
        <f>IF(DistrictName=0,"",
    ROUND(($I$20-$I$21+$I$22)/(G26+G29),9))</f>
        <v/>
      </c>
      <c r="H35" s="88"/>
      <c r="I35" s="89"/>
      <c r="J35" s="170" t="str">
        <f>IF(DistrictName&lt;&gt;0,ROUND(($I$20-$I$21+$J$22)/(G26+G29),9),"")</f>
        <v/>
      </c>
    </row>
    <row r="36" spans="2:10" ht="33" customHeight="1" x14ac:dyDescent="0.25">
      <c r="B36" s="361" t="s">
        <v>322</v>
      </c>
      <c r="C36" s="362"/>
      <c r="D36" s="362"/>
      <c r="E36" s="363"/>
      <c r="F36" s="86" t="s">
        <v>103</v>
      </c>
      <c r="G36" s="87" t="str">
        <f>IF(DistrictName=0,"",
    ROUND(($I$21+$I$23)/(G27+G30),9))</f>
        <v/>
      </c>
      <c r="H36" s="88"/>
      <c r="I36" s="89"/>
      <c r="J36" s="170" t="str">
        <f>IF(DistrictName&lt;&gt;0,ROUND(($I$21+$J$23)/(G27+G30),9),"")</f>
        <v/>
      </c>
    </row>
    <row r="37" spans="2:10" ht="16.5" customHeight="1" x14ac:dyDescent="0.25">
      <c r="B37" s="361" t="s">
        <v>323</v>
      </c>
      <c r="C37" s="362"/>
      <c r="D37" s="362"/>
      <c r="E37" s="363"/>
      <c r="F37" s="86" t="s">
        <v>104</v>
      </c>
      <c r="G37" s="104" t="str">
        <f>IF(DistrictName=0,"",
    ROUND(G32*G35,0))</f>
        <v/>
      </c>
      <c r="H37" s="103"/>
      <c r="I37" s="89"/>
    </row>
    <row r="38" spans="2:10" ht="16.5" customHeight="1" x14ac:dyDescent="0.25">
      <c r="B38" s="361" t="s">
        <v>324</v>
      </c>
      <c r="C38" s="362"/>
      <c r="D38" s="362"/>
      <c r="E38" s="363"/>
      <c r="F38" s="86" t="s">
        <v>105</v>
      </c>
      <c r="G38" s="104" t="str">
        <f>IF(DistrictName=0,"",
    ROUND(G33*G36,0))</f>
        <v/>
      </c>
      <c r="H38" s="103"/>
      <c r="I38" s="89"/>
    </row>
    <row r="39" spans="2:10" ht="16.899999999999999" customHeight="1" x14ac:dyDescent="0.25">
      <c r="B39" s="367" t="s">
        <v>147</v>
      </c>
      <c r="C39" s="368"/>
      <c r="D39" s="368"/>
      <c r="E39" s="368"/>
      <c r="F39" s="368"/>
      <c r="G39" s="369"/>
      <c r="H39" s="86" t="s">
        <v>146</v>
      </c>
      <c r="I39" s="90" t="str">
        <f>IF(DistrictName=0,"",
    IF(SCOstatus="No",0,
       SUM(G37:G38)))</f>
        <v/>
      </c>
      <c r="J39" s="186" t="e">
        <f>SUM(ROUND(G32*J35,0),
     ROUND(G33*J36,0))</f>
        <v>#VALUE!</v>
      </c>
    </row>
    <row r="40" spans="2:10" ht="16.899999999999999" customHeight="1" x14ac:dyDescent="0.25">
      <c r="B40" s="371" t="s">
        <v>327</v>
      </c>
      <c r="C40" s="372"/>
      <c r="D40" s="372"/>
      <c r="E40" s="372"/>
      <c r="F40" s="372"/>
      <c r="G40" s="373"/>
      <c r="H40" s="88"/>
      <c r="I40" s="89"/>
    </row>
    <row r="41" spans="2:10" ht="16.5" customHeight="1" x14ac:dyDescent="0.25">
      <c r="B41" s="361" t="str">
        <f>LEFT($B$17,4)&amp;" Full Taxable Value of Annexation for County minus County Road &amp; Bridge"</f>
        <v>2026 Full Taxable Value of Annexation for County minus County Road &amp; Bridge</v>
      </c>
      <c r="C41" s="362"/>
      <c r="D41" s="362"/>
      <c r="E41" s="363"/>
      <c r="F41" s="86" t="s">
        <v>148</v>
      </c>
      <c r="G41" s="104">
        <f>'1. Dashboard'!H23</f>
        <v>0</v>
      </c>
      <c r="H41" s="103"/>
      <c r="I41" s="89"/>
    </row>
    <row r="42" spans="2:10" ht="16.5" customHeight="1" x14ac:dyDescent="0.25">
      <c r="B42" s="361" t="str">
        <f>LEFT($B$17,4)&amp;" Full Taxable Value of Annexation for County Road &amp; Bridge"</f>
        <v>2026 Full Taxable Value of Annexation for County Road &amp; Bridge</v>
      </c>
      <c r="C42" s="362"/>
      <c r="D42" s="362"/>
      <c r="E42" s="363"/>
      <c r="F42" s="86" t="s">
        <v>149</v>
      </c>
      <c r="G42" s="104">
        <f>'1. Dashboard'!H24</f>
        <v>0</v>
      </c>
      <c r="H42" s="103"/>
      <c r="I42" s="89"/>
    </row>
    <row r="43" spans="2:10" ht="16.5" customHeight="1" x14ac:dyDescent="0.25">
      <c r="B43" s="361" t="s">
        <v>328</v>
      </c>
      <c r="C43" s="362"/>
      <c r="D43" s="362"/>
      <c r="E43" s="363"/>
      <c r="F43" s="86" t="s">
        <v>106</v>
      </c>
      <c r="G43" s="104" t="str">
        <f>IF(DistrictName=0,"",
    ROUND(G41*0.9,0))</f>
        <v/>
      </c>
      <c r="H43" s="103"/>
      <c r="I43" s="89"/>
    </row>
    <row r="44" spans="2:10" ht="16.5" customHeight="1" x14ac:dyDescent="0.25">
      <c r="B44" s="361" t="s">
        <v>329</v>
      </c>
      <c r="C44" s="362"/>
      <c r="D44" s="362"/>
      <c r="E44" s="363"/>
      <c r="F44" s="86" t="s">
        <v>107</v>
      </c>
      <c r="G44" s="104" t="str">
        <f>IF(DistrictName=0,"",
    ROUND(G42*0.9,0))</f>
        <v/>
      </c>
      <c r="H44" s="103"/>
      <c r="I44" s="89"/>
    </row>
    <row r="45" spans="2:10" ht="33" customHeight="1" x14ac:dyDescent="0.25">
      <c r="B45" s="361" t="str">
        <f>"Estimated Value of "&amp;LEFT($B$17,4)-1&amp;" Annexed Operating Property for County minus County Road &amp; Bridge
          (line 11a divided by line 6a, then multiplied by line 5a)"</f>
        <v>Estimated Value of 2025 Annexed Operating Property for County minus County Road &amp; Bridge
          (line 11a divided by line 6a, then multiplied by line 5a)</v>
      </c>
      <c r="C45" s="362"/>
      <c r="D45" s="362"/>
      <c r="E45" s="363"/>
      <c r="F45" s="86" t="s">
        <v>108</v>
      </c>
      <c r="G45" s="104" t="str">
        <f>IF(DistrictName=0,"",
 IF('1. Dashboard'!$H$22="Yes",
    ROUND((G41/G29)*G26,0),0))</f>
        <v/>
      </c>
      <c r="H45" s="103"/>
      <c r="I45" s="89"/>
    </row>
    <row r="46" spans="2:10" ht="33" customHeight="1" x14ac:dyDescent="0.25">
      <c r="B46" s="361" t="str">
        <f>"Estimated Value of "&amp;LEFT($B$17,4)-1&amp;" Annexed Operating Property for County Road &amp; Bridge
          (line 11b divided by line 6b, then multiplied by line 5b)"</f>
        <v>Estimated Value of 2025 Annexed Operating Property for County Road &amp; Bridge
          (line 11b divided by line 6b, then multiplied by line 5b)</v>
      </c>
      <c r="C46" s="362"/>
      <c r="D46" s="362"/>
      <c r="E46" s="363"/>
      <c r="F46" s="86" t="s">
        <v>109</v>
      </c>
      <c r="G46" s="104" t="str">
        <f>IF(DistrictName=0,"",
 IF('1. Dashboard'!$H$22="Yes",
    ROUND((G42/G30)*G27,0),0))</f>
        <v/>
      </c>
      <c r="H46" s="103"/>
      <c r="I46" s="89"/>
    </row>
    <row r="47" spans="2:10" ht="33" customHeight="1" x14ac:dyDescent="0.25">
      <c r="B47" s="361" t="s">
        <v>332</v>
      </c>
      <c r="C47" s="362"/>
      <c r="D47" s="362"/>
      <c r="E47" s="363"/>
      <c r="F47" s="86" t="s">
        <v>240</v>
      </c>
      <c r="G47" s="87" t="str">
        <f>IF(DistrictName=0,"",
    ROUND(($I$20-$I$21+$I$22)/(G26+G29+G45),9))</f>
        <v/>
      </c>
      <c r="H47" s="88"/>
      <c r="I47" s="89"/>
      <c r="J47" s="170" t="str">
        <f>IF(DistrictName&lt;&gt;0,ROUND(($I$20-$I$21+$J$22)/(G26+G29+G45),9),"")</f>
        <v/>
      </c>
    </row>
    <row r="48" spans="2:10" ht="33" customHeight="1" x14ac:dyDescent="0.25">
      <c r="B48" s="361" t="s">
        <v>333</v>
      </c>
      <c r="C48" s="362"/>
      <c r="D48" s="362"/>
      <c r="E48" s="363"/>
      <c r="F48" s="86" t="s">
        <v>241</v>
      </c>
      <c r="G48" s="87" t="str">
        <f>IF(DistrictName=0,"",
    ROUND(($I$21+$I$23)/(G27+G30+G46),9))</f>
        <v/>
      </c>
      <c r="H48" s="88"/>
      <c r="I48" s="89"/>
      <c r="J48" s="170" t="str">
        <f>IF(DistrictName&lt;&gt;0,ROUND(($I$21+$J$23)/(G27+G30+G46),9),"")</f>
        <v/>
      </c>
    </row>
    <row r="49" spans="2:10" ht="16.5" customHeight="1" x14ac:dyDescent="0.25">
      <c r="B49" s="361" t="s">
        <v>334</v>
      </c>
      <c r="C49" s="362"/>
      <c r="D49" s="362"/>
      <c r="E49" s="363"/>
      <c r="F49" s="86" t="s">
        <v>330</v>
      </c>
      <c r="G49" s="104" t="str">
        <f>IF(DistrictName=0,"",
    ROUND(G43*G47,0))</f>
        <v/>
      </c>
      <c r="H49" s="103"/>
      <c r="I49" s="89"/>
    </row>
    <row r="50" spans="2:10" ht="16.5" customHeight="1" x14ac:dyDescent="0.25">
      <c r="B50" s="361" t="s">
        <v>335</v>
      </c>
      <c r="C50" s="362"/>
      <c r="D50" s="362"/>
      <c r="E50" s="363"/>
      <c r="F50" s="86" t="s">
        <v>331</v>
      </c>
      <c r="G50" s="104" t="str">
        <f>IF(DistrictName=0,"",
    ROUND(G44*G48,0))</f>
        <v/>
      </c>
      <c r="H50" s="103"/>
      <c r="I50" s="89"/>
    </row>
    <row r="51" spans="2:10" ht="16.899999999999999" customHeight="1" x14ac:dyDescent="0.25">
      <c r="B51" s="367" t="s">
        <v>338</v>
      </c>
      <c r="C51" s="368"/>
      <c r="D51" s="368"/>
      <c r="E51" s="368"/>
      <c r="F51" s="368"/>
      <c r="G51" s="369"/>
      <c r="H51" s="86" t="s">
        <v>246</v>
      </c>
      <c r="I51" s="90" t="str">
        <f>IF(DistrictName=0,"",
    IF(SCOstatus="No",0,
       SUM(G49:G50)))</f>
        <v/>
      </c>
      <c r="J51" s="186" t="e">
        <f>SUM(ROUND(G43*J47,0),
     ROUND(G44*J48,0))</f>
        <v>#VALUE!</v>
      </c>
    </row>
    <row r="52" spans="2:10" ht="16.899999999999999" customHeight="1" x14ac:dyDescent="0.25">
      <c r="B52" s="371" t="str">
        <f>"8% Cap on Allowable Non-Exempt Budget Increases (Except Expiring Urban Renewal):"</f>
        <v>8% Cap on Allowable Non-Exempt Budget Increases (Except Expiring Urban Renewal):</v>
      </c>
      <c r="C52" s="372"/>
      <c r="D52" s="372"/>
      <c r="E52" s="372"/>
      <c r="F52" s="372"/>
      <c r="G52" s="373"/>
      <c r="H52" s="88"/>
      <c r="I52" s="89"/>
    </row>
    <row r="53" spans="2:10" ht="16.899999999999999" customHeight="1" x14ac:dyDescent="0.25">
      <c r="B53" s="382" t="s">
        <v>374</v>
      </c>
      <c r="C53" s="383"/>
      <c r="D53" s="383"/>
      <c r="E53" s="384"/>
      <c r="F53" s="81" t="s">
        <v>376</v>
      </c>
      <c r="G53" s="108" t="str">
        <f>IF(DistrictName=0,"",
    IF(SCOstatus="No",0,
       SUM(I22+I23+I39+I51)))</f>
        <v/>
      </c>
      <c r="H53" s="88"/>
      <c r="I53" s="89"/>
    </row>
    <row r="54" spans="2:10" ht="16.899999999999999" customHeight="1" x14ac:dyDescent="0.25">
      <c r="B54" s="361" t="s">
        <v>375</v>
      </c>
      <c r="C54" s="362"/>
      <c r="D54" s="362"/>
      <c r="E54" s="363"/>
      <c r="F54" s="82" t="s">
        <v>377</v>
      </c>
      <c r="G54" s="108" t="str">
        <f>IF(DistrictName=0,"",
    ROUND(HighestofLast3yrs*0.08,0))</f>
        <v/>
      </c>
      <c r="H54" s="88"/>
      <c r="I54" s="89"/>
    </row>
    <row r="55" spans="2:10" ht="16.899999999999999" customHeight="1" x14ac:dyDescent="0.25">
      <c r="B55" s="379" t="s">
        <v>378</v>
      </c>
      <c r="C55" s="380"/>
      <c r="D55" s="380"/>
      <c r="E55" s="380"/>
      <c r="F55" s="380"/>
      <c r="G55" s="381"/>
      <c r="H55" s="86" t="s">
        <v>379</v>
      </c>
      <c r="I55" s="184" t="str">
        <f>IF(DistrictName=0,"",
    ROUND(MIN(0,IFERROR(G54-G53,0)),0))</f>
        <v/>
      </c>
      <c r="J55" s="186" t="str">
        <f>IF(DistrictName=0,"",
    MIN(0,G54-G53))</f>
        <v/>
      </c>
    </row>
    <row r="56" spans="2:10" ht="16.899999999999999" customHeight="1" x14ac:dyDescent="0.25">
      <c r="B56" s="371" t="s">
        <v>112</v>
      </c>
      <c r="C56" s="372"/>
      <c r="D56" s="372"/>
      <c r="E56" s="372"/>
      <c r="F56" s="372"/>
      <c r="G56" s="373"/>
      <c r="H56" s="88"/>
      <c r="I56" s="89"/>
    </row>
    <row r="57" spans="2:10" ht="16.899999999999999" customHeight="1" x14ac:dyDescent="0.25">
      <c r="B57" s="364" t="s">
        <v>234</v>
      </c>
      <c r="C57" s="365"/>
      <c r="D57" s="365"/>
      <c r="E57" s="366"/>
      <c r="F57" s="86" t="s">
        <v>339</v>
      </c>
      <c r="G57" s="107">
        <f>'1. Dashboard'!H27</f>
        <v>0</v>
      </c>
      <c r="H57" s="88"/>
      <c r="I57" s="89"/>
    </row>
    <row r="58" spans="2:10" ht="16.899999999999999" customHeight="1" x14ac:dyDescent="0.25">
      <c r="B58" s="364" t="s">
        <v>236</v>
      </c>
      <c r="C58" s="365"/>
      <c r="D58" s="365"/>
      <c r="E58" s="366"/>
      <c r="F58" s="86" t="s">
        <v>340</v>
      </c>
      <c r="G58" s="107">
        <f>'1. Dashboard'!H29</f>
        <v>0</v>
      </c>
      <c r="H58" s="88"/>
      <c r="I58" s="89"/>
    </row>
    <row r="59" spans="2:10" ht="16.899999999999999" customHeight="1" x14ac:dyDescent="0.25">
      <c r="B59" s="364" t="s">
        <v>235</v>
      </c>
      <c r="C59" s="365"/>
      <c r="D59" s="365"/>
      <c r="E59" s="366"/>
      <c r="F59" s="86" t="s">
        <v>380</v>
      </c>
      <c r="G59" s="107">
        <f>'1. Dashboard'!H28</f>
        <v>0</v>
      </c>
      <c r="H59" s="88"/>
      <c r="I59" s="89"/>
    </row>
    <row r="60" spans="2:10" ht="16.899999999999999" customHeight="1" x14ac:dyDescent="0.25">
      <c r="B60" s="364" t="s">
        <v>237</v>
      </c>
      <c r="C60" s="365"/>
      <c r="D60" s="365"/>
      <c r="E60" s="366"/>
      <c r="F60" s="86" t="s">
        <v>381</v>
      </c>
      <c r="G60" s="107">
        <f>'1. Dashboard'!H30</f>
        <v>0</v>
      </c>
      <c r="H60" s="88"/>
      <c r="I60" s="89"/>
    </row>
    <row r="61" spans="2:10" ht="16.899999999999999" customHeight="1" x14ac:dyDescent="0.25">
      <c r="B61" s="361" t="s">
        <v>238</v>
      </c>
      <c r="C61" s="362"/>
      <c r="D61" s="362"/>
      <c r="E61" s="363"/>
      <c r="F61" s="86" t="s">
        <v>382</v>
      </c>
      <c r="G61" s="107">
        <f>ROUND(G57*0.8,0)+ROUND(G58*0.9,0)</f>
        <v>0</v>
      </c>
      <c r="H61" s="88"/>
      <c r="I61" s="89"/>
    </row>
    <row r="62" spans="2:10" ht="16.899999999999999" customHeight="1" x14ac:dyDescent="0.25">
      <c r="B62" s="361" t="s">
        <v>239</v>
      </c>
      <c r="C62" s="362"/>
      <c r="D62" s="362"/>
      <c r="E62" s="363"/>
      <c r="F62" s="86" t="s">
        <v>383</v>
      </c>
      <c r="G62" s="107">
        <f>ROUND(G59*0.8,0)+ROUND(G60*0.9,0)</f>
        <v>0</v>
      </c>
      <c r="H62" s="88"/>
      <c r="I62" s="89"/>
    </row>
    <row r="63" spans="2:10" ht="33" customHeight="1" x14ac:dyDescent="0.25">
      <c r="B63" s="361" t="s">
        <v>386</v>
      </c>
      <c r="C63" s="362"/>
      <c r="D63" s="362"/>
      <c r="E63" s="363"/>
      <c r="F63" s="86" t="s">
        <v>384</v>
      </c>
      <c r="G63" s="107" t="str">
        <f>IF(DistrictName=0,"",
    ROUND(G61*G35,0))</f>
        <v/>
      </c>
      <c r="H63" s="88"/>
      <c r="I63" s="89"/>
    </row>
    <row r="64" spans="2:10" ht="33" customHeight="1" x14ac:dyDescent="0.25">
      <c r="B64" s="361" t="s">
        <v>387</v>
      </c>
      <c r="C64" s="362"/>
      <c r="D64" s="362"/>
      <c r="E64" s="363"/>
      <c r="F64" s="86" t="s">
        <v>385</v>
      </c>
      <c r="G64" s="107" t="str">
        <f>IF(DistrictName=0,"",
    ROUND(G62*G36,0))</f>
        <v/>
      </c>
      <c r="H64" s="88"/>
      <c r="I64" s="89"/>
    </row>
    <row r="65" spans="2:10" ht="16.899999999999999" customHeight="1" x14ac:dyDescent="0.25">
      <c r="B65" s="367" t="s">
        <v>388</v>
      </c>
      <c r="C65" s="368"/>
      <c r="D65" s="368"/>
      <c r="E65" s="368"/>
      <c r="F65" s="368"/>
      <c r="G65" s="369"/>
      <c r="H65" s="86" t="s">
        <v>95</v>
      </c>
      <c r="I65" s="90" t="str">
        <f>IF(DistrictName=0,"",
    IF(SCOstatus="No",0,
       SUM(G63:G64)))</f>
        <v/>
      </c>
      <c r="J65" s="186" t="e">
        <f>SUM(ROUND(G61*J35,0),
     ROUND(G62*J36,0))</f>
        <v>#VALUE!</v>
      </c>
    </row>
    <row r="66" spans="2:10" ht="16.899999999999999" customHeight="1" x14ac:dyDescent="0.25">
      <c r="B66" s="367" t="s">
        <v>389</v>
      </c>
      <c r="C66" s="368"/>
      <c r="D66" s="368"/>
      <c r="E66" s="368"/>
      <c r="F66" s="368"/>
      <c r="G66" s="369"/>
      <c r="H66" s="86" t="s">
        <v>117</v>
      </c>
      <c r="I66" s="90" t="str">
        <f>IF(DistrictName=0,"",
    ROUND(SUM(HighestofLast3yrs,I22,I23,NewConstructionBudgetIncrease,AnnexationBudgetIncrease,ReductionByPercentCap,URbudgetIncrease),0))</f>
        <v/>
      </c>
      <c r="J66" s="186" t="str">
        <f>IF(DistrictName=0,"",
    ROUND(SUM(HighestofLast3yrs,J22,J23,J39,J51,J55,J65),0))</f>
        <v/>
      </c>
    </row>
    <row r="67" spans="2:10" ht="16.899999999999999" customHeight="1" x14ac:dyDescent="0.25">
      <c r="B67" s="374" t="s">
        <v>219</v>
      </c>
      <c r="C67" s="375"/>
      <c r="D67" s="375"/>
      <c r="E67" s="375"/>
      <c r="F67" s="375"/>
      <c r="G67" s="375"/>
      <c r="H67" s="88"/>
      <c r="I67" s="89"/>
      <c r="J67" s="186"/>
    </row>
    <row r="68" spans="2:10" ht="16.899999999999999" customHeight="1" x14ac:dyDescent="0.25">
      <c r="B68" s="386" t="s">
        <v>207</v>
      </c>
      <c r="C68" s="387"/>
      <c r="D68" s="387"/>
      <c r="E68" s="388"/>
      <c r="F68" s="86"/>
      <c r="G68" s="136" t="str">
        <f>IF(DistrictName=0,"",
    INDEX(Data!Z2:Z25,MATCH(DistrictName,Data!C2:C25)))</f>
        <v/>
      </c>
      <c r="H68" s="137"/>
      <c r="I68" s="102"/>
      <c r="J68" s="186"/>
    </row>
    <row r="69" spans="2:10" ht="16.899999999999999" customHeight="1" x14ac:dyDescent="0.25">
      <c r="B69" s="364" t="s">
        <v>390</v>
      </c>
      <c r="C69" s="365"/>
      <c r="D69" s="365"/>
      <c r="E69" s="366"/>
      <c r="F69" s="86" t="s">
        <v>205</v>
      </c>
      <c r="G69" s="107" t="str">
        <f>IF(DistrictName=0,"",
    IF(SCOstatus="No",0,
       '1. Dashboard'!H51))</f>
        <v/>
      </c>
      <c r="H69" s="88"/>
      <c r="I69" s="102"/>
      <c r="J69" s="186"/>
    </row>
    <row r="70" spans="2:10" ht="16.899999999999999" customHeight="1" x14ac:dyDescent="0.25">
      <c r="B70" s="364" t="s">
        <v>391</v>
      </c>
      <c r="C70" s="365"/>
      <c r="D70" s="365"/>
      <c r="E70" s="366"/>
      <c r="F70" s="81" t="s">
        <v>206</v>
      </c>
      <c r="G70" s="109" t="str">
        <f>IF(DistrictName=0,"",
    IF(SCOstatus="No",0,
       '1. Dashboard'!H53))</f>
        <v/>
      </c>
      <c r="H70" s="101"/>
      <c r="I70" s="102"/>
      <c r="J70" s="186"/>
    </row>
    <row r="71" spans="2:10" ht="16.899999999999999" customHeight="1" x14ac:dyDescent="0.25">
      <c r="B71" s="382" t="s">
        <v>218</v>
      </c>
      <c r="C71" s="383"/>
      <c r="D71" s="383"/>
      <c r="E71" s="384"/>
      <c r="F71" s="81" t="s">
        <v>110</v>
      </c>
      <c r="G71" s="108" t="str">
        <f>IFERROR(ROUND(
   IF(I15=MAX(E15:I15),'2. L-2 Worksheet'!I13,
   IF(G15=MAX(E15:I15),'2. L-2 Worksheet'!G13,
   IF(E15=MAX(E15:I15),'2. L-2 Worksheet'!E13))),0),"")</f>
        <v/>
      </c>
      <c r="H71" s="88"/>
      <c r="I71" s="89"/>
      <c r="J71" s="186"/>
    </row>
    <row r="72" spans="2:10" ht="20.25" customHeight="1" x14ac:dyDescent="0.25">
      <c r="B72" s="389" t="s">
        <v>401</v>
      </c>
      <c r="C72" s="390"/>
      <c r="D72" s="390"/>
      <c r="E72" s="390"/>
      <c r="F72" s="390"/>
      <c r="G72" s="391"/>
      <c r="H72" s="82" t="s">
        <v>118</v>
      </c>
      <c r="I72" s="185" t="str">
        <f>IF(DistrictName=0,"",
    SUM(I66,G69:G71))</f>
        <v/>
      </c>
      <c r="J72" s="186" t="str">
        <f>IF(DistrictName=0,"",
    SUM(J66,G69:G71))</f>
        <v/>
      </c>
    </row>
    <row r="73" spans="2:10" ht="16.899999999999999" customHeight="1" x14ac:dyDescent="0.25">
      <c r="B73" s="371" t="s">
        <v>208</v>
      </c>
      <c r="C73" s="372"/>
      <c r="D73" s="372"/>
      <c r="E73" s="372"/>
      <c r="F73" s="372"/>
      <c r="G73" s="373"/>
      <c r="H73" s="88"/>
      <c r="I73" s="89"/>
      <c r="J73" s="186"/>
    </row>
    <row r="74" spans="2:10" ht="16.899999999999999" customHeight="1" x14ac:dyDescent="0.25">
      <c r="B74" s="382" t="s">
        <v>152</v>
      </c>
      <c r="C74" s="383"/>
      <c r="D74" s="383"/>
      <c r="E74" s="384"/>
      <c r="F74" s="81" t="s">
        <v>212</v>
      </c>
      <c r="G74" s="109" t="str">
        <f>IF(DistrictName=0,"",
    INDEX(Data!J2:J25,MATCH(DistrictName,Data!C2:C25)))</f>
        <v/>
      </c>
      <c r="H74" s="88"/>
      <c r="I74" s="91"/>
      <c r="J74" s="186"/>
    </row>
    <row r="75" spans="2:10" ht="16.899999999999999" customHeight="1" x14ac:dyDescent="0.25">
      <c r="B75" s="361" t="s">
        <v>153</v>
      </c>
      <c r="C75" s="362"/>
      <c r="D75" s="362"/>
      <c r="E75" s="363"/>
      <c r="F75" s="86" t="s">
        <v>213</v>
      </c>
      <c r="G75" s="107" t="str">
        <f>IF(DistrictName=0,"",
    INDEX(Data!K2:K25,MATCH(DistrictName,Data!C2:C25)))</f>
        <v/>
      </c>
      <c r="H75" s="88"/>
      <c r="I75" s="91"/>
      <c r="J75" s="186"/>
    </row>
    <row r="76" spans="2:10" ht="16.899999999999999" customHeight="1" x14ac:dyDescent="0.25">
      <c r="B76" s="361" t="s">
        <v>154</v>
      </c>
      <c r="C76" s="362"/>
      <c r="D76" s="362"/>
      <c r="E76" s="363"/>
      <c r="F76" s="86" t="s">
        <v>242</v>
      </c>
      <c r="G76" s="107" t="str">
        <f>IF(DistrictName=0,"",
    INDEX(Data!M2:M25,MATCH(DistrictName,Data!C2:C25)))</f>
        <v/>
      </c>
      <c r="H76" s="88"/>
      <c r="I76" s="91"/>
      <c r="J76" s="186"/>
    </row>
    <row r="77" spans="2:10" ht="16.899999999999999" customHeight="1" x14ac:dyDescent="0.25">
      <c r="B77" s="361" t="s">
        <v>369</v>
      </c>
      <c r="C77" s="362"/>
      <c r="D77" s="362"/>
      <c r="E77" s="363"/>
      <c r="F77" s="86" t="s">
        <v>341</v>
      </c>
      <c r="G77" s="107" t="str">
        <f>IF(DistrictName=0,"",
    '1. Dashboard'!H44)</f>
        <v/>
      </c>
      <c r="H77" s="88"/>
      <c r="I77" s="91"/>
      <c r="J77" s="186"/>
    </row>
    <row r="78" spans="2:10" ht="16.899999999999999" customHeight="1" x14ac:dyDescent="0.25">
      <c r="B78" s="361" t="s">
        <v>209</v>
      </c>
      <c r="C78" s="362"/>
      <c r="D78" s="362"/>
      <c r="E78" s="363"/>
      <c r="F78" s="86" t="s">
        <v>342</v>
      </c>
      <c r="G78" s="107">
        <f>IF('1. Dashboard'!$H$35="Yes",ROUND('1. Dashboard'!$H$36,0),0)</f>
        <v>0</v>
      </c>
      <c r="H78" s="88"/>
      <c r="I78" s="91"/>
      <c r="J78" s="186"/>
    </row>
    <row r="79" spans="2:10" ht="16.899999999999999" customHeight="1" x14ac:dyDescent="0.25">
      <c r="B79" s="361" t="s">
        <v>210</v>
      </c>
      <c r="C79" s="362"/>
      <c r="D79" s="362"/>
      <c r="E79" s="363"/>
      <c r="F79" s="86" t="s">
        <v>343</v>
      </c>
      <c r="G79" s="107">
        <f>IF('1. Dashboard'!$H$37="Yes",ROUND('1. Dashboard'!$H$38,0),0)</f>
        <v>0</v>
      </c>
      <c r="H79" s="88"/>
      <c r="I79" s="91"/>
      <c r="J79" s="186"/>
    </row>
    <row r="80" spans="2:10" ht="16.899999999999999" customHeight="1" x14ac:dyDescent="0.25">
      <c r="B80" s="401" t="s">
        <v>392</v>
      </c>
      <c r="C80" s="380"/>
      <c r="D80" s="380"/>
      <c r="E80" s="380"/>
      <c r="F80" s="380"/>
      <c r="G80" s="381"/>
      <c r="H80" s="86" t="s">
        <v>344</v>
      </c>
      <c r="I80" s="90" t="str">
        <f>IF(DistrictName=0,"",
    ROUND(SUM(G74:G79),0))</f>
        <v/>
      </c>
      <c r="J80" s="186"/>
    </row>
    <row r="81" spans="2:10" ht="16.5" customHeight="1" x14ac:dyDescent="0.25">
      <c r="B81" s="371" t="s">
        <v>214</v>
      </c>
      <c r="C81" s="372"/>
      <c r="D81" s="372"/>
      <c r="E81" s="372"/>
      <c r="F81" s="372"/>
      <c r="G81" s="373"/>
      <c r="H81" s="88"/>
      <c r="I81" s="89"/>
      <c r="J81" s="186"/>
    </row>
    <row r="82" spans="2:10" ht="16.899999999999999" customHeight="1" x14ac:dyDescent="0.25">
      <c r="B82" s="361" t="s">
        <v>211</v>
      </c>
      <c r="C82" s="362"/>
      <c r="D82" s="362"/>
      <c r="E82" s="363"/>
      <c r="F82" s="86" t="s">
        <v>345</v>
      </c>
      <c r="G82" s="107">
        <f>IF('1. Dashboard'!$H$39="Yes",ROUND('1. Dashboard'!$H$40,0),0)</f>
        <v>0</v>
      </c>
      <c r="H82" s="88"/>
      <c r="I82" s="91"/>
      <c r="J82" s="186"/>
    </row>
    <row r="83" spans="2:10" ht="16.899999999999999" customHeight="1" x14ac:dyDescent="0.25">
      <c r="B83" s="361" t="str">
        <f>"Solar Farm Tax received in the current year (7/1/"&amp;MID($B$17,3,2)-1&amp;" - 6/30/"&amp;MID($B$17,3,2)&amp;")"</f>
        <v>Solar Farm Tax received in the current year (7/1/25 - 6/30/26)</v>
      </c>
      <c r="C83" s="362"/>
      <c r="D83" s="362"/>
      <c r="E83" s="362"/>
      <c r="F83" s="86" t="s">
        <v>346</v>
      </c>
      <c r="G83" s="107">
        <f>IF('1. Dashboard'!$H$33="Yes",ROUND('1. Dashboard'!$H$34,0),0)</f>
        <v>0</v>
      </c>
      <c r="H83" s="88"/>
      <c r="I83" s="91"/>
      <c r="J83" s="186"/>
    </row>
    <row r="84" spans="2:10" ht="16.899999999999999" customHeight="1" thickBot="1" x14ac:dyDescent="0.3">
      <c r="B84" s="392" t="s">
        <v>394</v>
      </c>
      <c r="C84" s="393"/>
      <c r="D84" s="393"/>
      <c r="E84" s="393"/>
      <c r="F84" s="393"/>
      <c r="G84" s="394"/>
      <c r="H84" s="86" t="s">
        <v>370</v>
      </c>
      <c r="I84" s="90" t="str">
        <f>IF(DistrictName=0,"",ROUND(SUM(G82:G83),0))</f>
        <v/>
      </c>
      <c r="J84" s="186"/>
    </row>
    <row r="85" spans="2:10" ht="16.899999999999999" customHeight="1" thickBot="1" x14ac:dyDescent="0.3">
      <c r="B85" s="395" t="s">
        <v>220</v>
      </c>
      <c r="C85" s="396"/>
      <c r="D85" s="396"/>
      <c r="E85" s="396"/>
      <c r="F85" s="396"/>
      <c r="G85" s="396"/>
      <c r="H85" s="396"/>
      <c r="I85" s="397"/>
      <c r="J85" s="186"/>
    </row>
    <row r="86" spans="2:10" ht="16.899999999999999" customHeight="1" thickBot="1" x14ac:dyDescent="0.3">
      <c r="B86" s="398" t="str">
        <f>"Maximum non-exempt property tax budget including forgone amount (lines 29 - 36 - 39)"</f>
        <v>Maximum non-exempt property tax budget including forgone amount (lines 29 - 36 - 39)</v>
      </c>
      <c r="C86" s="399"/>
      <c r="D86" s="399"/>
      <c r="E86" s="399"/>
      <c r="F86" s="399"/>
      <c r="G86" s="400"/>
      <c r="H86" s="83" t="s">
        <v>393</v>
      </c>
      <c r="I86" s="95" t="str">
        <f>IFERROR(ROUND(I72-I80-I84,0),"")</f>
        <v/>
      </c>
      <c r="J86" s="186" t="str">
        <f>IFERROR(ROUND(J72-I80-I84,0),"")</f>
        <v/>
      </c>
    </row>
    <row r="87" spans="2:10" ht="16.899999999999999" customHeight="1" x14ac:dyDescent="0.25">
      <c r="B87" s="385"/>
      <c r="C87" s="385"/>
      <c r="D87" s="385"/>
      <c r="E87" s="385"/>
      <c r="F87" s="385"/>
      <c r="G87" s="385"/>
      <c r="H87" s="385"/>
      <c r="I87" s="385"/>
    </row>
  </sheetData>
  <sheetProtection algorithmName="SHA-512" hashValue="+H/2iZcn+lsJOO3EhPxfZb48OnEHdyjl87PccdiIa242rgCWd9lX4MQe5M+mkp1xi53tfYZ1Ud9Wr+SsASNQFg==" saltValue="5PGROBaQpqXV5NXVvvnQvQ==" spinCount="100000" sheet="1" objects="1" scenarios="1"/>
  <mergeCells count="110">
    <mergeCell ref="E12:F12"/>
    <mergeCell ref="B16:I16"/>
    <mergeCell ref="E13:F13"/>
    <mergeCell ref="B60:E60"/>
    <mergeCell ref="B40:G40"/>
    <mergeCell ref="B47:E47"/>
    <mergeCell ref="B14:D14"/>
    <mergeCell ref="B19:I19"/>
    <mergeCell ref="B31:G31"/>
    <mergeCell ref="B20:G20"/>
    <mergeCell ref="B25:G25"/>
    <mergeCell ref="B28:G28"/>
    <mergeCell ref="B21:G21"/>
    <mergeCell ref="B30:E30"/>
    <mergeCell ref="B24:I24"/>
    <mergeCell ref="B35:E35"/>
    <mergeCell ref="B36:E36"/>
    <mergeCell ref="B48:E48"/>
    <mergeCell ref="B49:E49"/>
    <mergeCell ref="B50:E50"/>
    <mergeCell ref="B51:G51"/>
    <mergeCell ref="B34:G34"/>
    <mergeCell ref="B32:E32"/>
    <mergeCell ref="B33:E33"/>
    <mergeCell ref="E11:F11"/>
    <mergeCell ref="G11:H11"/>
    <mergeCell ref="B4:D4"/>
    <mergeCell ref="B8:D8"/>
    <mergeCell ref="B9:D9"/>
    <mergeCell ref="B10:D10"/>
    <mergeCell ref="E10:F10"/>
    <mergeCell ref="B66:G66"/>
    <mergeCell ref="E18:I18"/>
    <mergeCell ref="B18:D18"/>
    <mergeCell ref="B15:D15"/>
    <mergeCell ref="G6:H6"/>
    <mergeCell ref="B5:C7"/>
    <mergeCell ref="G7:H7"/>
    <mergeCell ref="E15:F15"/>
    <mergeCell ref="G15:H15"/>
    <mergeCell ref="G12:H12"/>
    <mergeCell ref="G13:H13"/>
    <mergeCell ref="G14:H14"/>
    <mergeCell ref="E14:F14"/>
    <mergeCell ref="B11:D11"/>
    <mergeCell ref="B12:D12"/>
    <mergeCell ref="B13:D13"/>
    <mergeCell ref="B42:E42"/>
    <mergeCell ref="B87:I87"/>
    <mergeCell ref="B75:E75"/>
    <mergeCell ref="B76:E76"/>
    <mergeCell ref="B71:E71"/>
    <mergeCell ref="B68:E68"/>
    <mergeCell ref="B69:E69"/>
    <mergeCell ref="B72:G72"/>
    <mergeCell ref="B84:G84"/>
    <mergeCell ref="B70:E70"/>
    <mergeCell ref="B74:E74"/>
    <mergeCell ref="B78:E78"/>
    <mergeCell ref="B82:E82"/>
    <mergeCell ref="B85:I85"/>
    <mergeCell ref="B86:G86"/>
    <mergeCell ref="B83:E83"/>
    <mergeCell ref="B77:E77"/>
    <mergeCell ref="B73:G73"/>
    <mergeCell ref="B81:G81"/>
    <mergeCell ref="B80:G80"/>
    <mergeCell ref="B79:E79"/>
    <mergeCell ref="B67:G67"/>
    <mergeCell ref="B26:E26"/>
    <mergeCell ref="B27:E27"/>
    <mergeCell ref="B29:E29"/>
    <mergeCell ref="B56:G56"/>
    <mergeCell ref="B22:E22"/>
    <mergeCell ref="B23:E23"/>
    <mergeCell ref="B65:G65"/>
    <mergeCell ref="B63:E63"/>
    <mergeCell ref="B64:E64"/>
    <mergeCell ref="B55:G55"/>
    <mergeCell ref="B53:E53"/>
    <mergeCell ref="B54:E54"/>
    <mergeCell ref="B37:E37"/>
    <mergeCell ref="B38:E38"/>
    <mergeCell ref="B61:E61"/>
    <mergeCell ref="B43:E43"/>
    <mergeCell ref="B44:E44"/>
    <mergeCell ref="B62:E62"/>
    <mergeCell ref="B58:E58"/>
    <mergeCell ref="B39:G39"/>
    <mergeCell ref="B57:E57"/>
    <mergeCell ref="B59:E59"/>
    <mergeCell ref="B45:E45"/>
    <mergeCell ref="B46:E46"/>
    <mergeCell ref="B41:E41"/>
    <mergeCell ref="B1:I1"/>
    <mergeCell ref="B52:G52"/>
    <mergeCell ref="B2:I2"/>
    <mergeCell ref="E6:F6"/>
    <mergeCell ref="E7:F7"/>
    <mergeCell ref="B17:I17"/>
    <mergeCell ref="B3:I3"/>
    <mergeCell ref="E4:F4"/>
    <mergeCell ref="G4:H4"/>
    <mergeCell ref="E5:F5"/>
    <mergeCell ref="G5:H5"/>
    <mergeCell ref="E8:F8"/>
    <mergeCell ref="G8:H8"/>
    <mergeCell ref="E9:F9"/>
    <mergeCell ref="G9:H9"/>
    <mergeCell ref="G10:H10"/>
  </mergeCells>
  <conditionalFormatting sqref="A17:E17 J17:XFD19 B18 B19:E19 A20:XFD20 A21:E21 H21:XFD21 A22:B23 F22:XFD23 A24:XFD25 A26:B27 F26:XFD27 A28:XFD28 A29:B30 F29:XFD30 A31:XFD31 A32:B33 F32:XFD33 A34:E34 H34:XFD34 A35:B38 F35:XFD38 A39:XFD39 A40:E40 H40:XFD40 A41:B50 F41:XFD50 A51:XFD55 H55:XFD56 A56:E56 A57:B64 F57:XFD64 A65:XFD65 A66:B66 H66:XFD66 A67:E67 H67:I73 J67:XFD76 F68:I71 A68:B72 F71:XFD71 A73:E73 F74:I76 A74:B79 F77:XFD79 A80:XFD80 A81:E81 H81:I81 J81:XFD85 A82:B83 F82:I83 A84:I84 A85:E85 A86:XFD86 A87:B87 J87:XFD87 A88:XFD1048576">
    <cfRule type="containsErrors" dxfId="34" priority="35">
      <formula>ISERROR(A17)</formula>
    </cfRule>
  </conditionalFormatting>
  <conditionalFormatting sqref="B3:B5 B8:B15">
    <cfRule type="containsErrors" dxfId="33" priority="5">
      <formula>ISERROR(B3)</formula>
    </cfRule>
  </conditionalFormatting>
  <conditionalFormatting sqref="B2:E2">
    <cfRule type="containsErrors" dxfId="32" priority="11">
      <formula>ISERROR(B2)</formula>
    </cfRule>
  </conditionalFormatting>
  <conditionalFormatting sqref="E4:I4">
    <cfRule type="containsErrors" dxfId="31" priority="9">
      <formula>ISERROR(E4)</formula>
    </cfRule>
  </conditionalFormatting>
  <conditionalFormatting sqref="E7:I7 E10 E15:I15 I20 G22:G23 G29:G30 G32:G33 G69:G70 G77:G79 G82:G83">
    <cfRule type="expression" dxfId="30" priority="4">
      <formula>DistrictName=0</formula>
    </cfRule>
  </conditionalFormatting>
  <conditionalFormatting sqref="E15:I15">
    <cfRule type="cellIs" dxfId="29" priority="7" operator="equal">
      <formula>0</formula>
    </cfRule>
    <cfRule type="top10" dxfId="28" priority="8" rank="1"/>
  </conditionalFormatting>
  <conditionalFormatting sqref="G57:G64">
    <cfRule type="expression" dxfId="27" priority="2">
      <formula>DistrictName=0</formula>
    </cfRule>
  </conditionalFormatting>
  <conditionalFormatting sqref="G69">
    <cfRule type="expression" dxfId="26" priority="21">
      <formula>$G$69&gt;#REF!</formula>
    </cfRule>
  </conditionalFormatting>
  <conditionalFormatting sqref="G70:G71">
    <cfRule type="expression" dxfId="25" priority="20">
      <formula>$G$70&gt;#REF!</formula>
    </cfRule>
  </conditionalFormatting>
  <conditionalFormatting sqref="I71:I72">
    <cfRule type="expression" dxfId="24" priority="89">
      <formula>#REF!&gt;$G$68</formula>
    </cfRule>
  </conditionalFormatting>
  <printOptions horizontalCentered="1"/>
  <pageMargins left="0.25" right="0.25" top="0.25" bottom="0.25" header="0.3" footer="0.3"/>
  <pageSetup scale="75" fitToHeight="0" orientation="landscape" r:id="rId1"/>
  <rowBreaks count="2" manualBreakCount="2">
    <brk id="16" max="16383" man="1"/>
    <brk id="51" max="16383" man="1"/>
  </rowBreaks>
  <ignoredErrors>
    <ignoredError sqref="H20:H21 H22:H23" numberStoredAsText="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7D71D-0162-184E-8FAA-223497D37D92}">
  <sheetPr codeName="Sheet9">
    <pageSetUpPr fitToPage="1"/>
  </sheetPr>
  <dimension ref="A1:Q72"/>
  <sheetViews>
    <sheetView showGridLines="0" showZeros="0" zoomScale="90" zoomScaleNormal="90" workbookViewId="0">
      <selection activeCell="B9" sqref="B9:C9"/>
    </sheetView>
  </sheetViews>
  <sheetFormatPr defaultColWidth="8.75" defaultRowHeight="16.899999999999999" customHeight="1" x14ac:dyDescent="0.25"/>
  <cols>
    <col min="1" max="1" width="2.75" style="2" customWidth="1"/>
    <col min="2" max="2" width="2.5" style="2" customWidth="1"/>
    <col min="3" max="3" width="29.375" style="2" customWidth="1"/>
    <col min="4" max="4" width="21.5" style="2" customWidth="1"/>
    <col min="5" max="5" width="19.75" style="2" customWidth="1"/>
    <col min="6" max="6" width="20" style="2" customWidth="1"/>
    <col min="7" max="7" width="22.5" style="2" customWidth="1"/>
    <col min="8" max="8" width="23" style="2" customWidth="1"/>
    <col min="9" max="9" width="8.75" style="2"/>
    <col min="10" max="10" width="13.5" style="2" bestFit="1" customWidth="1"/>
    <col min="11" max="11" width="11.25" style="2" bestFit="1" customWidth="1"/>
    <col min="12" max="16" width="8.75" style="2"/>
    <col min="17" max="17" width="13.75" style="2" bestFit="1" customWidth="1"/>
    <col min="18" max="16384" width="8.75" style="2"/>
  </cols>
  <sheetData>
    <row r="1" spans="1:17" ht="16.899999999999999" customHeight="1" thickBot="1" x14ac:dyDescent="0.3">
      <c r="A1" s="39"/>
      <c r="B1" s="517"/>
      <c r="C1" s="517"/>
      <c r="D1" s="517"/>
      <c r="E1" s="517"/>
      <c r="F1" s="517"/>
      <c r="G1" s="517"/>
      <c r="H1" s="517"/>
    </row>
    <row r="2" spans="1:17" ht="16.899999999999999" customHeight="1" x14ac:dyDescent="0.25">
      <c r="B2" s="520" t="str">
        <f>LEFT('1. Dashboard'!$B$8,4)&amp;" Dollar Certification of Budget Request to Board of County Commissioners L-2"</f>
        <v>2026 Dollar Certification of Budget Request to Board of County Commissioners L-2</v>
      </c>
      <c r="C2" s="521"/>
      <c r="D2" s="521"/>
      <c r="E2" s="521"/>
      <c r="F2" s="521"/>
      <c r="G2" s="521"/>
      <c r="H2" s="522"/>
      <c r="Q2" s="3"/>
    </row>
    <row r="3" spans="1:17" ht="16.899999999999999" customHeight="1" thickBot="1" x14ac:dyDescent="0.3">
      <c r="B3" s="523" t="s">
        <v>36</v>
      </c>
      <c r="C3" s="524"/>
      <c r="D3" s="524"/>
      <c r="E3" s="524"/>
      <c r="F3" s="524"/>
      <c r="G3" s="524"/>
      <c r="H3" s="525"/>
    </row>
    <row r="4" spans="1:17" ht="16.899999999999999" customHeight="1" x14ac:dyDescent="0.25">
      <c r="B4" s="538" t="str">
        <f>IF(DistrictName&lt;&gt;0,"District Name: "&amp;DistrictName&amp;" and "&amp;DistrictName&amp;" Road &amp; Bridge","District Name:")</f>
        <v>District Name:</v>
      </c>
      <c r="C4" s="539"/>
      <c r="D4" s="539"/>
      <c r="E4" s="539"/>
      <c r="F4" s="539"/>
      <c r="G4" s="539"/>
      <c r="H4" s="540"/>
    </row>
    <row r="5" spans="1:17" ht="16.899999999999999" customHeight="1" x14ac:dyDescent="0.25">
      <c r="B5" s="530" t="s">
        <v>17</v>
      </c>
      <c r="C5" s="531"/>
      <c r="D5" s="526" t="s">
        <v>39</v>
      </c>
      <c r="E5" s="526" t="s">
        <v>38</v>
      </c>
      <c r="F5" s="526" t="s">
        <v>28</v>
      </c>
      <c r="G5" s="526" t="s">
        <v>395</v>
      </c>
      <c r="H5" s="528" t="s">
        <v>37</v>
      </c>
    </row>
    <row r="6" spans="1:17" ht="16.899999999999999" customHeight="1" x14ac:dyDescent="0.25">
      <c r="B6" s="532"/>
      <c r="C6" s="533"/>
      <c r="D6" s="527"/>
      <c r="E6" s="527"/>
      <c r="F6" s="527"/>
      <c r="G6" s="527"/>
      <c r="H6" s="529"/>
    </row>
    <row r="7" spans="1:17" ht="27.75" customHeight="1" x14ac:dyDescent="0.25">
      <c r="B7" s="534"/>
      <c r="C7" s="535"/>
      <c r="D7" s="527"/>
      <c r="E7" s="527"/>
      <c r="F7" s="527"/>
      <c r="G7" s="527"/>
      <c r="H7" s="529"/>
      <c r="K7" s="35"/>
    </row>
    <row r="8" spans="1:17" ht="16.899999999999999" customHeight="1" x14ac:dyDescent="0.25">
      <c r="B8" s="493">
        <v>1</v>
      </c>
      <c r="C8" s="494"/>
      <c r="D8" s="11">
        <v>2</v>
      </c>
      <c r="E8" s="11">
        <v>3</v>
      </c>
      <c r="F8" s="11">
        <v>4</v>
      </c>
      <c r="G8" s="11">
        <v>5</v>
      </c>
      <c r="H8" s="20">
        <v>6</v>
      </c>
    </row>
    <row r="9" spans="1:17" ht="16.899999999999999" customHeight="1" x14ac:dyDescent="0.25">
      <c r="B9" s="495"/>
      <c r="C9" s="496"/>
      <c r="D9" s="31"/>
      <c r="E9" s="31"/>
      <c r="F9" s="31"/>
      <c r="G9" s="31"/>
      <c r="H9" s="50">
        <f>D9-(E9+F9+G9)</f>
        <v>0</v>
      </c>
    </row>
    <row r="10" spans="1:17" ht="16.899999999999999" customHeight="1" x14ac:dyDescent="0.25">
      <c r="B10" s="495"/>
      <c r="C10" s="496"/>
      <c r="D10" s="31"/>
      <c r="E10" s="31"/>
      <c r="F10" s="31"/>
      <c r="G10" s="31"/>
      <c r="H10" s="50">
        <f t="shared" ref="H10:H30" si="0">D10-(E10+F10+G10)</f>
        <v>0</v>
      </c>
    </row>
    <row r="11" spans="1:17" ht="16.899999999999999" customHeight="1" x14ac:dyDescent="0.25">
      <c r="B11" s="495"/>
      <c r="C11" s="496"/>
      <c r="D11" s="31"/>
      <c r="E11" s="31"/>
      <c r="F11" s="31"/>
      <c r="G11" s="31"/>
      <c r="H11" s="50">
        <f t="shared" si="0"/>
        <v>0</v>
      </c>
    </row>
    <row r="12" spans="1:17" ht="16.899999999999999" customHeight="1" x14ac:dyDescent="0.25">
      <c r="B12" s="495"/>
      <c r="C12" s="496"/>
      <c r="D12" s="31"/>
      <c r="E12" s="31"/>
      <c r="F12" s="31"/>
      <c r="G12" s="31"/>
      <c r="H12" s="50">
        <f t="shared" si="0"/>
        <v>0</v>
      </c>
    </row>
    <row r="13" spans="1:17" ht="16.899999999999999" customHeight="1" x14ac:dyDescent="0.25">
      <c r="B13" s="495"/>
      <c r="C13" s="496"/>
      <c r="D13" s="31"/>
      <c r="E13" s="31"/>
      <c r="F13" s="31"/>
      <c r="G13" s="31"/>
      <c r="H13" s="50">
        <f t="shared" si="0"/>
        <v>0</v>
      </c>
    </row>
    <row r="14" spans="1:17" ht="16.899999999999999" customHeight="1" x14ac:dyDescent="0.25">
      <c r="B14" s="495"/>
      <c r="C14" s="496"/>
      <c r="D14" s="31"/>
      <c r="E14" s="31"/>
      <c r="F14" s="31"/>
      <c r="G14" s="31"/>
      <c r="H14" s="50">
        <f t="shared" si="0"/>
        <v>0</v>
      </c>
    </row>
    <row r="15" spans="1:17" ht="16.899999999999999" customHeight="1" x14ac:dyDescent="0.25">
      <c r="B15" s="495"/>
      <c r="C15" s="496"/>
      <c r="D15" s="31"/>
      <c r="E15" s="31"/>
      <c r="F15" s="31"/>
      <c r="G15" s="31"/>
      <c r="H15" s="50">
        <f t="shared" si="0"/>
        <v>0</v>
      </c>
    </row>
    <row r="16" spans="1:17" ht="16.899999999999999" customHeight="1" x14ac:dyDescent="0.25">
      <c r="B16" s="495"/>
      <c r="C16" s="496"/>
      <c r="D16" s="31"/>
      <c r="E16" s="31"/>
      <c r="F16" s="31"/>
      <c r="G16" s="31"/>
      <c r="H16" s="50">
        <f t="shared" si="0"/>
        <v>0</v>
      </c>
    </row>
    <row r="17" spans="2:10" ht="16.899999999999999" customHeight="1" x14ac:dyDescent="0.25">
      <c r="B17" s="495"/>
      <c r="C17" s="496"/>
      <c r="D17" s="31"/>
      <c r="E17" s="31"/>
      <c r="F17" s="31"/>
      <c r="G17" s="31"/>
      <c r="H17" s="50">
        <f t="shared" si="0"/>
        <v>0</v>
      </c>
    </row>
    <row r="18" spans="2:10" ht="16.899999999999999" customHeight="1" x14ac:dyDescent="0.25">
      <c r="B18" s="495"/>
      <c r="C18" s="496"/>
      <c r="D18" s="31"/>
      <c r="E18" s="31"/>
      <c r="F18" s="31"/>
      <c r="G18" s="31"/>
      <c r="H18" s="50">
        <f t="shared" si="0"/>
        <v>0</v>
      </c>
    </row>
    <row r="19" spans="2:10" ht="16.899999999999999" customHeight="1" x14ac:dyDescent="0.25">
      <c r="B19" s="495"/>
      <c r="C19" s="496"/>
      <c r="D19" s="31"/>
      <c r="E19" s="31"/>
      <c r="F19" s="31"/>
      <c r="G19" s="31"/>
      <c r="H19" s="50">
        <f t="shared" si="0"/>
        <v>0</v>
      </c>
    </row>
    <row r="20" spans="2:10" ht="16.899999999999999" customHeight="1" x14ac:dyDescent="0.25">
      <c r="B20" s="495"/>
      <c r="C20" s="496"/>
      <c r="D20" s="31"/>
      <c r="E20" s="31"/>
      <c r="F20" s="31"/>
      <c r="G20" s="31"/>
      <c r="H20" s="50">
        <f t="shared" si="0"/>
        <v>0</v>
      </c>
    </row>
    <row r="21" spans="2:10" ht="16.899999999999999" customHeight="1" x14ac:dyDescent="0.25">
      <c r="B21" s="495"/>
      <c r="C21" s="496"/>
      <c r="D21" s="31"/>
      <c r="E21" s="31"/>
      <c r="F21" s="31"/>
      <c r="G21" s="31"/>
      <c r="H21" s="50">
        <f t="shared" si="0"/>
        <v>0</v>
      </c>
      <c r="J21" s="54"/>
    </row>
    <row r="22" spans="2:10" ht="16.899999999999999" customHeight="1" x14ac:dyDescent="0.25">
      <c r="B22" s="495"/>
      <c r="C22" s="496"/>
      <c r="D22" s="31"/>
      <c r="E22" s="31"/>
      <c r="F22" s="31"/>
      <c r="G22" s="31"/>
      <c r="H22" s="50">
        <f t="shared" si="0"/>
        <v>0</v>
      </c>
    </row>
    <row r="23" spans="2:10" ht="16.899999999999999" customHeight="1" x14ac:dyDescent="0.25">
      <c r="B23" s="495"/>
      <c r="C23" s="496"/>
      <c r="D23" s="31"/>
      <c r="E23" s="31"/>
      <c r="F23" s="31"/>
      <c r="G23" s="31"/>
      <c r="H23" s="50">
        <f t="shared" si="0"/>
        <v>0</v>
      </c>
    </row>
    <row r="24" spans="2:10" ht="16.899999999999999" customHeight="1" x14ac:dyDescent="0.25">
      <c r="B24" s="495"/>
      <c r="C24" s="496"/>
      <c r="D24" s="31"/>
      <c r="E24" s="31"/>
      <c r="F24" s="31"/>
      <c r="G24" s="31"/>
      <c r="H24" s="50">
        <f t="shared" si="0"/>
        <v>0</v>
      </c>
    </row>
    <row r="25" spans="2:10" ht="16.899999999999999" customHeight="1" x14ac:dyDescent="0.25">
      <c r="B25" s="495"/>
      <c r="C25" s="496"/>
      <c r="D25" s="31"/>
      <c r="E25" s="31"/>
      <c r="F25" s="31"/>
      <c r="G25" s="31"/>
      <c r="H25" s="50">
        <f t="shared" si="0"/>
        <v>0</v>
      </c>
    </row>
    <row r="26" spans="2:10" ht="16.899999999999999" customHeight="1" x14ac:dyDescent="0.25">
      <c r="B26" s="495"/>
      <c r="C26" s="496"/>
      <c r="D26" s="31"/>
      <c r="E26" s="31"/>
      <c r="F26" s="31"/>
      <c r="G26" s="31"/>
      <c r="H26" s="50">
        <f t="shared" si="0"/>
        <v>0</v>
      </c>
    </row>
    <row r="27" spans="2:10" ht="16.899999999999999" customHeight="1" x14ac:dyDescent="0.25">
      <c r="B27" s="518" t="s">
        <v>94</v>
      </c>
      <c r="C27" s="519"/>
      <c r="D27" s="63"/>
      <c r="E27" s="63"/>
      <c r="F27" s="63"/>
      <c r="G27" s="74"/>
      <c r="H27" s="50">
        <f>D27-(E27+F27+G27)</f>
        <v>0</v>
      </c>
      <c r="J27" s="36"/>
    </row>
    <row r="28" spans="2:10" ht="16.899999999999999" customHeight="1" x14ac:dyDescent="0.25">
      <c r="B28" s="536" t="s">
        <v>98</v>
      </c>
      <c r="C28" s="537"/>
      <c r="D28" s="158"/>
      <c r="E28" s="158"/>
      <c r="F28" s="158"/>
      <c r="G28" s="158"/>
      <c r="H28" s="159">
        <f t="shared" si="0"/>
        <v>0</v>
      </c>
    </row>
    <row r="29" spans="2:10" ht="16.899999999999999" customHeight="1" x14ac:dyDescent="0.25">
      <c r="B29" s="72"/>
      <c r="C29" s="73" t="str">
        <f>"^ I.C. §40-801(1)(a)"</f>
        <v>^ I.C. §40-801(1)(a)</v>
      </c>
      <c r="D29" s="41"/>
      <c r="E29" s="41"/>
      <c r="F29" s="41"/>
      <c r="G29" s="41"/>
      <c r="H29" s="50">
        <f t="shared" si="0"/>
        <v>0</v>
      </c>
      <c r="J29" s="36"/>
    </row>
    <row r="30" spans="2:10" ht="16.899999999999999" customHeight="1" x14ac:dyDescent="0.25">
      <c r="B30" s="72"/>
      <c r="C30" s="73" t="str">
        <f>"^^ I.C. §40-801(1)(b)"</f>
        <v>^^ I.C. §40-801(1)(b)</v>
      </c>
      <c r="D30" s="41"/>
      <c r="E30" s="41"/>
      <c r="F30" s="41"/>
      <c r="G30" s="41"/>
      <c r="H30" s="50">
        <f t="shared" si="0"/>
        <v>0</v>
      </c>
      <c r="J30" s="36"/>
    </row>
    <row r="31" spans="2:10" ht="16.899999999999999" customHeight="1" thickBot="1" x14ac:dyDescent="0.3">
      <c r="B31" s="545" t="s">
        <v>42</v>
      </c>
      <c r="C31" s="546"/>
      <c r="D31" s="46">
        <f>SUM(D9:D30)</f>
        <v>0</v>
      </c>
      <c r="E31" s="46">
        <f>SUM(E9:E30)</f>
        <v>0</v>
      </c>
      <c r="F31" s="46">
        <f>SUM(F9:F30)</f>
        <v>0</v>
      </c>
      <c r="G31" s="46">
        <f>SUM(G9:G30)</f>
        <v>0</v>
      </c>
      <c r="H31" s="49">
        <f>ROUND(SUM(H9:H30),0)</f>
        <v>0</v>
      </c>
      <c r="J31" s="36"/>
    </row>
    <row r="32" spans="2:10" ht="18.75" customHeight="1" thickBot="1" x14ac:dyDescent="0.35">
      <c r="B32" s="113"/>
      <c r="C32" s="555" t="s">
        <v>135</v>
      </c>
      <c r="D32" s="555"/>
      <c r="E32" s="555"/>
      <c r="F32" s="555"/>
      <c r="G32" s="555"/>
      <c r="H32" s="114" t="str">
        <f>'2. L-2 Worksheet'!I86</f>
        <v/>
      </c>
      <c r="J32" s="36"/>
    </row>
    <row r="33" spans="2:10" ht="21.75" customHeight="1" x14ac:dyDescent="0.35">
      <c r="B33" s="552" t="s">
        <v>43</v>
      </c>
      <c r="C33" s="553"/>
      <c r="D33" s="553"/>
      <c r="E33" s="553"/>
      <c r="F33" s="553"/>
      <c r="G33" s="553"/>
      <c r="H33" s="554"/>
      <c r="J33" s="36"/>
    </row>
    <row r="34" spans="2:10" ht="16.5" thickBot="1" x14ac:dyDescent="0.3">
      <c r="B34" s="547" t="str">
        <f>"(Bonds, Overrides, &amp; Judgment Funds)"</f>
        <v>(Bonds, Overrides, &amp; Judgment Funds)</v>
      </c>
      <c r="C34" s="548"/>
      <c r="D34" s="548"/>
      <c r="E34" s="548"/>
      <c r="F34" s="548"/>
      <c r="G34" s="548"/>
      <c r="H34" s="549"/>
      <c r="J34" s="36"/>
    </row>
    <row r="35" spans="2:10" ht="16.899999999999999" customHeight="1" x14ac:dyDescent="0.25">
      <c r="B35" s="550"/>
      <c r="C35" s="551"/>
      <c r="D35" s="53"/>
      <c r="E35" s="53"/>
      <c r="F35" s="53"/>
      <c r="G35" s="53"/>
      <c r="H35" s="51">
        <f>D35-(E35+F35+G35)</f>
        <v>0</v>
      </c>
      <c r="J35" s="36"/>
    </row>
    <row r="36" spans="2:10" ht="16.899999999999999" customHeight="1" x14ac:dyDescent="0.25">
      <c r="B36" s="495"/>
      <c r="C36" s="496"/>
      <c r="D36" s="41"/>
      <c r="E36" s="41"/>
      <c r="F36" s="41"/>
      <c r="G36" s="41"/>
      <c r="H36" s="51">
        <f t="shared" ref="H36:H42" si="1">D36-(E36+F36+G36)</f>
        <v>0</v>
      </c>
      <c r="J36" s="36"/>
    </row>
    <row r="37" spans="2:10" ht="16.899999999999999" customHeight="1" x14ac:dyDescent="0.25">
      <c r="B37" s="495"/>
      <c r="C37" s="496"/>
      <c r="D37" s="41"/>
      <c r="E37" s="41"/>
      <c r="F37" s="41"/>
      <c r="G37" s="41"/>
      <c r="H37" s="51">
        <f t="shared" si="1"/>
        <v>0</v>
      </c>
      <c r="J37" s="36"/>
    </row>
    <row r="38" spans="2:10" ht="16.899999999999999" customHeight="1" x14ac:dyDescent="0.25">
      <c r="B38" s="495"/>
      <c r="C38" s="496"/>
      <c r="D38" s="63"/>
      <c r="E38" s="63"/>
      <c r="F38" s="63"/>
      <c r="G38" s="63"/>
      <c r="H38" s="51">
        <f t="shared" si="1"/>
        <v>0</v>
      </c>
      <c r="J38" s="36"/>
    </row>
    <row r="39" spans="2:10" ht="16.899999999999999" customHeight="1" x14ac:dyDescent="0.25">
      <c r="B39" s="495"/>
      <c r="C39" s="496"/>
      <c r="D39" s="63"/>
      <c r="E39" s="63"/>
      <c r="F39" s="63"/>
      <c r="G39" s="63"/>
      <c r="H39" s="51">
        <f t="shared" si="1"/>
        <v>0</v>
      </c>
      <c r="J39" s="36"/>
    </row>
    <row r="40" spans="2:10" ht="16.899999999999999" customHeight="1" x14ac:dyDescent="0.25">
      <c r="B40" s="495"/>
      <c r="C40" s="496"/>
      <c r="D40" s="63"/>
      <c r="E40" s="63"/>
      <c r="F40" s="63"/>
      <c r="G40" s="63"/>
      <c r="H40" s="51">
        <f t="shared" si="1"/>
        <v>0</v>
      </c>
      <c r="J40" s="36"/>
    </row>
    <row r="41" spans="2:10" ht="16.899999999999999" customHeight="1" x14ac:dyDescent="0.25">
      <c r="B41" s="495"/>
      <c r="C41" s="496"/>
      <c r="D41" s="63"/>
      <c r="E41" s="63"/>
      <c r="F41" s="63"/>
      <c r="G41" s="63"/>
      <c r="H41" s="51">
        <f t="shared" si="1"/>
        <v>0</v>
      </c>
      <c r="J41" s="36"/>
    </row>
    <row r="42" spans="2:10" ht="16.899999999999999" customHeight="1" thickBot="1" x14ac:dyDescent="0.3">
      <c r="B42" s="543" t="s">
        <v>42</v>
      </c>
      <c r="C42" s="544"/>
      <c r="D42" s="47">
        <f>SUM(D35:D41)</f>
        <v>0</v>
      </c>
      <c r="E42" s="47">
        <f t="shared" ref="E42:G42" si="2">SUM(E35:E41)</f>
        <v>0</v>
      </c>
      <c r="F42" s="47">
        <f t="shared" si="2"/>
        <v>0</v>
      </c>
      <c r="G42" s="47">
        <f t="shared" si="2"/>
        <v>0</v>
      </c>
      <c r="H42" s="106">
        <f t="shared" si="1"/>
        <v>0</v>
      </c>
      <c r="J42" s="36"/>
    </row>
    <row r="43" spans="2:10" ht="16.899999999999999" customHeight="1" thickTop="1" thickBot="1" x14ac:dyDescent="0.3">
      <c r="B43" s="461" t="s">
        <v>9</v>
      </c>
      <c r="C43" s="463"/>
      <c r="D43" s="44">
        <f>ROUND(D31+D42,0)</f>
        <v>0</v>
      </c>
      <c r="E43" s="44">
        <f>ROUND(E31+E42,0)</f>
        <v>0</v>
      </c>
      <c r="F43" s="44">
        <f>ROUND(F31+F42,0)</f>
        <v>0</v>
      </c>
      <c r="G43" s="44">
        <f>ROUND(G31+G42,0)</f>
        <v>0</v>
      </c>
      <c r="H43" s="45">
        <f>ROUND(H31+H42,0)</f>
        <v>0</v>
      </c>
      <c r="J43" s="36"/>
    </row>
    <row r="44" spans="2:10" ht="16.899999999999999" customHeight="1" thickBot="1" x14ac:dyDescent="0.3">
      <c r="B44" s="497" t="s">
        <v>347</v>
      </c>
      <c r="C44" s="498"/>
      <c r="D44" s="498"/>
      <c r="E44" s="498"/>
      <c r="F44" s="498"/>
      <c r="G44" s="84" t="str">
        <f>IF(DistrictName&lt;&gt;0,'2. L-2 Worksheet'!I80+'2. L-2 Worksheet'!I84,"")</f>
        <v/>
      </c>
      <c r="H44" s="85"/>
      <c r="J44" s="36"/>
    </row>
    <row r="45" spans="2:10" ht="16.899999999999999" customHeight="1" x14ac:dyDescent="0.25">
      <c r="B45" s="541" t="str">
        <f>IF(SCOstatus="No","","I, the undersigned, attest that a public hearing was held and a resolution was adopted to:")</f>
        <v>I, the undersigned, attest that a public hearing was held and a resolution was adopted to:</v>
      </c>
      <c r="C45" s="542"/>
      <c r="D45" s="542"/>
      <c r="E45" s="542"/>
      <c r="F45" s="542"/>
      <c r="G45" s="30" t="str">
        <f>IF(SCOstatus="No","","Max Reserved Forgone:")</f>
        <v>Max Reserved Forgone:</v>
      </c>
      <c r="H45" s="32" t="str">
        <f>IF(DistrictName="","", IF(SCOstatus="No",0,
    MIN(ROUND(HighestofLast3yrs*0.03,0) +
          MIN((NewConstructionBudgetIncrease + AnnexationBudgetIncrease),
              ROUND(HighestofLast3yrs*0.05,0)) + URbudgetIncrease,
        MAX((MaxNonExemptLevy-('2. L-2 Worksheet'!I22+'2. L-2 Worksheet'!I23)+ROUND(HighestofLast3yrs*0.03,0))-NonExemptLevyAmount,0))))</f>
        <v/>
      </c>
      <c r="J45" s="36"/>
    </row>
    <row r="46" spans="2:10" ht="16.899999999999999" customHeight="1" x14ac:dyDescent="0.25">
      <c r="B46" s="92"/>
      <c r="C46" s="516" t="str">
        <f>IF(SCOstatus="No","","RESERVE the current year's forgone amount, OR")</f>
        <v>RESERVE the current year's forgone amount, OR</v>
      </c>
      <c r="D46" s="516"/>
      <c r="E46" s="516"/>
      <c r="F46" s="516"/>
      <c r="G46" s="19" t="str">
        <f>IF(SCOstatus="No","","Reserved Forgone:")</f>
        <v>Reserved Forgone:</v>
      </c>
      <c r="H46" s="94"/>
      <c r="J46" s="35"/>
    </row>
    <row r="47" spans="2:10" ht="16.899999999999999" customHeight="1" x14ac:dyDescent="0.25">
      <c r="B47" s="93"/>
      <c r="C47" s="516" t="str">
        <f>IF(SCOstatus="No","","RECOVER forgone amounts (line 26 + line 27 of the 'L-2 Worksheet')")</f>
        <v>RECOVER forgone amounts (line 26 + line 27 of the 'L-2 Worksheet')</v>
      </c>
      <c r="D47" s="516"/>
      <c r="E47" s="516"/>
      <c r="F47" s="516"/>
      <c r="G47" s="18" t="str">
        <f>IF(SCOstatus="No","","Recovered Forgone:")</f>
        <v>Recovered Forgone:</v>
      </c>
      <c r="H47" s="21">
        <f>SUM('2. L-2 Worksheet'!G69:G70)</f>
        <v>0</v>
      </c>
    </row>
    <row r="48" spans="2:10" ht="16.899999999999999" customHeight="1" x14ac:dyDescent="0.25">
      <c r="B48" s="452"/>
      <c r="C48" s="453"/>
      <c r="D48" s="453"/>
      <c r="E48" s="453"/>
      <c r="F48" s="453"/>
      <c r="G48" s="453"/>
      <c r="H48" s="454"/>
    </row>
    <row r="49" spans="2:8" ht="16.899999999999999" customHeight="1" thickBot="1" x14ac:dyDescent="0.3">
      <c r="B49" s="472" t="str">
        <f>IF(SCOstatus="No","",
    IF(SUM('2. L-2 Worksheet'!G69:G70)&gt;0,
       "I have attached the adopted and signed resolution indicating the amount of forgone to be recovered.",
       "I intend to submit a resolution to reserve this year's forgone amount to the STC by 12/31/2025."))</f>
        <v>I intend to submit a resolution to reserve this year's forgone amount to the STC by 12/31/2025.</v>
      </c>
      <c r="C49" s="473"/>
      <c r="D49" s="473"/>
      <c r="E49" s="473"/>
      <c r="F49" s="473"/>
      <c r="G49" s="18" t="str">
        <f>IF(SCOstatus="No","","Initials:")</f>
        <v>Initials:</v>
      </c>
      <c r="H49" s="76"/>
    </row>
    <row r="50" spans="2:8" ht="16.899999999999999" customHeight="1" x14ac:dyDescent="0.25">
      <c r="B50" s="466" t="s">
        <v>16</v>
      </c>
      <c r="C50" s="467"/>
      <c r="D50" s="467"/>
      <c r="E50" s="467"/>
      <c r="F50" s="467"/>
      <c r="G50" s="467"/>
      <c r="H50" s="468"/>
    </row>
    <row r="51" spans="2:8" ht="16.899999999999999" customHeight="1" x14ac:dyDescent="0.25">
      <c r="B51" s="469"/>
      <c r="C51" s="470"/>
      <c r="D51" s="470"/>
      <c r="E51" s="470"/>
      <c r="F51" s="470"/>
      <c r="G51" s="470"/>
      <c r="H51" s="471"/>
    </row>
    <row r="52" spans="2:8" ht="16.899999999999999" customHeight="1" x14ac:dyDescent="0.25">
      <c r="B52" s="514"/>
      <c r="C52" s="508"/>
      <c r="D52" s="512"/>
      <c r="E52" s="508"/>
      <c r="F52" s="507"/>
      <c r="G52" s="508"/>
      <c r="H52" s="482"/>
    </row>
    <row r="53" spans="2:8" ht="16.899999999999999" customHeight="1" x14ac:dyDescent="0.25">
      <c r="B53" s="515"/>
      <c r="C53" s="510"/>
      <c r="D53" s="513"/>
      <c r="E53" s="510"/>
      <c r="F53" s="509"/>
      <c r="G53" s="510"/>
      <c r="H53" s="483"/>
    </row>
    <row r="54" spans="2:8" ht="16.899999999999999" customHeight="1" x14ac:dyDescent="0.25">
      <c r="B54" s="511" t="s">
        <v>143</v>
      </c>
      <c r="C54" s="500"/>
      <c r="D54" s="499" t="s">
        <v>8</v>
      </c>
      <c r="E54" s="500"/>
      <c r="F54" s="499" t="s">
        <v>7</v>
      </c>
      <c r="G54" s="500"/>
      <c r="H54" s="117" t="s">
        <v>6</v>
      </c>
    </row>
    <row r="55" spans="2:8" ht="16.899999999999999" customHeight="1" x14ac:dyDescent="0.25">
      <c r="B55" s="504"/>
      <c r="C55" s="505"/>
      <c r="D55" s="505"/>
      <c r="E55" s="506"/>
      <c r="F55" s="484"/>
      <c r="G55" s="485"/>
      <c r="H55" s="486"/>
    </row>
    <row r="56" spans="2:8" ht="16.899999999999999" customHeight="1" x14ac:dyDescent="0.25">
      <c r="B56" s="501"/>
      <c r="C56" s="502"/>
      <c r="D56" s="502"/>
      <c r="E56" s="503"/>
      <c r="F56" s="487"/>
      <c r="G56" s="488"/>
      <c r="H56" s="489"/>
    </row>
    <row r="57" spans="2:8" ht="16.899999999999999" customHeight="1" x14ac:dyDescent="0.25">
      <c r="B57" s="479"/>
      <c r="C57" s="480"/>
      <c r="D57" s="480"/>
      <c r="E57" s="481"/>
      <c r="F57" s="490"/>
      <c r="G57" s="491"/>
      <c r="H57" s="492"/>
    </row>
    <row r="58" spans="2:8" ht="16.899999999999999" customHeight="1" x14ac:dyDescent="0.25">
      <c r="B58" s="477" t="s">
        <v>12</v>
      </c>
      <c r="C58" s="475"/>
      <c r="D58" s="475"/>
      <c r="E58" s="478"/>
      <c r="F58" s="474" t="s">
        <v>13</v>
      </c>
      <c r="G58" s="475"/>
      <c r="H58" s="476"/>
    </row>
    <row r="59" spans="2:8" ht="16.899999999999999" customHeight="1" x14ac:dyDescent="0.25">
      <c r="B59" s="455"/>
      <c r="C59" s="456"/>
      <c r="D59" s="456"/>
      <c r="E59" s="457"/>
      <c r="F59" s="464"/>
      <c r="G59" s="456"/>
      <c r="H59" s="465"/>
    </row>
    <row r="60" spans="2:8" ht="16.899999999999999" customHeight="1" thickBot="1" x14ac:dyDescent="0.3">
      <c r="B60" s="461" t="s">
        <v>14</v>
      </c>
      <c r="C60" s="462"/>
      <c r="D60" s="462"/>
      <c r="E60" s="463"/>
      <c r="F60" s="458" t="s">
        <v>15</v>
      </c>
      <c r="G60" s="459"/>
      <c r="H60" s="460"/>
    </row>
    <row r="61" spans="2:8" ht="16.899999999999999" customHeight="1" x14ac:dyDescent="0.25">
      <c r="B61" s="385" t="s">
        <v>40</v>
      </c>
      <c r="C61" s="385"/>
      <c r="D61" s="385"/>
      <c r="E61" s="385"/>
      <c r="F61" s="385"/>
      <c r="G61" s="385"/>
      <c r="H61" s="385"/>
    </row>
    <row r="62" spans="2:8" ht="16.899999999999999" customHeight="1" x14ac:dyDescent="0.25">
      <c r="B62" s="451" t="s">
        <v>136</v>
      </c>
      <c r="C62" s="451"/>
      <c r="D62" s="451"/>
      <c r="E62" s="451"/>
      <c r="F62" s="451"/>
      <c r="G62" s="451"/>
      <c r="H62" s="451"/>
    </row>
    <row r="63" spans="2:8" ht="16.899999999999999" customHeight="1" x14ac:dyDescent="0.25">
      <c r="B63" s="451" t="s">
        <v>114</v>
      </c>
      <c r="C63" s="451"/>
      <c r="D63" s="451"/>
      <c r="E63" s="451"/>
      <c r="F63" s="451"/>
      <c r="G63" s="451"/>
      <c r="H63" s="451"/>
    </row>
    <row r="71" spans="2:8" ht="16.899999999999999" customHeight="1" x14ac:dyDescent="0.25">
      <c r="B71" s="5"/>
      <c r="C71" s="5"/>
      <c r="D71" s="4"/>
      <c r="E71" s="4"/>
      <c r="F71" s="4"/>
      <c r="G71" s="4"/>
      <c r="H71" s="4"/>
    </row>
    <row r="72" spans="2:8" ht="16.899999999999999" customHeight="1" x14ac:dyDescent="0.25">
      <c r="B72" s="6"/>
      <c r="C72" s="6"/>
    </row>
  </sheetData>
  <sheetProtection algorithmName="SHA-512" hashValue="fPWe3aj7uEAkGQb341/53BT7/btLQgerOkRL5Z4ZUxt0IBPUGTj1PLfHjF0oQ/fF2p/OvNZpfER7BOoDo7DrOg==" saltValue="Os/j3c/78kPY41w3r7BgvA==" spinCount="100000" sheet="1" selectLockedCells="1"/>
  <mergeCells count="71">
    <mergeCell ref="B28:C28"/>
    <mergeCell ref="B4:H4"/>
    <mergeCell ref="B26:C26"/>
    <mergeCell ref="B45:F45"/>
    <mergeCell ref="B42:C42"/>
    <mergeCell ref="B39:C39"/>
    <mergeCell ref="B40:C40"/>
    <mergeCell ref="B41:C41"/>
    <mergeCell ref="B31:C31"/>
    <mergeCell ref="B37:C37"/>
    <mergeCell ref="B38:C38"/>
    <mergeCell ref="B34:H34"/>
    <mergeCell ref="B36:C36"/>
    <mergeCell ref="B35:C35"/>
    <mergeCell ref="B33:H33"/>
    <mergeCell ref="C32:G32"/>
    <mergeCell ref="B1:H1"/>
    <mergeCell ref="B25:C25"/>
    <mergeCell ref="B24:C24"/>
    <mergeCell ref="B23:C23"/>
    <mergeCell ref="B27:C27"/>
    <mergeCell ref="B11:C11"/>
    <mergeCell ref="B2:H2"/>
    <mergeCell ref="B3:H3"/>
    <mergeCell ref="G5:G7"/>
    <mergeCell ref="F5:F7"/>
    <mergeCell ref="E5:E7"/>
    <mergeCell ref="D5:D7"/>
    <mergeCell ref="H5:H7"/>
    <mergeCell ref="B5:C7"/>
    <mergeCell ref="B10:C10"/>
    <mergeCell ref="B9:C9"/>
    <mergeCell ref="B43:C43"/>
    <mergeCell ref="B44:F44"/>
    <mergeCell ref="F54:G54"/>
    <mergeCell ref="B56:E56"/>
    <mergeCell ref="B55:E55"/>
    <mergeCell ref="F52:G53"/>
    <mergeCell ref="D54:E54"/>
    <mergeCell ref="B54:C54"/>
    <mergeCell ref="D52:E53"/>
    <mergeCell ref="B52:C53"/>
    <mergeCell ref="C47:F47"/>
    <mergeCell ref="C46:F46"/>
    <mergeCell ref="B8:C8"/>
    <mergeCell ref="B13:C13"/>
    <mergeCell ref="B12:C12"/>
    <mergeCell ref="B22:C22"/>
    <mergeCell ref="B21:C21"/>
    <mergeCell ref="B17:C17"/>
    <mergeCell ref="B16:C16"/>
    <mergeCell ref="B20:C20"/>
    <mergeCell ref="B19:C19"/>
    <mergeCell ref="B15:C15"/>
    <mergeCell ref="B14:C14"/>
    <mergeCell ref="B18:C18"/>
    <mergeCell ref="B61:H61"/>
    <mergeCell ref="B62:H62"/>
    <mergeCell ref="B63:H63"/>
    <mergeCell ref="B48:H48"/>
    <mergeCell ref="B59:E59"/>
    <mergeCell ref="F60:H60"/>
    <mergeCell ref="B60:E60"/>
    <mergeCell ref="F59:H59"/>
    <mergeCell ref="B50:H51"/>
    <mergeCell ref="B49:F49"/>
    <mergeCell ref="F58:H58"/>
    <mergeCell ref="B58:E58"/>
    <mergeCell ref="B57:E57"/>
    <mergeCell ref="H52:H53"/>
    <mergeCell ref="F55:H57"/>
  </mergeCells>
  <conditionalFormatting sqref="G43">
    <cfRule type="expression" dxfId="22" priority="12">
      <formula>AND($G$44&lt;&gt;"",$G$44&lt;&gt;$G$43)</formula>
    </cfRule>
  </conditionalFormatting>
  <conditionalFormatting sqref="H9:H30 H35:H42">
    <cfRule type="cellIs" dxfId="21" priority="15" operator="lessThan">
      <formula>0</formula>
    </cfRule>
  </conditionalFormatting>
  <conditionalFormatting sqref="H27">
    <cfRule type="cellIs" dxfId="19" priority="16" operator="notEqual">
      <formula>0</formula>
    </cfRule>
  </conditionalFormatting>
  <conditionalFormatting sqref="H45">
    <cfRule type="expression" dxfId="18" priority="6">
      <formula>SUM($D$9:$G$30)=0</formula>
    </cfRule>
    <cfRule type="expression" dxfId="17" priority="7">
      <formula>AND($H$45&gt;0,$H$47&gt;0)</formula>
    </cfRule>
    <cfRule type="cellIs" dxfId="16" priority="8" operator="lessThan">
      <formula>0</formula>
    </cfRule>
  </conditionalFormatting>
  <conditionalFormatting sqref="H45:H47">
    <cfRule type="expression" dxfId="15" priority="1">
      <formula>SCOstatus="No"</formula>
    </cfRule>
  </conditionalFormatting>
  <conditionalFormatting sqref="H46">
    <cfRule type="expression" dxfId="14" priority="2">
      <formula>$H$46&gt;$H$45</formula>
    </cfRule>
    <cfRule type="expression" dxfId="13" priority="43">
      <formula>AND($H$46&gt;0,$H$47&gt;0)</formula>
    </cfRule>
  </conditionalFormatting>
  <conditionalFormatting sqref="H49">
    <cfRule type="expression" dxfId="12" priority="3">
      <formula>SCOstatus="No"</formula>
    </cfRule>
  </conditionalFormatting>
  <printOptions horizontalCentered="1" verticalCentered="1"/>
  <pageMargins left="0.25" right="0.25" top="0.25" bottom="0.25" header="0.5" footer="0.1"/>
  <pageSetup scale="68" orientation="portrait"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expression" priority="45" id="{849C13D6-ED62-0F46-9F63-99A8A21E9787}">
            <xm:f>$G$31&gt;SUM('2. L-2 Worksheet'!$I$80,'2. L-2 Worksheet'!$I$84)</xm:f>
            <x14:dxf>
              <font>
                <color rgb="FF9C0006"/>
              </font>
              <fill>
                <patternFill>
                  <bgColor rgb="FFFFC7CE"/>
                </patternFill>
              </fill>
            </x14:dxf>
          </x14:cfRule>
          <xm:sqref>G9:G31 G35:G42</xm:sqref>
        </x14:conditionalFormatting>
        <x14:conditionalFormatting xmlns:xm="http://schemas.microsoft.com/office/excel/2006/main">
          <x14:cfRule type="expression" priority="9" id="{CA2ED6C6-827D-4524-BB40-5DB67B712A3B}">
            <xm:f>$H$31&gt;'2. L-2 Worksheet'!$I$86</xm:f>
            <x14:dxf>
              <font>
                <color rgb="FF9C0006"/>
              </font>
              <fill>
                <patternFill>
                  <bgColor rgb="FFFFC7CE"/>
                </patternFill>
              </fill>
            </x14:dxf>
          </x14:cfRule>
          <xm:sqref>H9:H31 H43</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A73C7-8D8D-4856-840F-F12A31A11979}">
  <dimension ref="A1:M30"/>
  <sheetViews>
    <sheetView zoomScaleNormal="100" workbookViewId="0">
      <selection activeCell="D31" sqref="D31"/>
    </sheetView>
  </sheetViews>
  <sheetFormatPr defaultRowHeight="15.75" x14ac:dyDescent="0.25"/>
  <cols>
    <col min="1" max="1" width="7.375" bestFit="1" customWidth="1"/>
    <col min="2" max="2" width="16.625" customWidth="1"/>
    <col min="3" max="3" width="5.875" bestFit="1" customWidth="1"/>
    <col min="4" max="4" width="29.875" customWidth="1"/>
    <col min="5" max="5" width="18.625" bestFit="1" customWidth="1"/>
    <col min="6" max="6" width="11.375" bestFit="1" customWidth="1"/>
    <col min="7" max="7" width="12.5" bestFit="1" customWidth="1"/>
    <col min="8" max="8" width="26.875" bestFit="1" customWidth="1"/>
    <col min="9" max="9" width="12.375" bestFit="1" customWidth="1"/>
    <col min="10" max="10" width="15.25" customWidth="1"/>
    <col min="11" max="11" width="13" customWidth="1"/>
    <col min="12" max="12" width="12.25" style="165" customWidth="1"/>
    <col min="13" max="13" width="8.125" style="180" bestFit="1" customWidth="1"/>
  </cols>
  <sheetData>
    <row r="1" spans="1:13" x14ac:dyDescent="0.25">
      <c r="A1" s="111" t="s">
        <v>314</v>
      </c>
      <c r="B1" s="111" t="s">
        <v>68</v>
      </c>
      <c r="C1" s="111" t="s">
        <v>357</v>
      </c>
      <c r="D1" s="111" t="s">
        <v>358</v>
      </c>
      <c r="E1" s="111" t="s">
        <v>359</v>
      </c>
      <c r="F1" s="111" t="s">
        <v>360</v>
      </c>
      <c r="G1" s="111" t="s">
        <v>361</v>
      </c>
      <c r="H1" s="111" t="s">
        <v>362</v>
      </c>
      <c r="I1" s="111" t="s">
        <v>363</v>
      </c>
      <c r="J1" s="111" t="s">
        <v>364</v>
      </c>
      <c r="K1" s="111" t="s">
        <v>365</v>
      </c>
      <c r="L1" s="181" t="s">
        <v>366</v>
      </c>
      <c r="M1" s="176" t="s">
        <v>367</v>
      </c>
    </row>
    <row r="2" spans="1:13" x14ac:dyDescent="0.25">
      <c r="A2" t="str">
        <f>IF('3. L-2 Dollar Certification'!$B9&lt;&gt;"",
    LEFT('1. Dashboard'!$B$8,4),
    "")</f>
        <v/>
      </c>
      <c r="B2" t="str">
        <f>IF('3. L-2 Dollar Certification'!$B9&lt;&gt;"",
    DistrictName,
    "")</f>
        <v/>
      </c>
      <c r="C2" t="str">
        <f>IF('3. L-2 Dollar Certification'!$B9&lt;&gt;"",
    RIGHT(Review_Extract_Data!$C$2,
          LEN(Review_Extract_Data!$C$2)-SEARCH("-",Review_Extract_Data!$C$2)),
    "")</f>
        <v/>
      </c>
      <c r="D2" t="str">
        <f>IF('3. L-2 Dollar Certification'!$B9&lt;&gt;"",
    '3. L-2 Dollar Certification'!B9,
    "")</f>
        <v/>
      </c>
      <c r="E2" s="173">
        <f>'3. L-2 Dollar Certification'!D9</f>
        <v>0</v>
      </c>
      <c r="F2" s="173">
        <f>'3. L-2 Dollar Certification'!E9</f>
        <v>0</v>
      </c>
      <c r="G2" s="173">
        <f>'3. L-2 Dollar Certification'!F9</f>
        <v>0</v>
      </c>
      <c r="H2" s="173">
        <f>'3. L-2 Dollar Certification'!G9</f>
        <v>0</v>
      </c>
      <c r="I2" s="173">
        <f>'3. L-2 Dollar Certification'!H9</f>
        <v>0</v>
      </c>
      <c r="J2" s="71" t="str">
        <f>IF($I2&lt;&gt;0,'4. Levy Rate Calculation'!$C$15,"")</f>
        <v/>
      </c>
      <c r="K2" s="71" t="str">
        <f>IF($I2&lt;&gt;0,'4. Levy Rate Calculation'!D20,"")</f>
        <v/>
      </c>
      <c r="L2" s="164" t="str">
        <f>IF($I2&lt;&gt;0,'4. Levy Rate Calculation'!F20,"")</f>
        <v/>
      </c>
      <c r="M2" s="177" t="str">
        <f>IF($I2&lt;&gt;0,'4. Levy Rate Calculation'!G20,"")</f>
        <v/>
      </c>
    </row>
    <row r="3" spans="1:13" x14ac:dyDescent="0.25">
      <c r="A3" t="str">
        <f>IF('3. L-2 Dollar Certification'!$B10&lt;&gt;"",
    LEFT('1. Dashboard'!$B$8,4),
    "")</f>
        <v/>
      </c>
      <c r="B3" t="str">
        <f>IF('3. L-2 Dollar Certification'!$B10&lt;&gt;"",
    DistrictName,
    "")</f>
        <v/>
      </c>
      <c r="C3" t="str">
        <f>IF('3. L-2 Dollar Certification'!$B10&lt;&gt;"",
    RIGHT(Review_Extract_Data!$C$2,
          LEN(Review_Extract_Data!$C$2)-SEARCH("-",Review_Extract_Data!$C$2)),
    "")</f>
        <v/>
      </c>
      <c r="D3" t="str">
        <f>IF('3. L-2 Dollar Certification'!$B10&lt;&gt;"",
    '3. L-2 Dollar Certification'!B10,
    "")</f>
        <v/>
      </c>
      <c r="E3" s="173">
        <f>'3. L-2 Dollar Certification'!D10</f>
        <v>0</v>
      </c>
      <c r="F3" s="173">
        <f>'3. L-2 Dollar Certification'!E10</f>
        <v>0</v>
      </c>
      <c r="G3" s="173">
        <f>'3. L-2 Dollar Certification'!F10</f>
        <v>0</v>
      </c>
      <c r="H3" s="173">
        <f>'3. L-2 Dollar Certification'!G10</f>
        <v>0</v>
      </c>
      <c r="I3" s="173">
        <f>'3. L-2 Dollar Certification'!H10</f>
        <v>0</v>
      </c>
      <c r="J3" s="71" t="str">
        <f>IF($I3&lt;&gt;0,'4. Levy Rate Calculation'!$C$15,"")</f>
        <v/>
      </c>
      <c r="K3" s="71" t="str">
        <f>IF($I3&lt;&gt;0,'4. Levy Rate Calculation'!D21,"")</f>
        <v/>
      </c>
      <c r="L3" s="164" t="str">
        <f>IF($I3&lt;&gt;0,'4. Levy Rate Calculation'!F21,"")</f>
        <v/>
      </c>
      <c r="M3" s="177" t="str">
        <f>IF($I3&lt;&gt;0,'4. Levy Rate Calculation'!G21,"")</f>
        <v/>
      </c>
    </row>
    <row r="4" spans="1:13" x14ac:dyDescent="0.25">
      <c r="A4" t="str">
        <f>IF('3. L-2 Dollar Certification'!$B11&lt;&gt;"",
    LEFT('1. Dashboard'!$B$8,4),
    "")</f>
        <v/>
      </c>
      <c r="B4" t="str">
        <f>IF('3. L-2 Dollar Certification'!$B11&lt;&gt;"",
    DistrictName,
    "")</f>
        <v/>
      </c>
      <c r="C4" t="str">
        <f>IF('3. L-2 Dollar Certification'!$B11&lt;&gt;"",
    RIGHT(Review_Extract_Data!$C$2,
          LEN(Review_Extract_Data!$C$2)-SEARCH("-",Review_Extract_Data!$C$2)),
    "")</f>
        <v/>
      </c>
      <c r="D4" t="str">
        <f>IF('3. L-2 Dollar Certification'!$B11&lt;&gt;"",
    '3. L-2 Dollar Certification'!B11,
    "")</f>
        <v/>
      </c>
      <c r="E4" s="173">
        <f>'3. L-2 Dollar Certification'!D11</f>
        <v>0</v>
      </c>
      <c r="F4" s="173">
        <f>'3. L-2 Dollar Certification'!E11</f>
        <v>0</v>
      </c>
      <c r="G4" s="173">
        <f>'3. L-2 Dollar Certification'!F11</f>
        <v>0</v>
      </c>
      <c r="H4" s="173">
        <f>'3. L-2 Dollar Certification'!G11</f>
        <v>0</v>
      </c>
      <c r="I4" s="173">
        <f>'3. L-2 Dollar Certification'!H11</f>
        <v>0</v>
      </c>
      <c r="J4" s="71" t="str">
        <f>IF($I4&lt;&gt;0,'4. Levy Rate Calculation'!$C$15,"")</f>
        <v/>
      </c>
      <c r="K4" s="71" t="str">
        <f>IF($I4&lt;&gt;0,'4. Levy Rate Calculation'!D22,"")</f>
        <v/>
      </c>
      <c r="L4" s="164" t="str">
        <f>IF($I4&lt;&gt;0,'4. Levy Rate Calculation'!F22,"")</f>
        <v/>
      </c>
      <c r="M4" s="177" t="str">
        <f>IF($I4&lt;&gt;0,'4. Levy Rate Calculation'!G22,"")</f>
        <v/>
      </c>
    </row>
    <row r="5" spans="1:13" x14ac:dyDescent="0.25">
      <c r="A5" t="str">
        <f>IF('3. L-2 Dollar Certification'!$B12&lt;&gt;"",
    LEFT('1. Dashboard'!$B$8,4),
    "")</f>
        <v/>
      </c>
      <c r="B5" t="str">
        <f>IF('3. L-2 Dollar Certification'!$B12&lt;&gt;"",
    DistrictName,
    "")</f>
        <v/>
      </c>
      <c r="C5" t="str">
        <f>IF('3. L-2 Dollar Certification'!$B12&lt;&gt;"",
    RIGHT(Review_Extract_Data!$C$2,
          LEN(Review_Extract_Data!$C$2)-SEARCH("-",Review_Extract_Data!$C$2)),
    "")</f>
        <v/>
      </c>
      <c r="D5" t="str">
        <f>IF('3. L-2 Dollar Certification'!$B12&lt;&gt;"",
    '3. L-2 Dollar Certification'!B12,
    "")</f>
        <v/>
      </c>
      <c r="E5" s="173">
        <f>'3. L-2 Dollar Certification'!D12</f>
        <v>0</v>
      </c>
      <c r="F5" s="173">
        <f>'3. L-2 Dollar Certification'!E12</f>
        <v>0</v>
      </c>
      <c r="G5" s="173">
        <f>'3. L-2 Dollar Certification'!F12</f>
        <v>0</v>
      </c>
      <c r="H5" s="173">
        <f>'3. L-2 Dollar Certification'!G12</f>
        <v>0</v>
      </c>
      <c r="I5" s="173">
        <f>'3. L-2 Dollar Certification'!H12</f>
        <v>0</v>
      </c>
      <c r="J5" s="71" t="str">
        <f>IF($I5&lt;&gt;0,'4. Levy Rate Calculation'!$C$15,"")</f>
        <v/>
      </c>
      <c r="K5" s="71" t="str">
        <f>IF($I5&lt;&gt;0,'4. Levy Rate Calculation'!D23,"")</f>
        <v/>
      </c>
      <c r="L5" s="164" t="str">
        <f>IF($I5&lt;&gt;0,'4. Levy Rate Calculation'!F23,"")</f>
        <v/>
      </c>
      <c r="M5" s="177" t="str">
        <f>IF($I5&lt;&gt;0,'4. Levy Rate Calculation'!G23,"")</f>
        <v/>
      </c>
    </row>
    <row r="6" spans="1:13" x14ac:dyDescent="0.25">
      <c r="A6" t="str">
        <f>IF('3. L-2 Dollar Certification'!$B13&lt;&gt;"",
    LEFT('1. Dashboard'!$B$8,4),
    "")</f>
        <v/>
      </c>
      <c r="B6" t="str">
        <f>IF('3. L-2 Dollar Certification'!$B13&lt;&gt;"",
    DistrictName,
    "")</f>
        <v/>
      </c>
      <c r="C6" t="str">
        <f>IF('3. L-2 Dollar Certification'!$B13&lt;&gt;"",
    RIGHT(Review_Extract_Data!$C$2,
          LEN(Review_Extract_Data!$C$2)-SEARCH("-",Review_Extract_Data!$C$2)),
    "")</f>
        <v/>
      </c>
      <c r="D6" t="str">
        <f>IF('3. L-2 Dollar Certification'!$B13&lt;&gt;"",
    '3. L-2 Dollar Certification'!B13,
    "")</f>
        <v/>
      </c>
      <c r="E6" s="173">
        <f>'3. L-2 Dollar Certification'!D13</f>
        <v>0</v>
      </c>
      <c r="F6" s="173">
        <f>'3. L-2 Dollar Certification'!E13</f>
        <v>0</v>
      </c>
      <c r="G6" s="173">
        <f>'3. L-2 Dollar Certification'!F13</f>
        <v>0</v>
      </c>
      <c r="H6" s="173">
        <f>'3. L-2 Dollar Certification'!G13</f>
        <v>0</v>
      </c>
      <c r="I6" s="173">
        <f>'3. L-2 Dollar Certification'!H13</f>
        <v>0</v>
      </c>
      <c r="J6" s="71" t="str">
        <f>IF($I6&lt;&gt;0,'4. Levy Rate Calculation'!$C$15,"")</f>
        <v/>
      </c>
      <c r="K6" s="71" t="str">
        <f>IF($I6&lt;&gt;0,'4. Levy Rate Calculation'!D24,"")</f>
        <v/>
      </c>
      <c r="L6" s="164" t="str">
        <f>IF($I6&lt;&gt;0,'4. Levy Rate Calculation'!F24,"")</f>
        <v/>
      </c>
      <c r="M6" s="177" t="str">
        <f>IF($I6&lt;&gt;0,'4. Levy Rate Calculation'!G24,"")</f>
        <v/>
      </c>
    </row>
    <row r="7" spans="1:13" x14ac:dyDescent="0.25">
      <c r="A7" t="str">
        <f>IF('3. L-2 Dollar Certification'!$B14&lt;&gt;"",
    LEFT('1. Dashboard'!$B$8,4),
    "")</f>
        <v/>
      </c>
      <c r="B7" t="str">
        <f>IF('3. L-2 Dollar Certification'!$B14&lt;&gt;"",
    DistrictName,
    "")</f>
        <v/>
      </c>
      <c r="C7" t="str">
        <f>IF('3. L-2 Dollar Certification'!$B14&lt;&gt;"",
    RIGHT(Review_Extract_Data!$C$2,
          LEN(Review_Extract_Data!$C$2)-SEARCH("-",Review_Extract_Data!$C$2)),
    "")</f>
        <v/>
      </c>
      <c r="D7" t="str">
        <f>IF('3. L-2 Dollar Certification'!$B14&lt;&gt;"",
    '3. L-2 Dollar Certification'!B14,
    "")</f>
        <v/>
      </c>
      <c r="E7" s="173">
        <f>'3. L-2 Dollar Certification'!D14</f>
        <v>0</v>
      </c>
      <c r="F7" s="173">
        <f>'3. L-2 Dollar Certification'!E14</f>
        <v>0</v>
      </c>
      <c r="G7" s="173">
        <f>'3. L-2 Dollar Certification'!F14</f>
        <v>0</v>
      </c>
      <c r="H7" s="173">
        <f>'3. L-2 Dollar Certification'!G14</f>
        <v>0</v>
      </c>
      <c r="I7" s="173">
        <f>'3. L-2 Dollar Certification'!H14</f>
        <v>0</v>
      </c>
      <c r="J7" s="71" t="str">
        <f>IF($I7&lt;&gt;0,'4. Levy Rate Calculation'!$C$15,"")</f>
        <v/>
      </c>
      <c r="K7" s="71" t="str">
        <f>IF($I7&lt;&gt;0,'4. Levy Rate Calculation'!D25,"")</f>
        <v/>
      </c>
      <c r="L7" s="164" t="str">
        <f>IF($I7&lt;&gt;0,'4. Levy Rate Calculation'!F25,"")</f>
        <v/>
      </c>
      <c r="M7" s="177" t="str">
        <f>IF($I7&lt;&gt;0,'4. Levy Rate Calculation'!G25,"")</f>
        <v/>
      </c>
    </row>
    <row r="8" spans="1:13" x14ac:dyDescent="0.25">
      <c r="A8" t="str">
        <f>IF('3. L-2 Dollar Certification'!$B15&lt;&gt;"",
    LEFT('1. Dashboard'!$B$8,4),
    "")</f>
        <v/>
      </c>
      <c r="B8" t="str">
        <f>IF('3. L-2 Dollar Certification'!$B15&lt;&gt;"",
    DistrictName,
    "")</f>
        <v/>
      </c>
      <c r="C8" t="str">
        <f>IF('3. L-2 Dollar Certification'!$B15&lt;&gt;"",
    RIGHT(Review_Extract_Data!$C$2,
          LEN(Review_Extract_Data!$C$2)-SEARCH("-",Review_Extract_Data!$C$2)),
    "")</f>
        <v/>
      </c>
      <c r="D8" t="str">
        <f>IF('3. L-2 Dollar Certification'!$B15&lt;&gt;"",
    '3. L-2 Dollar Certification'!B15,
    "")</f>
        <v/>
      </c>
      <c r="E8" s="173">
        <f>'3. L-2 Dollar Certification'!D15</f>
        <v>0</v>
      </c>
      <c r="F8" s="173">
        <f>'3. L-2 Dollar Certification'!E15</f>
        <v>0</v>
      </c>
      <c r="G8" s="173">
        <f>'3. L-2 Dollar Certification'!F15</f>
        <v>0</v>
      </c>
      <c r="H8" s="173">
        <f>'3. L-2 Dollar Certification'!G15</f>
        <v>0</v>
      </c>
      <c r="I8" s="173">
        <f>'3. L-2 Dollar Certification'!H15</f>
        <v>0</v>
      </c>
      <c r="J8" s="71" t="str">
        <f>IF($I8&lt;&gt;0,'4. Levy Rate Calculation'!$C$15,"")</f>
        <v/>
      </c>
      <c r="K8" s="71" t="str">
        <f>IF($I8&lt;&gt;0,'4. Levy Rate Calculation'!D26,"")</f>
        <v/>
      </c>
      <c r="L8" s="164" t="str">
        <f>IF($I8&lt;&gt;0,'4. Levy Rate Calculation'!F26,"")</f>
        <v/>
      </c>
      <c r="M8" s="177" t="str">
        <f>IF($I8&lt;&gt;0,'4. Levy Rate Calculation'!G26,"")</f>
        <v/>
      </c>
    </row>
    <row r="9" spans="1:13" x14ac:dyDescent="0.25">
      <c r="A9" t="str">
        <f>IF('3. L-2 Dollar Certification'!$B16&lt;&gt;"",
    LEFT('1. Dashboard'!$B$8,4),
    "")</f>
        <v/>
      </c>
      <c r="B9" t="str">
        <f>IF('3. L-2 Dollar Certification'!$B16&lt;&gt;"",
    DistrictName,
    "")</f>
        <v/>
      </c>
      <c r="C9" t="str">
        <f>IF('3. L-2 Dollar Certification'!$B16&lt;&gt;"",
    RIGHT(Review_Extract_Data!$C$2,
          LEN(Review_Extract_Data!$C$2)-SEARCH("-",Review_Extract_Data!$C$2)),
    "")</f>
        <v/>
      </c>
      <c r="D9" t="str">
        <f>IF('3. L-2 Dollar Certification'!$B16&lt;&gt;"",
    '3. L-2 Dollar Certification'!B16,
    "")</f>
        <v/>
      </c>
      <c r="E9" s="173">
        <f>'3. L-2 Dollar Certification'!D16</f>
        <v>0</v>
      </c>
      <c r="F9" s="173">
        <f>'3. L-2 Dollar Certification'!E16</f>
        <v>0</v>
      </c>
      <c r="G9" s="173">
        <f>'3. L-2 Dollar Certification'!F16</f>
        <v>0</v>
      </c>
      <c r="H9" s="173">
        <f>'3. L-2 Dollar Certification'!G16</f>
        <v>0</v>
      </c>
      <c r="I9" s="173">
        <f>'3. L-2 Dollar Certification'!H16</f>
        <v>0</v>
      </c>
      <c r="J9" s="71" t="str">
        <f>IF($I9&lt;&gt;0,'4. Levy Rate Calculation'!$C$15,"")</f>
        <v/>
      </c>
      <c r="K9" s="71" t="str">
        <f>IF($I9&lt;&gt;0,'4. Levy Rate Calculation'!D27,"")</f>
        <v/>
      </c>
      <c r="L9" s="164" t="str">
        <f>IF($I9&lt;&gt;0,'4. Levy Rate Calculation'!F27,"")</f>
        <v/>
      </c>
      <c r="M9" s="177" t="str">
        <f>IF($I9&lt;&gt;0,'4. Levy Rate Calculation'!G27,"")</f>
        <v/>
      </c>
    </row>
    <row r="10" spans="1:13" x14ac:dyDescent="0.25">
      <c r="A10" t="str">
        <f>IF('3. L-2 Dollar Certification'!$B17&lt;&gt;"",
    LEFT('1. Dashboard'!$B$8,4),
    "")</f>
        <v/>
      </c>
      <c r="B10" t="str">
        <f>IF('3. L-2 Dollar Certification'!$B17&lt;&gt;"",
    DistrictName,
    "")</f>
        <v/>
      </c>
      <c r="C10" t="str">
        <f>IF('3. L-2 Dollar Certification'!$B17&lt;&gt;"",
    RIGHT(Review_Extract_Data!$C$2,
          LEN(Review_Extract_Data!$C$2)-SEARCH("-",Review_Extract_Data!$C$2)),
    "")</f>
        <v/>
      </c>
      <c r="D10" t="str">
        <f>IF('3. L-2 Dollar Certification'!$B17&lt;&gt;"",
    '3. L-2 Dollar Certification'!B17,
    "")</f>
        <v/>
      </c>
      <c r="E10" s="173">
        <f>'3. L-2 Dollar Certification'!D17</f>
        <v>0</v>
      </c>
      <c r="F10" s="173">
        <f>'3. L-2 Dollar Certification'!E17</f>
        <v>0</v>
      </c>
      <c r="G10" s="173">
        <f>'3. L-2 Dollar Certification'!F17</f>
        <v>0</v>
      </c>
      <c r="H10" s="173">
        <f>'3. L-2 Dollar Certification'!G17</f>
        <v>0</v>
      </c>
      <c r="I10" s="173">
        <f>'3. L-2 Dollar Certification'!H17</f>
        <v>0</v>
      </c>
      <c r="J10" s="71" t="str">
        <f>IF($I10&lt;&gt;0,'4. Levy Rate Calculation'!$C$15,"")</f>
        <v/>
      </c>
      <c r="K10" s="71" t="str">
        <f>IF($I10&lt;&gt;0,'4. Levy Rate Calculation'!D28,"")</f>
        <v/>
      </c>
      <c r="L10" s="164" t="str">
        <f>IF($I10&lt;&gt;0,'4. Levy Rate Calculation'!F28,"")</f>
        <v/>
      </c>
      <c r="M10" s="177" t="str">
        <f>IF($I10&lt;&gt;0,'4. Levy Rate Calculation'!G28,"")</f>
        <v/>
      </c>
    </row>
    <row r="11" spans="1:13" x14ac:dyDescent="0.25">
      <c r="A11" t="str">
        <f>IF('3. L-2 Dollar Certification'!$B18&lt;&gt;"",
    LEFT('1. Dashboard'!$B$8,4),
    "")</f>
        <v/>
      </c>
      <c r="B11" t="str">
        <f>IF('3. L-2 Dollar Certification'!$B18&lt;&gt;"",
    DistrictName,
    "")</f>
        <v/>
      </c>
      <c r="C11" t="str">
        <f>IF('3. L-2 Dollar Certification'!$B18&lt;&gt;"",
    RIGHT(Review_Extract_Data!$C$2,
          LEN(Review_Extract_Data!$C$2)-SEARCH("-",Review_Extract_Data!$C$2)),
    "")</f>
        <v/>
      </c>
      <c r="D11" t="str">
        <f>IF('3. L-2 Dollar Certification'!$B18&lt;&gt;"",
    '3. L-2 Dollar Certification'!B18,
    "")</f>
        <v/>
      </c>
      <c r="E11" s="173">
        <f>'3. L-2 Dollar Certification'!D18</f>
        <v>0</v>
      </c>
      <c r="F11" s="173">
        <f>'3. L-2 Dollar Certification'!E18</f>
        <v>0</v>
      </c>
      <c r="G11" s="173">
        <f>'3. L-2 Dollar Certification'!F18</f>
        <v>0</v>
      </c>
      <c r="H11" s="173">
        <f>'3. L-2 Dollar Certification'!G18</f>
        <v>0</v>
      </c>
      <c r="I11" s="173">
        <f>'3. L-2 Dollar Certification'!H18</f>
        <v>0</v>
      </c>
      <c r="J11" s="71" t="str">
        <f>IF($I11&lt;&gt;0,'4. Levy Rate Calculation'!$C$15,"")</f>
        <v/>
      </c>
      <c r="K11" s="71" t="str">
        <f>IF($I11&lt;&gt;0,'4. Levy Rate Calculation'!D29,"")</f>
        <v/>
      </c>
      <c r="L11" s="164" t="str">
        <f>IF($I11&lt;&gt;0,'4. Levy Rate Calculation'!F29,"")</f>
        <v/>
      </c>
      <c r="M11" s="177" t="str">
        <f>IF($I11&lt;&gt;0,'4. Levy Rate Calculation'!G29,"")</f>
        <v/>
      </c>
    </row>
    <row r="12" spans="1:13" x14ac:dyDescent="0.25">
      <c r="A12" t="str">
        <f>IF('3. L-2 Dollar Certification'!$B19&lt;&gt;"",
    LEFT('1. Dashboard'!$B$8,4),
    "")</f>
        <v/>
      </c>
      <c r="B12" t="str">
        <f>IF('3. L-2 Dollar Certification'!$B19&lt;&gt;"",
    DistrictName,
    "")</f>
        <v/>
      </c>
      <c r="C12" t="str">
        <f>IF('3. L-2 Dollar Certification'!$B19&lt;&gt;"",
    RIGHT(Review_Extract_Data!$C$2,
          LEN(Review_Extract_Data!$C$2)-SEARCH("-",Review_Extract_Data!$C$2)),
    "")</f>
        <v/>
      </c>
      <c r="D12" t="str">
        <f>IF('3. L-2 Dollar Certification'!$B19&lt;&gt;"",
    '3. L-2 Dollar Certification'!B19,
    "")</f>
        <v/>
      </c>
      <c r="E12" s="173">
        <f>'3. L-2 Dollar Certification'!D19</f>
        <v>0</v>
      </c>
      <c r="F12" s="173">
        <f>'3. L-2 Dollar Certification'!E19</f>
        <v>0</v>
      </c>
      <c r="G12" s="173">
        <f>'3. L-2 Dollar Certification'!F19</f>
        <v>0</v>
      </c>
      <c r="H12" s="173">
        <f>'3. L-2 Dollar Certification'!G19</f>
        <v>0</v>
      </c>
      <c r="I12" s="173">
        <f>'3. L-2 Dollar Certification'!H19</f>
        <v>0</v>
      </c>
      <c r="J12" s="71" t="str">
        <f>IF($I12&lt;&gt;0,'4. Levy Rate Calculation'!$C$15,"")</f>
        <v/>
      </c>
      <c r="K12" s="71" t="str">
        <f>IF($I12&lt;&gt;0,'4. Levy Rate Calculation'!D30,"")</f>
        <v/>
      </c>
      <c r="L12" s="164" t="str">
        <f>IF($I12&lt;&gt;0,'4. Levy Rate Calculation'!F30,"")</f>
        <v/>
      </c>
      <c r="M12" s="177" t="str">
        <f>IF($I12&lt;&gt;0,'4. Levy Rate Calculation'!G30,"")</f>
        <v/>
      </c>
    </row>
    <row r="13" spans="1:13" x14ac:dyDescent="0.25">
      <c r="A13" t="str">
        <f>IF('3. L-2 Dollar Certification'!$B20&lt;&gt;"",
    LEFT('1. Dashboard'!$B$8,4),
    "")</f>
        <v/>
      </c>
      <c r="B13" t="str">
        <f>IF('3. L-2 Dollar Certification'!$B20&lt;&gt;"",
    DistrictName,
    "")</f>
        <v/>
      </c>
      <c r="C13" t="str">
        <f>IF('3. L-2 Dollar Certification'!$B20&lt;&gt;"",
    RIGHT(Review_Extract_Data!$C$2,
          LEN(Review_Extract_Data!$C$2)-SEARCH("-",Review_Extract_Data!$C$2)),
    "")</f>
        <v/>
      </c>
      <c r="D13" t="str">
        <f>IF('3. L-2 Dollar Certification'!$B20&lt;&gt;"",
    '3. L-2 Dollar Certification'!B20,
    "")</f>
        <v/>
      </c>
      <c r="E13" s="173">
        <f>'3. L-2 Dollar Certification'!D20</f>
        <v>0</v>
      </c>
      <c r="F13" s="173">
        <f>'3. L-2 Dollar Certification'!E20</f>
        <v>0</v>
      </c>
      <c r="G13" s="173">
        <f>'3. L-2 Dollar Certification'!F20</f>
        <v>0</v>
      </c>
      <c r="H13" s="173">
        <f>'3. L-2 Dollar Certification'!G20</f>
        <v>0</v>
      </c>
      <c r="I13" s="173">
        <f>'3. L-2 Dollar Certification'!H20</f>
        <v>0</v>
      </c>
      <c r="J13" s="71" t="str">
        <f>IF($I13&lt;&gt;0,'4. Levy Rate Calculation'!$C$15,"")</f>
        <v/>
      </c>
      <c r="K13" s="71" t="str">
        <f>IF($I13&lt;&gt;0,'4. Levy Rate Calculation'!D31,"")</f>
        <v/>
      </c>
      <c r="L13" s="164" t="str">
        <f>IF($I13&lt;&gt;0,'4. Levy Rate Calculation'!F31,"")</f>
        <v/>
      </c>
      <c r="M13" s="177" t="str">
        <f>IF($I13&lt;&gt;0,'4. Levy Rate Calculation'!G31,"")</f>
        <v/>
      </c>
    </row>
    <row r="14" spans="1:13" x14ac:dyDescent="0.25">
      <c r="A14" t="str">
        <f>IF('3. L-2 Dollar Certification'!$B21&lt;&gt;"",
    LEFT('1. Dashboard'!$B$8,4),
    "")</f>
        <v/>
      </c>
      <c r="B14" t="str">
        <f>IF('3. L-2 Dollar Certification'!$B21&lt;&gt;"",
    DistrictName,
    "")</f>
        <v/>
      </c>
      <c r="C14" t="str">
        <f>IF('3. L-2 Dollar Certification'!$B21&lt;&gt;"",
    RIGHT(Review_Extract_Data!$C$2,
          LEN(Review_Extract_Data!$C$2)-SEARCH("-",Review_Extract_Data!$C$2)),
    "")</f>
        <v/>
      </c>
      <c r="D14" t="str">
        <f>IF('3. L-2 Dollar Certification'!$B21&lt;&gt;"",
    '3. L-2 Dollar Certification'!B21,
    "")</f>
        <v/>
      </c>
      <c r="E14" s="173">
        <f>'3. L-2 Dollar Certification'!D21</f>
        <v>0</v>
      </c>
      <c r="F14" s="173">
        <f>'3. L-2 Dollar Certification'!E21</f>
        <v>0</v>
      </c>
      <c r="G14" s="173">
        <f>'3. L-2 Dollar Certification'!F21</f>
        <v>0</v>
      </c>
      <c r="H14" s="173">
        <f>'3. L-2 Dollar Certification'!G21</f>
        <v>0</v>
      </c>
      <c r="I14" s="173">
        <f>'3. L-2 Dollar Certification'!H21</f>
        <v>0</v>
      </c>
      <c r="J14" s="71" t="str">
        <f>IF($I14&lt;&gt;0,'4. Levy Rate Calculation'!$C$15,"")</f>
        <v/>
      </c>
      <c r="K14" s="71" t="str">
        <f>IF($I14&lt;&gt;0,'4. Levy Rate Calculation'!D32,"")</f>
        <v/>
      </c>
      <c r="L14" s="164" t="str">
        <f>IF($I14&lt;&gt;0,'4. Levy Rate Calculation'!F32,"")</f>
        <v/>
      </c>
      <c r="M14" s="177" t="str">
        <f>IF($I14&lt;&gt;0,'4. Levy Rate Calculation'!G32,"")</f>
        <v/>
      </c>
    </row>
    <row r="15" spans="1:13" x14ac:dyDescent="0.25">
      <c r="A15" t="str">
        <f>IF('3. L-2 Dollar Certification'!$B22&lt;&gt;"",
    LEFT('1. Dashboard'!$B$8,4),
    "")</f>
        <v/>
      </c>
      <c r="B15" t="str">
        <f>IF('3. L-2 Dollar Certification'!$B22&lt;&gt;"",
    DistrictName,
    "")</f>
        <v/>
      </c>
      <c r="C15" t="str">
        <f>IF('3. L-2 Dollar Certification'!$B22&lt;&gt;"",
    RIGHT(Review_Extract_Data!$C$2,
          LEN(Review_Extract_Data!$C$2)-SEARCH("-",Review_Extract_Data!$C$2)),
    "")</f>
        <v/>
      </c>
      <c r="D15" t="str">
        <f>IF('3. L-2 Dollar Certification'!$B22&lt;&gt;"",
    '3. L-2 Dollar Certification'!B22,
    "")</f>
        <v/>
      </c>
      <c r="E15" s="173">
        <f>'3. L-2 Dollar Certification'!D22</f>
        <v>0</v>
      </c>
      <c r="F15" s="173">
        <f>'3. L-2 Dollar Certification'!E22</f>
        <v>0</v>
      </c>
      <c r="G15" s="173">
        <f>'3. L-2 Dollar Certification'!F22</f>
        <v>0</v>
      </c>
      <c r="H15" s="173">
        <f>'3. L-2 Dollar Certification'!G22</f>
        <v>0</v>
      </c>
      <c r="I15" s="173">
        <f>'3. L-2 Dollar Certification'!H22</f>
        <v>0</v>
      </c>
      <c r="J15" s="71" t="str">
        <f>IF($I15&lt;&gt;0,'4. Levy Rate Calculation'!$C$15,"")</f>
        <v/>
      </c>
      <c r="K15" s="71" t="str">
        <f>IF($I15&lt;&gt;0,'4. Levy Rate Calculation'!D33,"")</f>
        <v/>
      </c>
      <c r="L15" s="164" t="str">
        <f>IF($I15&lt;&gt;0,'4. Levy Rate Calculation'!F33,"")</f>
        <v/>
      </c>
      <c r="M15" s="177" t="str">
        <f>IF($I15&lt;&gt;0,'4. Levy Rate Calculation'!G33,"")</f>
        <v/>
      </c>
    </row>
    <row r="16" spans="1:13" x14ac:dyDescent="0.25">
      <c r="A16" t="str">
        <f>IF('3. L-2 Dollar Certification'!$B23&lt;&gt;"",
    LEFT('1. Dashboard'!$B$8,4),
    "")</f>
        <v/>
      </c>
      <c r="B16" t="str">
        <f>IF('3. L-2 Dollar Certification'!$B23&lt;&gt;"",
    DistrictName,
    "")</f>
        <v/>
      </c>
      <c r="C16" t="str">
        <f>IF('3. L-2 Dollar Certification'!$B23&lt;&gt;"",
    RIGHT(Review_Extract_Data!$C$2,
          LEN(Review_Extract_Data!$C$2)-SEARCH("-",Review_Extract_Data!$C$2)),
    "")</f>
        <v/>
      </c>
      <c r="D16" t="str">
        <f>IF('3. L-2 Dollar Certification'!$B23&lt;&gt;"",
    '3. L-2 Dollar Certification'!B23,
    "")</f>
        <v/>
      </c>
      <c r="E16" s="173">
        <f>'3. L-2 Dollar Certification'!D23</f>
        <v>0</v>
      </c>
      <c r="F16" s="173">
        <f>'3. L-2 Dollar Certification'!E23</f>
        <v>0</v>
      </c>
      <c r="G16" s="173">
        <f>'3. L-2 Dollar Certification'!F23</f>
        <v>0</v>
      </c>
      <c r="H16" s="173">
        <f>'3. L-2 Dollar Certification'!G23</f>
        <v>0</v>
      </c>
      <c r="I16" s="173">
        <f>'3. L-2 Dollar Certification'!H23</f>
        <v>0</v>
      </c>
      <c r="J16" s="71" t="str">
        <f>IF($I16&lt;&gt;0,'4. Levy Rate Calculation'!$C$15,"")</f>
        <v/>
      </c>
      <c r="K16" s="71" t="str">
        <f>IF($I16&lt;&gt;0,'4. Levy Rate Calculation'!D34,"")</f>
        <v/>
      </c>
      <c r="L16" s="164" t="str">
        <f>IF($I16&lt;&gt;0,'4. Levy Rate Calculation'!F34,"")</f>
        <v/>
      </c>
      <c r="M16" s="177" t="str">
        <f>IF($I16&lt;&gt;0,'4. Levy Rate Calculation'!G34,"")</f>
        <v/>
      </c>
    </row>
    <row r="17" spans="1:13" x14ac:dyDescent="0.25">
      <c r="A17" t="str">
        <f>IF('3. L-2 Dollar Certification'!$B24&lt;&gt;"",
    LEFT('1. Dashboard'!$B$8,4),
    "")</f>
        <v/>
      </c>
      <c r="B17" t="str">
        <f>IF('3. L-2 Dollar Certification'!$B24&lt;&gt;"",
    DistrictName,
    "")</f>
        <v/>
      </c>
      <c r="C17" t="str">
        <f>IF('3. L-2 Dollar Certification'!$B24&lt;&gt;"",
    RIGHT(Review_Extract_Data!$C$2,
          LEN(Review_Extract_Data!$C$2)-SEARCH("-",Review_Extract_Data!$C$2)),
    "")</f>
        <v/>
      </c>
      <c r="D17" t="str">
        <f>IF('3. L-2 Dollar Certification'!$B24&lt;&gt;"",
    '3. L-2 Dollar Certification'!B24,
    "")</f>
        <v/>
      </c>
      <c r="E17" s="173">
        <f>'3. L-2 Dollar Certification'!D24</f>
        <v>0</v>
      </c>
      <c r="F17" s="173">
        <f>'3. L-2 Dollar Certification'!E24</f>
        <v>0</v>
      </c>
      <c r="G17" s="173">
        <f>'3. L-2 Dollar Certification'!F24</f>
        <v>0</v>
      </c>
      <c r="H17" s="173">
        <f>'3. L-2 Dollar Certification'!G24</f>
        <v>0</v>
      </c>
      <c r="I17" s="173">
        <f>'3. L-2 Dollar Certification'!H24</f>
        <v>0</v>
      </c>
      <c r="J17" s="71" t="str">
        <f>IF($I17&lt;&gt;0,'4. Levy Rate Calculation'!$C$15,"")</f>
        <v/>
      </c>
      <c r="K17" s="71" t="str">
        <f>IF($I17&lt;&gt;0,'4. Levy Rate Calculation'!D35,"")</f>
        <v/>
      </c>
      <c r="L17" s="164" t="str">
        <f>IF($I17&lt;&gt;0,'4. Levy Rate Calculation'!F35,"")</f>
        <v/>
      </c>
      <c r="M17" s="177" t="str">
        <f>IF($I17&lt;&gt;0,'4. Levy Rate Calculation'!G35,"")</f>
        <v/>
      </c>
    </row>
    <row r="18" spans="1:13" x14ac:dyDescent="0.25">
      <c r="A18" t="str">
        <f>IF('3. L-2 Dollar Certification'!$B25&lt;&gt;"",
    LEFT('1. Dashboard'!$B$8,4),
    "")</f>
        <v/>
      </c>
      <c r="B18" t="str">
        <f>IF('3. L-2 Dollar Certification'!$B25&lt;&gt;"",
    DistrictName,
    "")</f>
        <v/>
      </c>
      <c r="C18" t="str">
        <f>IF('3. L-2 Dollar Certification'!$B25&lt;&gt;"",
    RIGHT(Review_Extract_Data!$C$2,
          LEN(Review_Extract_Data!$C$2)-SEARCH("-",Review_Extract_Data!$C$2)),
    "")</f>
        <v/>
      </c>
      <c r="D18" t="str">
        <f>IF('3. L-2 Dollar Certification'!$B25&lt;&gt;"",
    '3. L-2 Dollar Certification'!B25,
    "")</f>
        <v/>
      </c>
      <c r="E18" s="173">
        <f>'3. L-2 Dollar Certification'!D25</f>
        <v>0</v>
      </c>
      <c r="F18" s="173">
        <f>'3. L-2 Dollar Certification'!E25</f>
        <v>0</v>
      </c>
      <c r="G18" s="173">
        <f>'3. L-2 Dollar Certification'!F25</f>
        <v>0</v>
      </c>
      <c r="H18" s="173">
        <f>'3. L-2 Dollar Certification'!G25</f>
        <v>0</v>
      </c>
      <c r="I18" s="173">
        <f>'3. L-2 Dollar Certification'!H25</f>
        <v>0</v>
      </c>
      <c r="J18" s="71" t="str">
        <f>IF($I18&lt;&gt;0,'4. Levy Rate Calculation'!$C$15,"")</f>
        <v/>
      </c>
      <c r="K18" s="71" t="str">
        <f>IF($I18&lt;&gt;0,'4. Levy Rate Calculation'!D36,"")</f>
        <v/>
      </c>
      <c r="L18" s="164" t="str">
        <f>IF($I18&lt;&gt;0,'4. Levy Rate Calculation'!F36,"")</f>
        <v/>
      </c>
      <c r="M18" s="177" t="str">
        <f>IF($I18&lt;&gt;0,'4. Levy Rate Calculation'!G36,"")</f>
        <v/>
      </c>
    </row>
    <row r="19" spans="1:13" x14ac:dyDescent="0.25">
      <c r="A19" t="str">
        <f>IF('3. L-2 Dollar Certification'!$B26&lt;&gt;"",
    LEFT('1. Dashboard'!$B$8,4),
    "")</f>
        <v/>
      </c>
      <c r="B19" t="str">
        <f>IF('3. L-2 Dollar Certification'!$B26&lt;&gt;"",
    DistrictName,
    "")</f>
        <v/>
      </c>
      <c r="C19" t="str">
        <f>IF('3. L-2 Dollar Certification'!$B26&lt;&gt;"",
    RIGHT(Review_Extract_Data!$C$2,
          LEN(Review_Extract_Data!$C$2)-SEARCH("-",Review_Extract_Data!$C$2)),
    "")</f>
        <v/>
      </c>
      <c r="D19" t="str">
        <f>IF('3. L-2 Dollar Certification'!$B26&lt;&gt;"",
    '3. L-2 Dollar Certification'!B26,
    "")</f>
        <v/>
      </c>
      <c r="E19" s="173">
        <f>'3. L-2 Dollar Certification'!D26</f>
        <v>0</v>
      </c>
      <c r="F19" s="173">
        <f>'3. L-2 Dollar Certification'!E26</f>
        <v>0</v>
      </c>
      <c r="G19" s="173">
        <f>'3. L-2 Dollar Certification'!F26</f>
        <v>0</v>
      </c>
      <c r="H19" s="173">
        <f>'3. L-2 Dollar Certification'!G26</f>
        <v>0</v>
      </c>
      <c r="I19" s="173">
        <f>'3. L-2 Dollar Certification'!H26</f>
        <v>0</v>
      </c>
      <c r="J19" s="71" t="str">
        <f>IF($I19&lt;&gt;0,'4. Levy Rate Calculation'!$C$15,"")</f>
        <v/>
      </c>
      <c r="K19" s="71" t="str">
        <f>IF($I19&lt;&gt;0,'4. Levy Rate Calculation'!D37,"")</f>
        <v/>
      </c>
      <c r="L19" s="164" t="str">
        <f>IF($I19&lt;&gt;0,'4. Levy Rate Calculation'!F37,"")</f>
        <v/>
      </c>
      <c r="M19" s="177" t="str">
        <f>IF($I19&lt;&gt;0,'4. Levy Rate Calculation'!G37,"")</f>
        <v/>
      </c>
    </row>
    <row r="20" spans="1:13" x14ac:dyDescent="0.25">
      <c r="A20" t="str">
        <f>IF('3. L-2 Dollar Certification'!$B27&lt;&gt;"",
    LEFT('1. Dashboard'!$B$8,4),
    "")</f>
        <v>2026</v>
      </c>
      <c r="B20">
        <f>IF('3. L-2 Dollar Certification'!$B27&lt;&gt;"",
    DistrictName,
    "")</f>
        <v>0</v>
      </c>
      <c r="C20" t="e">
        <f>IF('3. L-2 Dollar Certification'!$B27&lt;&gt;"",
    RIGHT(Review_Extract_Data!$C$2,
          LEN(Review_Extract_Data!$C$2)-SEARCH("-",Review_Extract_Data!$C$2)),
    "")</f>
        <v>#N/A</v>
      </c>
      <c r="D20" t="str">
        <f>IF('3. L-2 Dollar Certification'!$B27&lt;&gt;"",
    '3. L-2 Dollar Certification'!B27,
    "")</f>
        <v>NON-LEVIED FUNDS (must net zero)</v>
      </c>
      <c r="E20" s="173">
        <f>'3. L-2 Dollar Certification'!D27</f>
        <v>0</v>
      </c>
      <c r="F20" s="173">
        <f>'3. L-2 Dollar Certification'!E27</f>
        <v>0</v>
      </c>
      <c r="G20" s="173">
        <f>'3. L-2 Dollar Certification'!F27</f>
        <v>0</v>
      </c>
      <c r="H20" s="173">
        <f>'3. L-2 Dollar Certification'!G27</f>
        <v>0</v>
      </c>
      <c r="I20" s="173">
        <f>'3. L-2 Dollar Certification'!H27</f>
        <v>0</v>
      </c>
      <c r="J20" s="71"/>
      <c r="K20" s="71"/>
      <c r="L20" s="164"/>
      <c r="M20" s="177"/>
    </row>
    <row r="21" spans="1:13" x14ac:dyDescent="0.25">
      <c r="A21" t="str">
        <f>IF('3. L-2 Dollar Certification'!$C29&lt;&gt;"",
    LEFT('1. Dashboard'!$B$8,4),
    "")</f>
        <v>2026</v>
      </c>
      <c r="B21">
        <f>IF('3. L-2 Dollar Certification'!$C29&lt;&gt;"",
    DistrictName,
    "")</f>
        <v>0</v>
      </c>
      <c r="C21" t="e">
        <f>IF('3. L-2 Dollar Certification'!$C29&lt;&gt;"",
    RIGHT(Review_Extract_Data!$C$2,
          LEN(Review_Extract_Data!$C$2)-SEARCH("-",Review_Extract_Data!$C$2)),
    "")</f>
        <v>#N/A</v>
      </c>
      <c r="D21" t="str">
        <f>IF('3. L-2 Dollar Certification'!$C29&lt;&gt;"",
    '3. L-2 Dollar Certification'!C29,
    "")</f>
        <v>^ I.C. §40-801(1)(a)</v>
      </c>
      <c r="E21" s="173">
        <f>'3. L-2 Dollar Certification'!D29</f>
        <v>0</v>
      </c>
      <c r="F21" s="173">
        <f>'3. L-2 Dollar Certification'!E29</f>
        <v>0</v>
      </c>
      <c r="G21" s="173">
        <f>'3. L-2 Dollar Certification'!F29</f>
        <v>0</v>
      </c>
      <c r="H21" s="173">
        <f>'3. L-2 Dollar Certification'!G29</f>
        <v>0</v>
      </c>
      <c r="I21" s="173">
        <f>'3. L-2 Dollar Certification'!H29</f>
        <v>0</v>
      </c>
      <c r="J21" s="71" t="str">
        <f>IF($I21&lt;&gt;0,'4. Levy Rate Calculation'!$C$16,"")</f>
        <v/>
      </c>
      <c r="K21" s="71" t="str">
        <f>IF($I21&lt;&gt;0,'4. Levy Rate Calculation'!D39,"")</f>
        <v/>
      </c>
      <c r="L21" s="164" t="str">
        <f>IF($I21&lt;&gt;0,'4. Levy Rate Calculation'!F39,"")</f>
        <v/>
      </c>
      <c r="M21" s="177" t="str">
        <f>IF($I21&lt;&gt;0,'4. Levy Rate Calculation'!G39,"")</f>
        <v/>
      </c>
    </row>
    <row r="22" spans="1:13" x14ac:dyDescent="0.25">
      <c r="A22" s="172" t="str">
        <f>IF('3. L-2 Dollar Certification'!$C30&lt;&gt;"",
    LEFT('1. Dashboard'!$B$8,4),
    "")</f>
        <v>2026</v>
      </c>
      <c r="B22" s="172">
        <f>IF('3. L-2 Dollar Certification'!$C30&lt;&gt;"",
    DistrictName,
    "")</f>
        <v>0</v>
      </c>
      <c r="C22" s="172" t="e">
        <f>IF('3. L-2 Dollar Certification'!$C30&lt;&gt;"",
    RIGHT(Review_Extract_Data!$C$2,
          LEN(Review_Extract_Data!$C$2)-SEARCH("-",Review_Extract_Data!$C$2)),
    "")</f>
        <v>#N/A</v>
      </c>
      <c r="D22" s="172" t="str">
        <f>IF('3. L-2 Dollar Certification'!$C30&lt;&gt;"",
    '3. L-2 Dollar Certification'!C30,
    "")</f>
        <v>^^ I.C. §40-801(1)(b)</v>
      </c>
      <c r="E22" s="174">
        <f>'3. L-2 Dollar Certification'!D30</f>
        <v>0</v>
      </c>
      <c r="F22" s="174">
        <f>'3. L-2 Dollar Certification'!E30</f>
        <v>0</v>
      </c>
      <c r="G22" s="174">
        <f>'3. L-2 Dollar Certification'!F30</f>
        <v>0</v>
      </c>
      <c r="H22" s="174">
        <f>'3. L-2 Dollar Certification'!G30</f>
        <v>0</v>
      </c>
      <c r="I22" s="174">
        <f>'3. L-2 Dollar Certification'!H30</f>
        <v>0</v>
      </c>
      <c r="J22" s="175" t="str">
        <f>IF($I22&lt;&gt;0,'4. Levy Rate Calculation'!$C$16,"")</f>
        <v/>
      </c>
      <c r="K22" s="175" t="str">
        <f>IF($I22&lt;&gt;0,'4. Levy Rate Calculation'!D40,"")</f>
        <v/>
      </c>
      <c r="L22" s="182" t="str">
        <f>IF($I22&lt;&gt;0,'4. Levy Rate Calculation'!F40,"")</f>
        <v/>
      </c>
      <c r="M22" s="178" t="str">
        <f>IF($I22&lt;&gt;0,'4. Levy Rate Calculation'!G40,"")</f>
        <v/>
      </c>
    </row>
    <row r="23" spans="1:13" x14ac:dyDescent="0.25">
      <c r="A23" t="str">
        <f>IF('3. L-2 Dollar Certification'!$B35&lt;&gt;"",
    LEFT('1. Dashboard'!$B$8,4),
    "")</f>
        <v/>
      </c>
      <c r="B23" t="str">
        <f>IF('3. L-2 Dollar Certification'!$B35&lt;&gt;"",
    DistrictName,
    "")</f>
        <v/>
      </c>
      <c r="C23" t="str">
        <f>IF('3. L-2 Dollar Certification'!$B35&lt;&gt;"",
    RIGHT(Review_Extract_Data!$C$2,
          LEN(Review_Extract_Data!$C$2)-SEARCH("-",Review_Extract_Data!$C$2)),
    "")</f>
        <v/>
      </c>
      <c r="D23" t="str">
        <f>IF('3. L-2 Dollar Certification'!$B35&lt;&gt;"",
    '3. L-2 Dollar Certification'!B35,
    "")</f>
        <v/>
      </c>
      <c r="E23" s="173">
        <f>'3. L-2 Dollar Certification'!D35</f>
        <v>0</v>
      </c>
      <c r="F23" s="173">
        <f>'3. L-2 Dollar Certification'!E35</f>
        <v>0</v>
      </c>
      <c r="G23" s="173">
        <f>'3. L-2 Dollar Certification'!F35</f>
        <v>0</v>
      </c>
      <c r="H23" s="173">
        <f>'3. L-2 Dollar Certification'!G35</f>
        <v>0</v>
      </c>
      <c r="I23" s="173">
        <f>'3. L-2 Dollar Certification'!H35</f>
        <v>0</v>
      </c>
      <c r="J23" s="71" t="str">
        <f>IF($I23&lt;&gt;0,'4. Levy Rate Calculation'!$C$15,"")</f>
        <v/>
      </c>
      <c r="K23" s="71" t="str">
        <f>IF($I23&lt;&gt;0,'4. Levy Rate Calculation'!D43,"")</f>
        <v/>
      </c>
      <c r="L23" s="164" t="str">
        <f>IF($I23&lt;&gt;0,'4. Levy Rate Calculation'!F43,"")</f>
        <v/>
      </c>
      <c r="M23" s="177" t="str">
        <f>IF($I23&lt;&gt;0,'4. Levy Rate Calculation'!G43,"")</f>
        <v/>
      </c>
    </row>
    <row r="24" spans="1:13" x14ac:dyDescent="0.25">
      <c r="A24" t="str">
        <f>IF('3. L-2 Dollar Certification'!$B36&lt;&gt;"",
    LEFT('1. Dashboard'!$B$8,4),
    "")</f>
        <v/>
      </c>
      <c r="B24" t="str">
        <f>IF('3. L-2 Dollar Certification'!$B36&lt;&gt;"",
    DistrictName,
    "")</f>
        <v/>
      </c>
      <c r="C24" t="str">
        <f>IF('3. L-2 Dollar Certification'!$B36&lt;&gt;"",
    RIGHT(Review_Extract_Data!$C$2,
          LEN(Review_Extract_Data!$C$2)-SEARCH("-",Review_Extract_Data!$C$2)),
    "")</f>
        <v/>
      </c>
      <c r="D24" t="str">
        <f>IF('3. L-2 Dollar Certification'!$B36&lt;&gt;"",
    '3. L-2 Dollar Certification'!B36,
    "")</f>
        <v/>
      </c>
      <c r="E24" s="173">
        <f>'3. L-2 Dollar Certification'!D36</f>
        <v>0</v>
      </c>
      <c r="F24" s="173">
        <f>'3. L-2 Dollar Certification'!E36</f>
        <v>0</v>
      </c>
      <c r="G24" s="173">
        <f>'3. L-2 Dollar Certification'!F36</f>
        <v>0</v>
      </c>
      <c r="H24" s="173">
        <f>'3. L-2 Dollar Certification'!G36</f>
        <v>0</v>
      </c>
      <c r="I24" s="173">
        <f>'3. L-2 Dollar Certification'!H36</f>
        <v>0</v>
      </c>
      <c r="J24" s="71" t="str">
        <f>IF($I24&lt;&gt;0,'4. Levy Rate Calculation'!$C$15,"")</f>
        <v/>
      </c>
      <c r="K24" s="71" t="str">
        <f>IF($I24&lt;&gt;0,'4. Levy Rate Calculation'!D44,"")</f>
        <v/>
      </c>
      <c r="L24" s="164" t="str">
        <f>IF($I24&lt;&gt;0,'4. Levy Rate Calculation'!F44,"")</f>
        <v/>
      </c>
      <c r="M24" s="177" t="str">
        <f>IF($I24&lt;&gt;0,'4. Levy Rate Calculation'!G44,"")</f>
        <v/>
      </c>
    </row>
    <row r="25" spans="1:13" x14ac:dyDescent="0.25">
      <c r="A25" t="str">
        <f>IF('3. L-2 Dollar Certification'!$B37&lt;&gt;"",
    LEFT('1. Dashboard'!$B$8,4),
    "")</f>
        <v/>
      </c>
      <c r="B25" t="str">
        <f>IF('3. L-2 Dollar Certification'!$B37&lt;&gt;"",
    DistrictName,
    "")</f>
        <v/>
      </c>
      <c r="C25" t="str">
        <f>IF('3. L-2 Dollar Certification'!$B37&lt;&gt;"",
    RIGHT(Review_Extract_Data!$C$2,
          LEN(Review_Extract_Data!$C$2)-SEARCH("-",Review_Extract_Data!$C$2)),
    "")</f>
        <v/>
      </c>
      <c r="D25" t="str">
        <f>IF('3. L-2 Dollar Certification'!$B37&lt;&gt;"",
    '3. L-2 Dollar Certification'!B37,
    "")</f>
        <v/>
      </c>
      <c r="E25" s="173">
        <f>'3. L-2 Dollar Certification'!D37</f>
        <v>0</v>
      </c>
      <c r="F25" s="173">
        <f>'3. L-2 Dollar Certification'!E37</f>
        <v>0</v>
      </c>
      <c r="G25" s="173">
        <f>'3. L-2 Dollar Certification'!F37</f>
        <v>0</v>
      </c>
      <c r="H25" s="173">
        <f>'3. L-2 Dollar Certification'!G37</f>
        <v>0</v>
      </c>
      <c r="I25" s="173">
        <f>'3. L-2 Dollar Certification'!H37</f>
        <v>0</v>
      </c>
      <c r="J25" s="71" t="str">
        <f>IF($I25&lt;&gt;0,'4. Levy Rate Calculation'!$C$15,"")</f>
        <v/>
      </c>
      <c r="K25" s="71" t="str">
        <f>IF($I25&lt;&gt;0,'4. Levy Rate Calculation'!D45,"")</f>
        <v/>
      </c>
      <c r="L25" s="164" t="str">
        <f>IF($I25&lt;&gt;0,'4. Levy Rate Calculation'!F45,"")</f>
        <v/>
      </c>
      <c r="M25" s="177" t="str">
        <f>IF($I25&lt;&gt;0,'4. Levy Rate Calculation'!G45,"")</f>
        <v/>
      </c>
    </row>
    <row r="26" spans="1:13" x14ac:dyDescent="0.25">
      <c r="A26" t="str">
        <f>IF('3. L-2 Dollar Certification'!$B38&lt;&gt;"",
    LEFT('1. Dashboard'!$B$8,4),
    "")</f>
        <v/>
      </c>
      <c r="B26" t="str">
        <f>IF('3. L-2 Dollar Certification'!$B38&lt;&gt;"",
    DistrictName,
    "")</f>
        <v/>
      </c>
      <c r="C26" t="str">
        <f>IF('3. L-2 Dollar Certification'!$B38&lt;&gt;"",
    RIGHT(Review_Extract_Data!$C$2,
          LEN(Review_Extract_Data!$C$2)-SEARCH("-",Review_Extract_Data!$C$2)),
    "")</f>
        <v/>
      </c>
      <c r="D26" t="str">
        <f>IF('3. L-2 Dollar Certification'!$B38&lt;&gt;"",
    '3. L-2 Dollar Certification'!B38,
    "")</f>
        <v/>
      </c>
      <c r="E26" s="173">
        <f>'3. L-2 Dollar Certification'!D38</f>
        <v>0</v>
      </c>
      <c r="F26" s="173">
        <f>'3. L-2 Dollar Certification'!E38</f>
        <v>0</v>
      </c>
      <c r="G26" s="173">
        <f>'3. L-2 Dollar Certification'!F38</f>
        <v>0</v>
      </c>
      <c r="H26" s="173">
        <f>'3. L-2 Dollar Certification'!G38</f>
        <v>0</v>
      </c>
      <c r="I26" s="173">
        <f>'3. L-2 Dollar Certification'!H38</f>
        <v>0</v>
      </c>
      <c r="J26" s="71" t="str">
        <f>IF($I26&lt;&gt;0,'4. Levy Rate Calculation'!$C$15,"")</f>
        <v/>
      </c>
      <c r="K26" s="71" t="str">
        <f>IF($I26&lt;&gt;0,'4. Levy Rate Calculation'!D46,"")</f>
        <v/>
      </c>
      <c r="L26" s="164" t="str">
        <f>IF($I26&lt;&gt;0,'4. Levy Rate Calculation'!F46,"")</f>
        <v/>
      </c>
      <c r="M26" s="177" t="str">
        <f>IF($I26&lt;&gt;0,'4. Levy Rate Calculation'!G46,"")</f>
        <v/>
      </c>
    </row>
    <row r="27" spans="1:13" x14ac:dyDescent="0.25">
      <c r="A27" t="str">
        <f>IF('3. L-2 Dollar Certification'!$B39&lt;&gt;"",
    LEFT('1. Dashboard'!$B$8,4),
    "")</f>
        <v/>
      </c>
      <c r="B27" t="str">
        <f>IF('3. L-2 Dollar Certification'!$B39&lt;&gt;"",
    DistrictName,
    "")</f>
        <v/>
      </c>
      <c r="C27" t="str">
        <f>IF('3. L-2 Dollar Certification'!$B39&lt;&gt;"",
    RIGHT(Review_Extract_Data!$C$2,
          LEN(Review_Extract_Data!$C$2)-SEARCH("-",Review_Extract_Data!$C$2)),
    "")</f>
        <v/>
      </c>
      <c r="D27" t="str">
        <f>IF('3. L-2 Dollar Certification'!$B39&lt;&gt;"",
    '3. L-2 Dollar Certification'!B39,
    "")</f>
        <v/>
      </c>
      <c r="E27" s="173">
        <f>'3. L-2 Dollar Certification'!D39</f>
        <v>0</v>
      </c>
      <c r="F27" s="173">
        <f>'3. L-2 Dollar Certification'!E39</f>
        <v>0</v>
      </c>
      <c r="G27" s="173">
        <f>'3. L-2 Dollar Certification'!F39</f>
        <v>0</v>
      </c>
      <c r="H27" s="173">
        <f>'3. L-2 Dollar Certification'!G39</f>
        <v>0</v>
      </c>
      <c r="I27" s="173">
        <f>'3. L-2 Dollar Certification'!H39</f>
        <v>0</v>
      </c>
      <c r="J27" s="71" t="str">
        <f>IF($I27&lt;&gt;0,'4. Levy Rate Calculation'!$C$15,"")</f>
        <v/>
      </c>
      <c r="K27" s="71" t="str">
        <f>IF($I27&lt;&gt;0,'4. Levy Rate Calculation'!D47,"")</f>
        <v/>
      </c>
      <c r="L27" s="164" t="str">
        <f>IF($I27&lt;&gt;0,'4. Levy Rate Calculation'!F47,"")</f>
        <v/>
      </c>
      <c r="M27" s="177" t="str">
        <f>IF($I27&lt;&gt;0,'4. Levy Rate Calculation'!G47,"")</f>
        <v/>
      </c>
    </row>
    <row r="28" spans="1:13" x14ac:dyDescent="0.25">
      <c r="A28" t="str">
        <f>IF('3. L-2 Dollar Certification'!$B40&lt;&gt;"",
    LEFT('1. Dashboard'!$B$8,4),
    "")</f>
        <v/>
      </c>
      <c r="B28" t="str">
        <f>IF('3. L-2 Dollar Certification'!$B40&lt;&gt;"",
    DistrictName,
    "")</f>
        <v/>
      </c>
      <c r="C28" t="str">
        <f>IF('3. L-2 Dollar Certification'!$B40&lt;&gt;"",
    RIGHT(Review_Extract_Data!$C$2,
          LEN(Review_Extract_Data!$C$2)-SEARCH("-",Review_Extract_Data!$C$2)),
    "")</f>
        <v/>
      </c>
      <c r="D28" t="str">
        <f>IF('3. L-2 Dollar Certification'!$B40&lt;&gt;"",
    '3. L-2 Dollar Certification'!B40,
    "")</f>
        <v/>
      </c>
      <c r="E28" s="173">
        <f>'3. L-2 Dollar Certification'!D40</f>
        <v>0</v>
      </c>
      <c r="F28" s="173">
        <f>'3. L-2 Dollar Certification'!E40</f>
        <v>0</v>
      </c>
      <c r="G28" s="173">
        <f>'3. L-2 Dollar Certification'!F40</f>
        <v>0</v>
      </c>
      <c r="H28" s="173">
        <f>'3. L-2 Dollar Certification'!G40</f>
        <v>0</v>
      </c>
      <c r="I28" s="173">
        <f>'3. L-2 Dollar Certification'!H40</f>
        <v>0</v>
      </c>
      <c r="J28" s="71" t="str">
        <f>IF($I28&lt;&gt;0,'4. Levy Rate Calculation'!$C$15,"")</f>
        <v/>
      </c>
      <c r="K28" s="71" t="str">
        <f>IF($I28&lt;&gt;0,'4. Levy Rate Calculation'!D48,"")</f>
        <v/>
      </c>
      <c r="L28" s="164" t="str">
        <f>IF($I28&lt;&gt;0,'4. Levy Rate Calculation'!F48,"")</f>
        <v/>
      </c>
      <c r="M28" s="177" t="str">
        <f>IF($I28&lt;&gt;0,'4. Levy Rate Calculation'!G48,"")</f>
        <v/>
      </c>
    </row>
    <row r="29" spans="1:13" x14ac:dyDescent="0.25">
      <c r="A29" t="str">
        <f>IF('3. L-2 Dollar Certification'!$B41&lt;&gt;"",
    LEFT('1. Dashboard'!$B$8,4),
    "")</f>
        <v/>
      </c>
      <c r="B29" t="str">
        <f>IF('3. L-2 Dollar Certification'!$B41&lt;&gt;"",
    DistrictName,
    "")</f>
        <v/>
      </c>
      <c r="C29" t="str">
        <f>IF('3. L-2 Dollar Certification'!$B41&lt;&gt;"",
    RIGHT(Review_Extract_Data!$C$2,
          LEN(Review_Extract_Data!$C$2)-SEARCH("-",Review_Extract_Data!$C$2)),
    "")</f>
        <v/>
      </c>
      <c r="D29" t="str">
        <f>IF('3. L-2 Dollar Certification'!$B41&lt;&gt;"",
    '3. L-2 Dollar Certification'!B41,
    "")</f>
        <v/>
      </c>
      <c r="E29" s="173">
        <f>'3. L-2 Dollar Certification'!D41</f>
        <v>0</v>
      </c>
      <c r="F29" s="173">
        <f>'3. L-2 Dollar Certification'!E41</f>
        <v>0</v>
      </c>
      <c r="G29" s="173">
        <f>'3. L-2 Dollar Certification'!F41</f>
        <v>0</v>
      </c>
      <c r="H29" s="173">
        <f>'3. L-2 Dollar Certification'!G41</f>
        <v>0</v>
      </c>
      <c r="I29" s="173">
        <f>'3. L-2 Dollar Certification'!H41</f>
        <v>0</v>
      </c>
      <c r="J29" s="71" t="str">
        <f>IF($I29&lt;&gt;0,'4. Levy Rate Calculation'!$C$15,"")</f>
        <v/>
      </c>
      <c r="K29" s="71" t="str">
        <f>IF($I29&lt;&gt;0,'4. Levy Rate Calculation'!D49,"")</f>
        <v/>
      </c>
      <c r="L29" s="164" t="str">
        <f>IF($I29&lt;&gt;0,'4. Levy Rate Calculation'!F49,"")</f>
        <v/>
      </c>
      <c r="M29" s="177" t="str">
        <f>IF($I29&lt;&gt;0,'4. Levy Rate Calculation'!G49,"")</f>
        <v/>
      </c>
    </row>
    <row r="30" spans="1:13" x14ac:dyDescent="0.25">
      <c r="A30" s="171"/>
      <c r="B30" s="171"/>
      <c r="C30" s="171"/>
      <c r="D30" s="171"/>
      <c r="E30" s="171"/>
      <c r="F30" s="171"/>
      <c r="G30" s="171"/>
      <c r="H30" s="171"/>
      <c r="I30" s="171"/>
      <c r="J30" s="171"/>
      <c r="K30" s="171"/>
      <c r="L30" s="183"/>
      <c r="M30" s="179"/>
    </row>
  </sheetData>
  <sheetProtection algorithmName="SHA-512" hashValue="wat7zRFAH5DY/+W/CDZFRjkYj0Bo5pieaZmMBYBbQUASs+N3Mjuw7h/3uHUnW+aSvcyrynzqx3WlpQOXln+kaw==" saltValue="DX2tghk/THSTRajYn7Rfyw==" spinCount="100000" sheet="1" objects="1" scenarios="1"/>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ABB97-3647-8644-AFC3-E3B6532F626C}">
  <sheetPr codeName="Sheet10">
    <pageSetUpPr fitToPage="1"/>
  </sheetPr>
  <dimension ref="A1:H52"/>
  <sheetViews>
    <sheetView showGridLines="0" showZeros="0" zoomScale="90" zoomScaleNormal="90" workbookViewId="0">
      <selection activeCell="C15" sqref="C15"/>
    </sheetView>
  </sheetViews>
  <sheetFormatPr defaultColWidth="8.75" defaultRowHeight="16.899999999999999" customHeight="1" x14ac:dyDescent="0.25"/>
  <cols>
    <col min="1" max="1" width="2.75" style="2" customWidth="1"/>
    <col min="2" max="2" width="26.25" style="2" customWidth="1"/>
    <col min="3" max="3" width="21.25" style="2" customWidth="1"/>
    <col min="4" max="5" width="16.75" style="2" customWidth="1"/>
    <col min="6" max="6" width="19.75" style="2" customWidth="1"/>
    <col min="7" max="7" width="18.75" style="2" customWidth="1"/>
    <col min="8" max="8" width="20.625" style="2" customWidth="1"/>
    <col min="9" max="9" width="19.75" style="2" customWidth="1"/>
    <col min="10" max="10" width="8.75" style="2" customWidth="1"/>
    <col min="11" max="11" width="9" style="2" customWidth="1"/>
    <col min="12" max="16384" width="8.75" style="2"/>
  </cols>
  <sheetData>
    <row r="1" spans="1:8" ht="16.899999999999999" customHeight="1" thickBot="1" x14ac:dyDescent="0.3">
      <c r="A1" s="39"/>
    </row>
    <row r="2" spans="1:8" ht="16.899999999999999" customHeight="1" x14ac:dyDescent="0.25">
      <c r="B2" s="571" t="str">
        <f>LEFT('1. Dashboard'!B8,4)&amp;" Levy Rate Calculation Worksheet"</f>
        <v>2026 Levy Rate Calculation Worksheet</v>
      </c>
      <c r="C2" s="572"/>
      <c r="D2" s="572"/>
      <c r="E2" s="572"/>
      <c r="F2" s="572"/>
      <c r="G2" s="572"/>
      <c r="H2" s="573"/>
    </row>
    <row r="3" spans="1:8" ht="16.899999999999999" customHeight="1" thickBot="1" x14ac:dyDescent="0.3">
      <c r="B3" s="574"/>
      <c r="C3" s="575"/>
      <c r="D3" s="575"/>
      <c r="E3" s="575"/>
      <c r="F3" s="575"/>
      <c r="G3" s="575"/>
      <c r="H3" s="576"/>
    </row>
    <row r="4" spans="1:8" ht="16.899999999999999" customHeight="1" thickBot="1" x14ac:dyDescent="0.3">
      <c r="B4" s="40" t="s">
        <v>0</v>
      </c>
      <c r="C4" s="592" t="str">
        <f>IF(DistrictName="","",DistrictName&amp;" and "&amp; DistrictName &amp;" Road &amp; Bridge")</f>
        <v/>
      </c>
      <c r="D4" s="592"/>
      <c r="E4" s="592"/>
      <c r="F4" s="592"/>
      <c r="G4" s="592"/>
      <c r="H4" s="593"/>
    </row>
    <row r="5" spans="1:8" ht="16.899999999999999" customHeight="1" thickBot="1" x14ac:dyDescent="0.3">
      <c r="B5" s="600"/>
      <c r="C5" s="600"/>
      <c r="D5" s="600"/>
      <c r="E5" s="600"/>
      <c r="F5" s="600"/>
      <c r="G5" s="600"/>
      <c r="H5" s="600"/>
    </row>
    <row r="6" spans="1:8" ht="16.899999999999999" customHeight="1" thickBot="1" x14ac:dyDescent="0.3">
      <c r="B6" s="497" t="s">
        <v>243</v>
      </c>
      <c r="C6" s="616"/>
      <c r="D6" s="156" t="str">
        <f>IF(DistrictName=0,"",
    INDEX(Data!G2:G25,MATCH(DistrictName,Data!C2:C25,0)))</f>
        <v/>
      </c>
      <c r="E6" s="617" t="str">
        <f>IF($D$6="Yes","Some funds may not generate revenue for Urban Renewal (see below).","Cells related to urban renewal will be hidden unless necessary.")</f>
        <v>Cells related to urban renewal will be hidden unless necessary.</v>
      </c>
      <c r="F6" s="618"/>
      <c r="G6" s="618"/>
      <c r="H6" s="619"/>
    </row>
    <row r="7" spans="1:8" ht="16.899999999999999" customHeight="1" thickBot="1" x14ac:dyDescent="0.3">
      <c r="B7" s="600"/>
      <c r="C7" s="600"/>
      <c r="D7" s="600"/>
      <c r="E7" s="600"/>
      <c r="F7" s="600"/>
      <c r="G7" s="600"/>
      <c r="H7" s="600"/>
    </row>
    <row r="8" spans="1:8" ht="16.899999999999999" customHeight="1" x14ac:dyDescent="0.25">
      <c r="B8" s="583"/>
      <c r="C8" s="584"/>
      <c r="D8" s="584"/>
      <c r="E8" s="584"/>
      <c r="F8" s="584"/>
      <c r="G8" s="584"/>
      <c r="H8" s="585"/>
    </row>
    <row r="9" spans="1:8" ht="16.899999999999999" customHeight="1" x14ac:dyDescent="0.25">
      <c r="B9" s="586"/>
      <c r="C9" s="587"/>
      <c r="D9" s="587"/>
      <c r="E9" s="587"/>
      <c r="F9" s="587"/>
      <c r="G9" s="587"/>
      <c r="H9" s="588"/>
    </row>
    <row r="10" spans="1:8" ht="16.899999999999999" customHeight="1" x14ac:dyDescent="0.25">
      <c r="B10" s="589"/>
      <c r="C10" s="590"/>
      <c r="D10" s="590"/>
      <c r="E10" s="590"/>
      <c r="F10" s="590"/>
      <c r="G10" s="590"/>
      <c r="H10" s="591"/>
    </row>
    <row r="11" spans="1:8" ht="16.899999999999999" customHeight="1" x14ac:dyDescent="0.25">
      <c r="B11" s="577" t="s">
        <v>32</v>
      </c>
      <c r="C11" s="601" t="str">
        <f>IF($D$6="Yes","Net Taxable
Market Value
Less U/R Increment","Net Taxable
Market Value")</f>
        <v>Net Taxable
Market Value</v>
      </c>
      <c r="D11" s="601" t="s">
        <v>244</v>
      </c>
      <c r="E11" s="601" t="s">
        <v>245</v>
      </c>
      <c r="F11" s="604" t="s">
        <v>349</v>
      </c>
      <c r="G11" s="605"/>
      <c r="H11" s="606"/>
    </row>
    <row r="12" spans="1:8" ht="16.899999999999999" customHeight="1" x14ac:dyDescent="0.25">
      <c r="B12" s="578"/>
      <c r="C12" s="602"/>
      <c r="D12" s="602"/>
      <c r="E12" s="602"/>
      <c r="F12" s="607"/>
      <c r="G12" s="608"/>
      <c r="H12" s="609"/>
    </row>
    <row r="13" spans="1:8" ht="16.899999999999999" customHeight="1" x14ac:dyDescent="0.25">
      <c r="B13" s="578"/>
      <c r="C13" s="602"/>
      <c r="D13" s="602"/>
      <c r="E13" s="602"/>
      <c r="F13" s="597" t="str">
        <f>IF(AND(DistrictName&lt;&gt;0,D6="Yes"),Hidden!C9,"")</f>
        <v/>
      </c>
      <c r="G13" s="598"/>
      <c r="H13" s="599"/>
    </row>
    <row r="14" spans="1:8" ht="17.25" customHeight="1" x14ac:dyDescent="0.25">
      <c r="B14" s="578"/>
      <c r="C14" s="603"/>
      <c r="D14" s="603"/>
      <c r="E14" s="603"/>
      <c r="F14" s="597" t="str">
        <f>IF(AND(DistrictName&lt;&gt;0,D6="Yes"),Hidden!C10,"")</f>
        <v/>
      </c>
      <c r="G14" s="598"/>
      <c r="H14" s="599"/>
    </row>
    <row r="15" spans="1:8" ht="16.899999999999999" customHeight="1" x14ac:dyDescent="0.25">
      <c r="B15" s="37" t="str">
        <f>'2. L-2 Worksheet'!B26</f>
        <v>County</v>
      </c>
      <c r="C15" s="24"/>
      <c r="D15" s="24"/>
      <c r="E15" s="24"/>
      <c r="F15" s="597" t="str">
        <f>IF(AND(DistrictName&lt;&gt;0,D6="Yes"),Hidden!C11,"")</f>
        <v/>
      </c>
      <c r="G15" s="598">
        <f>C15+D15</f>
        <v>0</v>
      </c>
      <c r="H15" s="599" t="e">
        <f>C15+F15</f>
        <v>#VALUE!</v>
      </c>
    </row>
    <row r="16" spans="1:8" ht="16.899999999999999" customHeight="1" thickBot="1" x14ac:dyDescent="0.3">
      <c r="B16" s="146" t="s">
        <v>41</v>
      </c>
      <c r="C16" s="147"/>
      <c r="D16" s="147"/>
      <c r="E16" s="147"/>
      <c r="F16" s="613" t="str">
        <f>IF(AND(DistrictName&lt;&gt;0,D6="Yes"),Hidden!C12,"")</f>
        <v/>
      </c>
      <c r="G16" s="614">
        <f>C16+D16</f>
        <v>0</v>
      </c>
      <c r="H16" s="615" t="e">
        <f>C16+F16</f>
        <v>#VALUE!</v>
      </c>
    </row>
    <row r="17" spans="2:8" ht="16.899999999999999" customHeight="1" thickBot="1" x14ac:dyDescent="0.3">
      <c r="E17" s="6"/>
      <c r="H17" s="7"/>
    </row>
    <row r="18" spans="2:8" ht="16.899999999999999" customHeight="1" thickBot="1" x14ac:dyDescent="0.3">
      <c r="B18" s="594" t="s">
        <v>33</v>
      </c>
      <c r="C18" s="595"/>
      <c r="D18" s="595"/>
      <c r="E18" s="595"/>
      <c r="F18" s="595"/>
      <c r="G18" s="595"/>
      <c r="H18" s="596"/>
    </row>
    <row r="19" spans="2:8" ht="49.5" customHeight="1" x14ac:dyDescent="0.25">
      <c r="B19" s="38" t="s">
        <v>11</v>
      </c>
      <c r="C19" s="57" t="s">
        <v>10</v>
      </c>
      <c r="D19" s="582" t="str">
        <f>IF($D$6="Yes","Enter U/R Increment Value For RAAs That Should NOT Generate 
Revenue From That Specific Fund*","Leave this Column Blank 
(No U/R)")</f>
        <v>Leave this Column Blank 
(No U/R)</v>
      </c>
      <c r="E19" s="582"/>
      <c r="F19" s="57" t="s">
        <v>34</v>
      </c>
      <c r="G19" s="57" t="s">
        <v>35</v>
      </c>
      <c r="H19" s="142" t="s">
        <v>250</v>
      </c>
    </row>
    <row r="20" spans="2:8" ht="16.899999999999999" customHeight="1" x14ac:dyDescent="0.25">
      <c r="B20" s="66" t="str">
        <f>IF('3. L-2 Dollar Certification'!B9="","",'3. L-2 Dollar Certification'!B9)</f>
        <v/>
      </c>
      <c r="C20" s="33">
        <f>'3. L-2 Dollar Certification'!H9</f>
        <v>0</v>
      </c>
      <c r="D20" s="581"/>
      <c r="E20" s="581"/>
      <c r="F20" s="16">
        <f t="shared" ref="F20:F37" si="0">IFERROR(IF(C20="","",ROUND(C20/($C$15+$D20),9)),0)</f>
        <v>0</v>
      </c>
      <c r="G20" s="25"/>
      <c r="H20" s="141" t="str">
        <f>IF(OR(F20="",G20=""),"", IF(F20&gt;G20,"Over Max",""))</f>
        <v/>
      </c>
    </row>
    <row r="21" spans="2:8" ht="16.899999999999999" customHeight="1" x14ac:dyDescent="0.25">
      <c r="B21" s="66" t="str">
        <f>IF('3. L-2 Dollar Certification'!B10="","",'3. L-2 Dollar Certification'!B10)</f>
        <v/>
      </c>
      <c r="C21" s="33">
        <f>'3. L-2 Dollar Certification'!H10</f>
        <v>0</v>
      </c>
      <c r="D21" s="579"/>
      <c r="E21" s="580"/>
      <c r="F21" s="16">
        <f t="shared" si="0"/>
        <v>0</v>
      </c>
      <c r="G21" s="25"/>
      <c r="H21" s="141" t="str">
        <f t="shared" ref="H21:H40" si="1">IF(OR(F21="",G21=""),"", IF(F21&gt;G21,"Over Max",""))</f>
        <v/>
      </c>
    </row>
    <row r="22" spans="2:8" ht="16.899999999999999" customHeight="1" x14ac:dyDescent="0.25">
      <c r="B22" s="66" t="str">
        <f>IF('3. L-2 Dollar Certification'!B11="","",'3. L-2 Dollar Certification'!B11)</f>
        <v/>
      </c>
      <c r="C22" s="33">
        <f>'3. L-2 Dollar Certification'!H11</f>
        <v>0</v>
      </c>
      <c r="D22" s="579"/>
      <c r="E22" s="580"/>
      <c r="F22" s="16">
        <f t="shared" si="0"/>
        <v>0</v>
      </c>
      <c r="G22" s="25"/>
      <c r="H22" s="141" t="str">
        <f t="shared" si="1"/>
        <v/>
      </c>
    </row>
    <row r="23" spans="2:8" ht="16.899999999999999" customHeight="1" x14ac:dyDescent="0.25">
      <c r="B23" s="66" t="str">
        <f>IF('3. L-2 Dollar Certification'!B12="","",'3. L-2 Dollar Certification'!B12)</f>
        <v/>
      </c>
      <c r="C23" s="33">
        <f>'3. L-2 Dollar Certification'!H12</f>
        <v>0</v>
      </c>
      <c r="D23" s="579"/>
      <c r="E23" s="580"/>
      <c r="F23" s="16">
        <f>IFERROR(IF(C23="","",ROUND(C23/($C$15+$D23),9)),0)</f>
        <v>0</v>
      </c>
      <c r="G23" s="25"/>
      <c r="H23" s="141" t="str">
        <f t="shared" si="1"/>
        <v/>
      </c>
    </row>
    <row r="24" spans="2:8" ht="16.899999999999999" customHeight="1" x14ac:dyDescent="0.25">
      <c r="B24" s="66" t="str">
        <f>IF('3. L-2 Dollar Certification'!B13="","",'3. L-2 Dollar Certification'!B13)</f>
        <v/>
      </c>
      <c r="C24" s="33">
        <f>'3. L-2 Dollar Certification'!H13</f>
        <v>0</v>
      </c>
      <c r="D24" s="579"/>
      <c r="E24" s="580"/>
      <c r="F24" s="16">
        <f t="shared" si="0"/>
        <v>0</v>
      </c>
      <c r="G24" s="25"/>
      <c r="H24" s="141" t="str">
        <f t="shared" si="1"/>
        <v/>
      </c>
    </row>
    <row r="25" spans="2:8" ht="16.899999999999999" customHeight="1" x14ac:dyDescent="0.25">
      <c r="B25" s="66" t="str">
        <f>IF('3. L-2 Dollar Certification'!B14="","",'3. L-2 Dollar Certification'!B14)</f>
        <v/>
      </c>
      <c r="C25" s="33">
        <f>'3. L-2 Dollar Certification'!H14</f>
        <v>0</v>
      </c>
      <c r="D25" s="579"/>
      <c r="E25" s="580"/>
      <c r="F25" s="16">
        <f t="shared" si="0"/>
        <v>0</v>
      </c>
      <c r="G25" s="25"/>
      <c r="H25" s="141" t="str">
        <f t="shared" si="1"/>
        <v/>
      </c>
    </row>
    <row r="26" spans="2:8" ht="16.899999999999999" customHeight="1" x14ac:dyDescent="0.25">
      <c r="B26" s="66" t="str">
        <f>IF('3. L-2 Dollar Certification'!B15="","",'3. L-2 Dollar Certification'!B15)</f>
        <v/>
      </c>
      <c r="C26" s="34">
        <f>'3. L-2 Dollar Certification'!H15</f>
        <v>0</v>
      </c>
      <c r="D26" s="579"/>
      <c r="E26" s="580"/>
      <c r="F26" s="16">
        <f t="shared" si="0"/>
        <v>0</v>
      </c>
      <c r="G26" s="25"/>
      <c r="H26" s="141" t="str">
        <f t="shared" si="1"/>
        <v/>
      </c>
    </row>
    <row r="27" spans="2:8" ht="16.899999999999999" customHeight="1" x14ac:dyDescent="0.25">
      <c r="B27" s="66" t="str">
        <f>IF('3. L-2 Dollar Certification'!B16="","",'3. L-2 Dollar Certification'!B16)</f>
        <v/>
      </c>
      <c r="C27" s="34">
        <f>'3. L-2 Dollar Certification'!H16</f>
        <v>0</v>
      </c>
      <c r="D27" s="579"/>
      <c r="E27" s="580"/>
      <c r="F27" s="16">
        <f t="shared" si="0"/>
        <v>0</v>
      </c>
      <c r="G27" s="25"/>
      <c r="H27" s="141" t="str">
        <f t="shared" si="1"/>
        <v/>
      </c>
    </row>
    <row r="28" spans="2:8" ht="16.899999999999999" customHeight="1" x14ac:dyDescent="0.25">
      <c r="B28" s="66" t="str">
        <f>IF('3. L-2 Dollar Certification'!B17="","",'3. L-2 Dollar Certification'!B17)</f>
        <v/>
      </c>
      <c r="C28" s="34">
        <f>'3. L-2 Dollar Certification'!H17</f>
        <v>0</v>
      </c>
      <c r="D28" s="579"/>
      <c r="E28" s="580"/>
      <c r="F28" s="16">
        <f t="shared" si="0"/>
        <v>0</v>
      </c>
      <c r="G28" s="25"/>
      <c r="H28" s="141" t="str">
        <f t="shared" si="1"/>
        <v/>
      </c>
    </row>
    <row r="29" spans="2:8" ht="16.899999999999999" customHeight="1" x14ac:dyDescent="0.25">
      <c r="B29" s="66" t="str">
        <f>IF('3. L-2 Dollar Certification'!B18="","",'3. L-2 Dollar Certification'!B18)</f>
        <v/>
      </c>
      <c r="C29" s="34">
        <f>'3. L-2 Dollar Certification'!H18</f>
        <v>0</v>
      </c>
      <c r="D29" s="579"/>
      <c r="E29" s="580"/>
      <c r="F29" s="16">
        <f t="shared" si="0"/>
        <v>0</v>
      </c>
      <c r="G29" s="25"/>
      <c r="H29" s="141" t="str">
        <f t="shared" si="1"/>
        <v/>
      </c>
    </row>
    <row r="30" spans="2:8" ht="16.899999999999999" customHeight="1" x14ac:dyDescent="0.25">
      <c r="B30" s="66" t="str">
        <f>IF('3. L-2 Dollar Certification'!B19="","",'3. L-2 Dollar Certification'!B19)</f>
        <v/>
      </c>
      <c r="C30" s="34">
        <f>'3. L-2 Dollar Certification'!H19</f>
        <v>0</v>
      </c>
      <c r="D30" s="579"/>
      <c r="E30" s="580"/>
      <c r="F30" s="16">
        <f t="shared" si="0"/>
        <v>0</v>
      </c>
      <c r="G30" s="25"/>
      <c r="H30" s="141" t="str">
        <f t="shared" si="1"/>
        <v/>
      </c>
    </row>
    <row r="31" spans="2:8" ht="16.899999999999999" customHeight="1" x14ac:dyDescent="0.25">
      <c r="B31" s="66" t="str">
        <f>IF('3. L-2 Dollar Certification'!B20="","",'3. L-2 Dollar Certification'!B20)</f>
        <v/>
      </c>
      <c r="C31" s="34">
        <f>'3. L-2 Dollar Certification'!H20</f>
        <v>0</v>
      </c>
      <c r="D31" s="579"/>
      <c r="E31" s="580"/>
      <c r="F31" s="16">
        <f t="shared" si="0"/>
        <v>0</v>
      </c>
      <c r="G31" s="25"/>
      <c r="H31" s="141" t="str">
        <f t="shared" si="1"/>
        <v/>
      </c>
    </row>
    <row r="32" spans="2:8" ht="16.899999999999999" customHeight="1" x14ac:dyDescent="0.25">
      <c r="B32" s="66" t="str">
        <f>IF('3. L-2 Dollar Certification'!B21="","",'3. L-2 Dollar Certification'!B21)</f>
        <v/>
      </c>
      <c r="C32" s="34">
        <f>'3. L-2 Dollar Certification'!H21</f>
        <v>0</v>
      </c>
      <c r="D32" s="579"/>
      <c r="E32" s="580"/>
      <c r="F32" s="16">
        <f t="shared" si="0"/>
        <v>0</v>
      </c>
      <c r="G32" s="25"/>
      <c r="H32" s="141" t="str">
        <f t="shared" si="1"/>
        <v/>
      </c>
    </row>
    <row r="33" spans="2:8" ht="16.899999999999999" customHeight="1" x14ac:dyDescent="0.25">
      <c r="B33" s="66" t="str">
        <f>IF('3. L-2 Dollar Certification'!B22="","",'3. L-2 Dollar Certification'!B22)</f>
        <v/>
      </c>
      <c r="C33" s="34">
        <f>'3. L-2 Dollar Certification'!H22</f>
        <v>0</v>
      </c>
      <c r="D33" s="579"/>
      <c r="E33" s="580"/>
      <c r="F33" s="16">
        <f t="shared" si="0"/>
        <v>0</v>
      </c>
      <c r="G33" s="25"/>
      <c r="H33" s="141" t="str">
        <f t="shared" si="1"/>
        <v/>
      </c>
    </row>
    <row r="34" spans="2:8" ht="16.899999999999999" customHeight="1" x14ac:dyDescent="0.25">
      <c r="B34" s="66" t="str">
        <f>IF('3. L-2 Dollar Certification'!B23="","",'3. L-2 Dollar Certification'!B23)</f>
        <v/>
      </c>
      <c r="C34" s="34">
        <f>'3. L-2 Dollar Certification'!H23</f>
        <v>0</v>
      </c>
      <c r="D34" s="579"/>
      <c r="E34" s="580"/>
      <c r="F34" s="16">
        <f t="shared" si="0"/>
        <v>0</v>
      </c>
      <c r="G34" s="25"/>
      <c r="H34" s="141" t="str">
        <f t="shared" si="1"/>
        <v/>
      </c>
    </row>
    <row r="35" spans="2:8" ht="16.899999999999999" customHeight="1" x14ac:dyDescent="0.25">
      <c r="B35" s="66" t="str">
        <f>IF('3. L-2 Dollar Certification'!B24="","",'3. L-2 Dollar Certification'!B24)</f>
        <v/>
      </c>
      <c r="C35" s="34">
        <f>'3. L-2 Dollar Certification'!H24</f>
        <v>0</v>
      </c>
      <c r="D35" s="579"/>
      <c r="E35" s="580"/>
      <c r="F35" s="16">
        <f t="shared" si="0"/>
        <v>0</v>
      </c>
      <c r="G35" s="25"/>
      <c r="H35" s="141" t="str">
        <f t="shared" si="1"/>
        <v/>
      </c>
    </row>
    <row r="36" spans="2:8" ht="16.899999999999999" customHeight="1" x14ac:dyDescent="0.25">
      <c r="B36" s="66" t="str">
        <f>IF('3. L-2 Dollar Certification'!B25="","",'3. L-2 Dollar Certification'!B25)</f>
        <v/>
      </c>
      <c r="C36" s="34">
        <f>'3. L-2 Dollar Certification'!H25</f>
        <v>0</v>
      </c>
      <c r="D36" s="579"/>
      <c r="E36" s="580"/>
      <c r="F36" s="16">
        <f t="shared" si="0"/>
        <v>0</v>
      </c>
      <c r="G36" s="25"/>
      <c r="H36" s="141" t="str">
        <f t="shared" si="1"/>
        <v/>
      </c>
    </row>
    <row r="37" spans="2:8" ht="16.899999999999999" customHeight="1" x14ac:dyDescent="0.25">
      <c r="B37" s="66" t="str">
        <f>IF('3. L-2 Dollar Certification'!B26="","",'3. L-2 Dollar Certification'!B26)</f>
        <v/>
      </c>
      <c r="C37" s="34">
        <f>'3. L-2 Dollar Certification'!H26</f>
        <v>0</v>
      </c>
      <c r="D37" s="579"/>
      <c r="E37" s="580"/>
      <c r="F37" s="16">
        <f t="shared" si="0"/>
        <v>0</v>
      </c>
      <c r="G37" s="25"/>
      <c r="H37" s="141" t="str">
        <f t="shared" si="1"/>
        <v/>
      </c>
    </row>
    <row r="38" spans="2:8" ht="16.899999999999999" customHeight="1" x14ac:dyDescent="0.25">
      <c r="B38" s="160" t="str">
        <f>IF('3. L-2 Dollar Certification'!B28="","",'3. L-2 Dollar Certification'!B28)</f>
        <v>County Road &amp; Bridge:</v>
      </c>
      <c r="C38" s="161">
        <f>'3. L-2 Dollar Certification'!H28</f>
        <v>0</v>
      </c>
      <c r="D38" s="612"/>
      <c r="E38" s="612"/>
      <c r="F38" s="162">
        <f>IFERROR(IF(C38="","",ROUND(C38/($C$16+$D38),9)),0)</f>
        <v>0</v>
      </c>
      <c r="G38" s="163"/>
      <c r="H38" s="141" t="str">
        <f t="shared" si="1"/>
        <v/>
      </c>
    </row>
    <row r="39" spans="2:8" ht="16.899999999999999" customHeight="1" x14ac:dyDescent="0.25">
      <c r="B39" s="66" t="str">
        <f>IF('3. L-2 Dollar Certification'!C29="","",RIGHT('3. L-2 Dollar Certification'!C29,19))</f>
        <v xml:space="preserve"> I.C. §40-801(1)(a)</v>
      </c>
      <c r="C39" s="34">
        <f>'3. L-2 Dollar Certification'!H29</f>
        <v>0</v>
      </c>
      <c r="D39" s="579"/>
      <c r="E39" s="580"/>
      <c r="F39" s="16">
        <f t="shared" ref="F39:F40" si="2">IFERROR(IF(C39="","",ROUND(C39/($C$16+$D39),9)),0)</f>
        <v>0</v>
      </c>
      <c r="G39" s="25"/>
      <c r="H39" s="141" t="str">
        <f t="shared" si="1"/>
        <v/>
      </c>
    </row>
    <row r="40" spans="2:8" ht="16.899999999999999" customHeight="1" thickBot="1" x14ac:dyDescent="0.3">
      <c r="B40" s="98" t="str">
        <f>IF('3. L-2 Dollar Certification'!C30="","",RIGHT('3. L-2 Dollar Certification'!C30,19))</f>
        <v xml:space="preserve"> I.C. §40-801(1)(b)</v>
      </c>
      <c r="C40" s="97">
        <f>'3. L-2 Dollar Certification'!H30</f>
        <v>0</v>
      </c>
      <c r="D40" s="610"/>
      <c r="E40" s="611"/>
      <c r="F40" s="96">
        <f t="shared" si="2"/>
        <v>0</v>
      </c>
      <c r="G40" s="99"/>
      <c r="H40" s="148" t="str">
        <f t="shared" si="1"/>
        <v/>
      </c>
    </row>
    <row r="41" spans="2:8" ht="16.899999999999999" customHeight="1" thickTop="1" thickBot="1" x14ac:dyDescent="0.3">
      <c r="B41" s="55" t="s">
        <v>45</v>
      </c>
      <c r="C41" s="56">
        <f>SUM(C20:C40)</f>
        <v>0</v>
      </c>
      <c r="D41" s="560"/>
      <c r="E41" s="561"/>
      <c r="F41" s="69">
        <f>SUM(F20:F40)</f>
        <v>0</v>
      </c>
      <c r="G41" s="562"/>
      <c r="H41" s="563"/>
    </row>
    <row r="42" spans="2:8" ht="16.899999999999999" customHeight="1" thickBot="1" x14ac:dyDescent="0.3">
      <c r="B42" s="152" t="s">
        <v>43</v>
      </c>
      <c r="C42" s="154"/>
      <c r="D42" s="154"/>
      <c r="E42" s="154"/>
      <c r="F42" s="154"/>
      <c r="G42" s="154"/>
      <c r="H42" s="155"/>
    </row>
    <row r="43" spans="2:8" ht="16.899999999999999" customHeight="1" x14ac:dyDescent="0.25">
      <c r="B43" s="149">
        <f>'3. L-2 Dollar Certification'!B35</f>
        <v>0</v>
      </c>
      <c r="C43" s="42">
        <f>'3. L-2 Dollar Certification'!H35</f>
        <v>0</v>
      </c>
      <c r="D43" s="567"/>
      <c r="E43" s="568"/>
      <c r="F43" s="150">
        <f t="shared" ref="F43:F49" si="3">IFERROR(IF(C43="","",ROUND(C43/($C$15+$D43),9)),0)</f>
        <v>0</v>
      </c>
      <c r="G43" s="43"/>
      <c r="H43" s="143" t="str">
        <f>IF(OR(F43="",G43=""),"", IF(F43&gt;G43,"Over Max",""))</f>
        <v/>
      </c>
    </row>
    <row r="44" spans="2:8" ht="16.899999999999999" customHeight="1" x14ac:dyDescent="0.25">
      <c r="B44" s="66">
        <f>'3. L-2 Dollar Certification'!B36</f>
        <v>0</v>
      </c>
      <c r="C44" s="42">
        <f>'3. L-2 Dollar Certification'!H36</f>
        <v>0</v>
      </c>
      <c r="D44" s="567"/>
      <c r="E44" s="568"/>
      <c r="F44" s="16">
        <f t="shared" si="3"/>
        <v>0</v>
      </c>
      <c r="G44" s="43"/>
      <c r="H44" s="141" t="str">
        <f t="shared" ref="H44:H49" si="4">IF(OR(F44="",G44=""),"", IF(F44&gt;G44,"Over Max",""))</f>
        <v/>
      </c>
    </row>
    <row r="45" spans="2:8" ht="16.899999999999999" customHeight="1" x14ac:dyDescent="0.25">
      <c r="B45" s="67">
        <f>'3. L-2 Dollar Certification'!B37</f>
        <v>0</v>
      </c>
      <c r="C45" s="33">
        <f>'3. L-2 Dollar Certification'!H37</f>
        <v>0</v>
      </c>
      <c r="D45" s="566"/>
      <c r="E45" s="566"/>
      <c r="F45" s="16">
        <f t="shared" si="3"/>
        <v>0</v>
      </c>
      <c r="G45" s="25"/>
      <c r="H45" s="141" t="str">
        <f t="shared" si="4"/>
        <v/>
      </c>
    </row>
    <row r="46" spans="2:8" ht="16.899999999999999" customHeight="1" x14ac:dyDescent="0.25">
      <c r="B46" s="67">
        <f>'3. L-2 Dollar Certification'!B38</f>
        <v>0</v>
      </c>
      <c r="C46" s="33">
        <f>'3. L-2 Dollar Certification'!H38</f>
        <v>0</v>
      </c>
      <c r="D46" s="566"/>
      <c r="E46" s="566"/>
      <c r="F46" s="16">
        <f t="shared" si="3"/>
        <v>0</v>
      </c>
      <c r="G46" s="25"/>
      <c r="H46" s="141" t="str">
        <f t="shared" si="4"/>
        <v/>
      </c>
    </row>
    <row r="47" spans="2:8" ht="16.899999999999999" customHeight="1" x14ac:dyDescent="0.25">
      <c r="B47" s="67">
        <f>'3. L-2 Dollar Certification'!B39</f>
        <v>0</v>
      </c>
      <c r="C47" s="33">
        <f>'3. L-2 Dollar Certification'!H39</f>
        <v>0</v>
      </c>
      <c r="D47" s="566"/>
      <c r="E47" s="566"/>
      <c r="F47" s="16">
        <f t="shared" si="3"/>
        <v>0</v>
      </c>
      <c r="G47" s="25"/>
      <c r="H47" s="141" t="str">
        <f t="shared" si="4"/>
        <v/>
      </c>
    </row>
    <row r="48" spans="2:8" ht="16.899999999999999" customHeight="1" x14ac:dyDescent="0.25">
      <c r="B48" s="67">
        <f>'3. L-2 Dollar Certification'!B40</f>
        <v>0</v>
      </c>
      <c r="C48" s="33">
        <f>'3. L-2 Dollar Certification'!H40</f>
        <v>0</v>
      </c>
      <c r="D48" s="566"/>
      <c r="E48" s="566"/>
      <c r="F48" s="16">
        <f t="shared" si="3"/>
        <v>0</v>
      </c>
      <c r="G48" s="25"/>
      <c r="H48" s="141" t="str">
        <f t="shared" si="4"/>
        <v/>
      </c>
    </row>
    <row r="49" spans="2:8" ht="16.899999999999999" customHeight="1" thickBot="1" x14ac:dyDescent="0.3">
      <c r="B49" s="68">
        <f>'3. L-2 Dollar Certification'!B41</f>
        <v>0</v>
      </c>
      <c r="C49" s="64">
        <f>'3. L-2 Dollar Certification'!H41</f>
        <v>0</v>
      </c>
      <c r="D49" s="569"/>
      <c r="E49" s="570"/>
      <c r="F49" s="96">
        <f t="shared" si="3"/>
        <v>0</v>
      </c>
      <c r="G49" s="65"/>
      <c r="H49" s="148" t="str">
        <f t="shared" si="4"/>
        <v/>
      </c>
    </row>
    <row r="50" spans="2:8" ht="16.899999999999999" customHeight="1" thickTop="1" thickBot="1" x14ac:dyDescent="0.3">
      <c r="B50" s="55" t="s">
        <v>45</v>
      </c>
      <c r="C50" s="56">
        <f>SUM(C43:C49)</f>
        <v>0</v>
      </c>
      <c r="D50" s="560"/>
      <c r="E50" s="561"/>
      <c r="F50" s="69">
        <f>SUM(F43:F49)</f>
        <v>0</v>
      </c>
      <c r="G50" s="564"/>
      <c r="H50" s="565"/>
    </row>
    <row r="51" spans="2:8" ht="16.899999999999999" customHeight="1" thickBot="1" x14ac:dyDescent="0.3">
      <c r="B51" s="52" t="s">
        <v>44</v>
      </c>
      <c r="C51" s="17">
        <f>C41+C50</f>
        <v>0</v>
      </c>
      <c r="D51" s="558"/>
      <c r="E51" s="559"/>
      <c r="F51" s="70">
        <f>F41+F50</f>
        <v>0</v>
      </c>
      <c r="G51" s="556"/>
      <c r="H51" s="557"/>
    </row>
    <row r="52" spans="2:8" ht="16.899999999999999" customHeight="1" x14ac:dyDescent="0.25">
      <c r="B52" s="2" t="s">
        <v>257</v>
      </c>
    </row>
  </sheetData>
  <sheetProtection algorithmName="SHA-512" hashValue="bQUrDgYmnypgVbeby3rozL+UqZf9sQMySMhiSioKuJoN+vF38ZY3A+hny4hBGWQvHrBlF6Hh2XaoTxfSn/3x2Q==" saltValue="Dq3eoRVA4S3Bwx3ai1eZCA==" spinCount="100000" sheet="1" selectLockedCells="1"/>
  <mergeCells count="52">
    <mergeCell ref="D31:E31"/>
    <mergeCell ref="D30:E30"/>
    <mergeCell ref="D29:E29"/>
    <mergeCell ref="F16:H16"/>
    <mergeCell ref="B6:C6"/>
    <mergeCell ref="E6:H6"/>
    <mergeCell ref="C11:C14"/>
    <mergeCell ref="D11:D14"/>
    <mergeCell ref="D28:E28"/>
    <mergeCell ref="D26:E26"/>
    <mergeCell ref="D24:E24"/>
    <mergeCell ref="D23:E23"/>
    <mergeCell ref="D22:E22"/>
    <mergeCell ref="D27:E27"/>
    <mergeCell ref="D25:E25"/>
    <mergeCell ref="D40:E40"/>
    <mergeCell ref="D38:E38"/>
    <mergeCell ref="D37:E37"/>
    <mergeCell ref="D47:E47"/>
    <mergeCell ref="D32:E32"/>
    <mergeCell ref="D36:E36"/>
    <mergeCell ref="D35:E35"/>
    <mergeCell ref="D34:E34"/>
    <mergeCell ref="D33:E33"/>
    <mergeCell ref="D39:E39"/>
    <mergeCell ref="B2:H3"/>
    <mergeCell ref="B11:B14"/>
    <mergeCell ref="D21:E21"/>
    <mergeCell ref="D20:E20"/>
    <mergeCell ref="D19:E19"/>
    <mergeCell ref="B8:H10"/>
    <mergeCell ref="C4:H4"/>
    <mergeCell ref="B18:H18"/>
    <mergeCell ref="F15:H15"/>
    <mergeCell ref="B5:H5"/>
    <mergeCell ref="E11:E14"/>
    <mergeCell ref="F11:H12"/>
    <mergeCell ref="F13:H13"/>
    <mergeCell ref="F14:H14"/>
    <mergeCell ref="B7:H7"/>
    <mergeCell ref="G51:H51"/>
    <mergeCell ref="D51:E51"/>
    <mergeCell ref="D41:E41"/>
    <mergeCell ref="G41:H41"/>
    <mergeCell ref="D50:E50"/>
    <mergeCell ref="G50:H50"/>
    <mergeCell ref="D46:E46"/>
    <mergeCell ref="D45:E45"/>
    <mergeCell ref="D43:E43"/>
    <mergeCell ref="D44:E44"/>
    <mergeCell ref="D49:E49"/>
    <mergeCell ref="D48:E48"/>
  </mergeCells>
  <conditionalFormatting sqref="B8">
    <cfRule type="expression" dxfId="11" priority="3">
      <formula>OR($D$6="",$D$6="No")</formula>
    </cfRule>
  </conditionalFormatting>
  <conditionalFormatting sqref="B52:H52">
    <cfRule type="expression" dxfId="10" priority="9">
      <formula>OR($D$6="",$D$6="No")</formula>
    </cfRule>
  </conditionalFormatting>
  <conditionalFormatting sqref="D11:E14">
    <cfRule type="expression" dxfId="9" priority="1">
      <formula>OR($D$6="",$D$6="No")</formula>
    </cfRule>
  </conditionalFormatting>
  <conditionalFormatting sqref="D15:E15">
    <cfRule type="expression" dxfId="8" priority="4">
      <formula>OR($D$6="",$D$6="No")</formula>
    </cfRule>
  </conditionalFormatting>
  <conditionalFormatting sqref="D16:E16">
    <cfRule type="expression" dxfId="7" priority="5">
      <formula>OR($D$6="",$D$6="No")</formula>
    </cfRule>
  </conditionalFormatting>
  <conditionalFormatting sqref="D20:E40 D43:E49">
    <cfRule type="expression" dxfId="6" priority="11">
      <formula>OR($D$6="",$D$6="No")</formula>
    </cfRule>
  </conditionalFormatting>
  <conditionalFormatting sqref="F11:H12">
    <cfRule type="expression" dxfId="5" priority="7">
      <formula>OR($D$6="",$D$6="No")</formula>
    </cfRule>
  </conditionalFormatting>
  <conditionalFormatting sqref="F13:H16">
    <cfRule type="expression" dxfId="4" priority="8">
      <formula>OR($D$6="",$D$6="No")</formula>
    </cfRule>
  </conditionalFormatting>
  <conditionalFormatting sqref="H20:H40 H43:H49">
    <cfRule type="containsText" dxfId="3" priority="13" operator="containsText" text="Over">
      <formula>NOT(ISERROR(SEARCH("Over",H20)))</formula>
    </cfRule>
  </conditionalFormatting>
  <dataValidations count="1">
    <dataValidation type="list" allowBlank="1" showInputMessage="1" showErrorMessage="1" sqref="D6" xr:uid="{D69AA037-8025-4C49-8137-D2500ACC0680}">
      <formula1>YesNo</formula1>
    </dataValidation>
  </dataValidations>
  <printOptions horizontalCentered="1"/>
  <pageMargins left="0.25" right="0.25" top="0.75" bottom="0.75" header="0.3" footer="0.3"/>
  <pageSetup scale="67"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3E2EA373DFBD498FB42C39A405DE83" ma:contentTypeVersion="10" ma:contentTypeDescription="Create a new document." ma:contentTypeScope="" ma:versionID="03d0dfa26eedd4aef57194e9c5f2645d">
  <xsd:schema xmlns:xsd="http://www.w3.org/2001/XMLSchema" xmlns:xs="http://www.w3.org/2001/XMLSchema" xmlns:p="http://schemas.microsoft.com/office/2006/metadata/properties" xmlns:ns3="26719e3b-3542-432b-a32e-972ad665fc82" xmlns:ns4="56ffe2c2-d06f-4c70-aafd-f032b72c4846" targetNamespace="http://schemas.microsoft.com/office/2006/metadata/properties" ma:root="true" ma:fieldsID="7e5022328c539b0fdb0a8b156f0435e8" ns3:_="" ns4:_="">
    <xsd:import namespace="26719e3b-3542-432b-a32e-972ad665fc82"/>
    <xsd:import namespace="56ffe2c2-d06f-4c70-aafd-f032b72c484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719e3b-3542-432b-a32e-972ad665fc8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ffe2c2-d06f-4c70-aafd-f032b72c484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Q D A A B Q S w M E F A A C A A g A r l n F W u 4 v n K m k A A A A 9 g A A A B I A H A B D b 2 5 m a W c v U G F j a 2 F n Z S 5 4 b W w g o h g A K K A U A A A A A A A A A A A A A A A A A A A A A A A A A A A A h Y 9 N D o I w G E S v Q r q n P 2 D U k I + y c C u J C d G 4 b W q F R i i G F s v d X H g k r y B G U X c u 5 8 1 b z N y v N 8 i G p g 4 u q r O 6 N S l i m K J A G d k e t C l T 1 L t j u E Q Z h 4 2 Q J 1 G q Y J S N T Q Z 7 S F H l 3 D k h x H u P f Y z b r i Q R p Y z s 8 3 U h K 9 U I 9 J H 1 f z n U x j p h p E I c d q 8 x P M J s F m O 2 m G M K Z I K Q a / M V o n H v s / 2 B s O p r 1 3 e K K x N u C y B T B P L + w B 9 Q S w M E F A A C A A g A r l n F 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5 Z x V o o i k e 4 D g A A A B E A A A A T A B w A R m 9 y b X V s Y X M v U 2 V j d G l v b j E u b S C i G A A o o B Q A A A A A A A A A A A A A A A A A A A A A A A A A A A A r T k 0 u y c z P U w i G 0 I b W A F B L A Q I t A B Q A A g A I A K 5 Z x V r u L 5 y p p A A A A P Y A A A A S A A A A A A A A A A A A A A A A A A A A A A B D b 2 5 m a W c v U G F j a 2 F n Z S 5 4 b W x Q S w E C L Q A U A A I A C A C u W c V a D 8 r p q 6 Q A A A D p A A A A E w A A A A A A A A A A A A A A A A D w A A A A W 0 N v b n R l b n R f V H l w Z X N d L n h t b F B L A Q I t A B Q A A g A I A K 5 Z x 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e f 5 E f N I f d R J A M X k n + c D Z V A A A A A A I A A A A A A A N m A A D A A A A A E A A A A B V f 1 B a 3 x x + X 7 s K Q / E P e 9 Z E A A A A A B I A A A K A A A A A Q A A A A Z 1 g h H G Q Y M 6 9 g d 4 1 j I g 6 k A V A A A A C C k S n 4 H I E n t c G x X / T B 3 i w W I h e J / J 3 A Q + h v x t D + e p u 2 U f a 2 e v v + y L k N d h r c k q p 6 F i 4 C 9 x H i H h p O u d i 7 2 q B g S o K V 3 Q 1 z R J G + a F S q 1 N x c 7 X K g X R Q A A A A 1 H V Z 5 w n f 9 0 Y 0 3 / / 9 h X a c N Z v x Q a 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65A20B7-034C-47BD-B3EC-ADE7E84D28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719e3b-3542-432b-a32e-972ad665fc82"/>
    <ds:schemaRef ds:uri="56ffe2c2-d06f-4c70-aafd-f032b72c48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16BD40-A8AB-4FFC-B314-EC33E697B421}">
  <ds:schemaRefs>
    <ds:schemaRef ds:uri="http://schemas.microsoft.com/DataMashup"/>
  </ds:schemaRefs>
</ds:datastoreItem>
</file>

<file path=customXml/itemProps3.xml><?xml version="1.0" encoding="utf-8"?>
<ds:datastoreItem xmlns:ds="http://schemas.openxmlformats.org/officeDocument/2006/customXml" ds:itemID="{425C01C7-4944-482A-A604-FB2AABFE76B4}">
  <ds:schemaRefs>
    <ds:schemaRef ds:uri="http://schemas.microsoft.com/sharepoint/v3/contenttype/forms"/>
  </ds:schemaRefs>
</ds:datastoreItem>
</file>

<file path=customXml/itemProps4.xml><?xml version="1.0" encoding="utf-8"?>
<ds:datastoreItem xmlns:ds="http://schemas.openxmlformats.org/officeDocument/2006/customXml" ds:itemID="{FC350921-0382-4792-91BE-5113F89AB909}">
  <ds:schemaRefs>
    <ds:schemaRef ds:uri="http://schemas.microsoft.com/office/2006/metadata/properties"/>
    <ds:schemaRef ds:uri="http://purl.org/dc/terms/"/>
    <ds:schemaRef ds:uri="http://purl.org/dc/elements/1.1/"/>
    <ds:schemaRef ds:uri="http://purl.org/dc/dcmitype/"/>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56ffe2c2-d06f-4c70-aafd-f032b72c4846"/>
    <ds:schemaRef ds:uri="26719e3b-3542-432b-a32e-972ad665fc8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18</vt:i4>
      </vt:variant>
    </vt:vector>
  </HeadingPairs>
  <TitlesOfParts>
    <vt:vector size="28" baseType="lpstr">
      <vt:lpstr>Review_Extract_Data</vt:lpstr>
      <vt:lpstr>Data</vt:lpstr>
      <vt:lpstr>Hidden</vt:lpstr>
      <vt:lpstr>Instructions</vt:lpstr>
      <vt:lpstr>1. Dashboard</vt:lpstr>
      <vt:lpstr>2. L-2 Worksheet</vt:lpstr>
      <vt:lpstr>3. L-2 Dollar Certification</vt:lpstr>
      <vt:lpstr>FundLevelDataExtract</vt:lpstr>
      <vt:lpstr>4. Levy Rate Calculation</vt:lpstr>
      <vt:lpstr>5. Voter Tracker</vt:lpstr>
      <vt:lpstr>AnnexationBudgetIncrease</vt:lpstr>
      <vt:lpstr>CountyList</vt:lpstr>
      <vt:lpstr>DistrictName</vt:lpstr>
      <vt:lpstr>HighestofLast3yrs</vt:lpstr>
      <vt:lpstr>MaxNonExemptLevy</vt:lpstr>
      <vt:lpstr>NewConstructionBudgetIncrease</vt:lpstr>
      <vt:lpstr>NonExemptLevyAmount</vt:lpstr>
      <vt:lpstr>'1. Dashboard'!Print_Area</vt:lpstr>
      <vt:lpstr>'2. L-2 Worksheet'!Print_Area</vt:lpstr>
      <vt:lpstr>'3. L-2 Dollar Certification'!Print_Area</vt:lpstr>
      <vt:lpstr>'4. Levy Rate Calculation'!Print_Area</vt:lpstr>
      <vt:lpstr>'5. Voter Tracker'!Print_Area</vt:lpstr>
      <vt:lpstr>Instructions!Print_Area</vt:lpstr>
      <vt:lpstr>'2. L-2 Worksheet'!Print_Titles</vt:lpstr>
      <vt:lpstr>ReductionByPercentCap</vt:lpstr>
      <vt:lpstr>SCOstatus</vt:lpstr>
      <vt:lpstr>URbudgetIncrease</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Allison Dodge</cp:lastModifiedBy>
  <cp:lastPrinted>2026-04-16T19:22:17Z</cp:lastPrinted>
  <dcterms:created xsi:type="dcterms:W3CDTF">2021-03-02T15:46:05Z</dcterms:created>
  <dcterms:modified xsi:type="dcterms:W3CDTF">2026-04-27T15:34:06Z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0x010100A03E2EA373DFBD498FB42C39A405DE83</vt:lpwstr>
  </property>
</Properties>
</file>