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FEA92176-B2D8-4C47-98BB-10D2E02D26BC}" xr6:coauthVersionLast="47" xr6:coauthVersionMax="47" xr10:uidLastSave="{00000000-0000-0000-0000-000000000000}"/>
  <bookViews>
    <workbookView xWindow="-12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7" i="13" l="1"/>
  <c r="AD367" i="13"/>
  <c r="AD1046" i="13"/>
  <c r="AD1045" i="13"/>
  <c r="AD880" i="13"/>
  <c r="AD1067" i="13"/>
  <c r="B34" i="14" l="1"/>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B47" i="7" l="1"/>
  <c r="G45" i="7"/>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E31" i="4" l="1"/>
  <c r="C5" i="17" a="1"/>
  <c r="E25" i="4" a="1"/>
  <c r="G25" i="14" a="1"/>
  <c r="E30" i="4"/>
  <c r="C4" i="17" a="1"/>
  <c r="G24" i="14" a="1"/>
  <c r="E24" i="4" s="1" a="1"/>
  <c r="E29" i="4"/>
  <c r="G23" i="14" a="1"/>
  <c r="E23" i="4" s="1" a="1"/>
  <c r="G22" i="14"/>
  <c r="G38" i="14" a="1"/>
  <c r="V5" i="17"/>
  <c r="W5" i="17"/>
  <c r="G37" i="14" a="1"/>
  <c r="V4" i="17"/>
  <c r="V3" i="17"/>
  <c r="G36" i="14" a="1"/>
  <c r="G35" i="14"/>
  <c r="AB5" i="17"/>
  <c r="AZ5" i="17"/>
  <c r="AB4" i="17"/>
  <c r="AZ4" i="17"/>
  <c r="AB3" i="17"/>
  <c r="AZ3" i="17"/>
  <c r="AY3" i="17"/>
  <c r="F3" i="17"/>
  <c r="D3" i="17"/>
  <c r="E3" i="17"/>
  <c r="AN3" i="17"/>
  <c r="AO3" i="17"/>
  <c r="AP3" i="17"/>
  <c r="J3" i="17"/>
  <c r="M3" i="17"/>
  <c r="AG3" i="17"/>
  <c r="D4" i="17"/>
  <c r="E4" i="17"/>
  <c r="D5" i="17"/>
  <c r="E5" i="17"/>
  <c r="F4" i="17"/>
  <c r="F5" i="17"/>
  <c r="G33" i="14" a="1"/>
  <c r="G28" i="14" a="1"/>
  <c r="G32" i="14" a="1"/>
  <c r="G31" i="14"/>
  <c r="G27" i="14" a="1"/>
  <c r="B37" i="4" s="1"/>
  <c r="G26" i="14"/>
  <c r="B36" i="4" s="1"/>
  <c r="G29" i="14" a="1"/>
  <c r="G34" i="14" a="1"/>
  <c r="G16" i="14"/>
  <c r="G17" i="14" a="1"/>
  <c r="AQ4" i="17"/>
  <c r="G18" i="14" a="1"/>
  <c r="AQ5" i="17"/>
  <c r="G19" i="14" a="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H61" i="14" a="1"/>
  <c r="B62" i="14" s="1"/>
  <c r="C2" i="17" a="1"/>
  <c r="C3" i="19" s="1"/>
  <c r="G8" i="4" a="1"/>
  <c r="E22" i="4" a="1"/>
  <c r="E26" i="4" s="1"/>
  <c r="E71" i="4" a="1"/>
  <c r="E70" i="4" a="1"/>
  <c r="E69" i="4" a="1"/>
  <c r="C9" i="4" a="1"/>
  <c r="G10" i="4" a="1"/>
  <c r="E10" i="4" a="1"/>
  <c r="C6" i="4" a="1"/>
  <c r="E12" i="4" a="1"/>
  <c r="G9" i="4" a="1"/>
  <c r="G6" i="4" a="1"/>
  <c r="E6" i="4" a="1"/>
  <c r="C10" i="4" a="1"/>
  <c r="C7" i="4" a="1"/>
  <c r="G12" i="4" a="1"/>
  <c r="C8" i="4" a="1"/>
  <c r="E9" i="4" a="1"/>
  <c r="G7" i="4" a="1"/>
  <c r="G11" i="4" a="1"/>
  <c r="E7" i="4" a="1"/>
  <c r="E11" i="4" a="1"/>
  <c r="C11" i="4" a="1"/>
  <c r="E8" i="4" a="1"/>
  <c r="C12" i="4" a="1"/>
  <c r="B31" i="4"/>
  <c r="B25" i="4"/>
  <c r="B28" i="4"/>
  <c r="B22" i="4"/>
  <c r="B23" i="4"/>
  <c r="B29" i="4"/>
  <c r="B30" i="4"/>
  <c r="B24" i="4"/>
  <c r="C19" i="14"/>
  <c r="B17" i="10"/>
  <c r="C18" i="14"/>
  <c r="B16" i="10"/>
  <c r="C17" i="14"/>
  <c r="B15" i="10"/>
  <c r="C21" i="19" l="1"/>
  <c r="C20" i="19"/>
  <c r="C19" i="19"/>
  <c r="C22" i="19"/>
  <c r="C2" i="19"/>
  <c r="C18" i="19"/>
  <c r="C17" i="19"/>
  <c r="B3" i="17" a="1"/>
  <c r="C5" i="4" a="1"/>
  <c r="E5" i="4" a="1"/>
  <c r="G5" i="4" a="1"/>
  <c r="E45" i="4"/>
  <c r="B40" i="10"/>
  <c r="C13" i="4" l="1"/>
  <c r="G75" i="4"/>
  <c r="E13" i="4"/>
  <c r="G13" i="4"/>
  <c r="G42" i="7" l="1"/>
  <c r="AV2" i="17"/>
  <c r="AV3" i="17" s="1"/>
  <c r="I77" i="14"/>
  <c r="E66" i="4"/>
  <c r="G2" i="17"/>
  <c r="G3" i="17" s="1"/>
  <c r="G18" i="4"/>
  <c r="AV5" i="17"/>
  <c r="B46" i="10"/>
  <c r="B47" i="10"/>
  <c r="B48" i="10"/>
  <c r="B49" i="10"/>
  <c r="C46" i="10"/>
  <c r="C47" i="10"/>
  <c r="C48" i="10"/>
  <c r="C49" i="10"/>
  <c r="E50" i="4" l="1"/>
  <c r="G19" i="4"/>
  <c r="H79" i="14"/>
  <c r="H78" i="14"/>
  <c r="H80" i="14"/>
  <c r="H19" i="4"/>
  <c r="H2" i="17"/>
  <c r="H3" i="17" s="1"/>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F3" i="17" s="1"/>
  <c r="AL2" i="17"/>
  <c r="AK3" i="17"/>
  <c r="AK5" i="17"/>
  <c r="AK4"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tc={C9254262-0590-4C65-B883-102681CCC3F7}</author>
    <author>tc={52FF3A91-BD9D-4131-88D0-FD3B324BDAF0}</author>
    <author>tc={12EA3D8C-DB55-4EF8-9207-CE2A368953DA}</author>
    <author>tc={FD1A43F5-CE21-4708-B31B-7296A1CDE0FB}</author>
    <author>tc={CA122BF3-EB67-411E-A7F6-71D7F28D6A5E}</author>
    <author>tc={EE76200F-5F65-4D3F-BA4F-473EA90042FE}</author>
    <author>tc={68D0F1CE-55D5-4BF9-91CE-E8FCEA15194D}</author>
    <author>tc={68265230-9ED2-4162-A63F-C6CD64C5B026}</author>
    <author>tc={475BFBD2-BA3B-4F7C-9881-4B91244423AC}</author>
    <author>tc={068FCDC1-21C3-4975-9F81-9A161E4450CB}</author>
    <author>tc={47586830-3C4B-4D63-94AE-20D458AF0243}</author>
    <author>tc={AB9E3240-34D9-468B-86D8-CB47056F242F}</author>
    <author>tc={8F7D9713-7D87-402A-9C3B-580243BC5AAE}</author>
    <author>tc={8AB046E5-1182-4A55-B89F-9DD73470A012}</author>
    <author>tc={D79F0838-7650-4F3E-8A6B-F817E5FCB633}</author>
    <author>tc={BCB58AB6-8F7F-4646-B9D0-15BDD0C4B3AF}</author>
    <author>tc={9C5AF2AB-4E45-4768-A970-A396EE12CCD3}</author>
    <author>tc={56D41A7A-BE15-41C3-B171-63781CEB32D5}</author>
    <author>tc={D90B2FA0-C9EE-4C00-A294-E5F6D6C04BBF}</author>
    <author>tc={DF859D85-440F-4B1F-8AB4-7668E87A8D20}</author>
    <author>tc={7766BE7E-3539-4728-9110-29707E6CFAD5}</author>
    <author>tc={67D95A45-0818-46E0-BC60-77686A12B62D}</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AD17" authorId="9" shapeId="0" xr:uid="{C9254262-0590-4C65-B883-102681CCC3F7}">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7" authorId="10" shapeId="0" xr:uid="{52FF3A91-BD9D-4131-88D0-FD3B324BDAF0}">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D18" authorId="11" shapeId="0" xr:uid="{12EA3D8C-DB55-4EF8-9207-CE2A368953DA}">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0" authorId="12"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3"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4"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5"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367" authorId="16" shapeId="0" xr:uid="{68265230-9ED2-4162-A63F-C6CD64C5B026}">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367" authorId="17" shapeId="0" xr:uid="{475BFBD2-BA3B-4F7C-9881-4B91244423AC}">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484" authorId="18"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9"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20"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21"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22"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880" authorId="23" shapeId="0" xr:uid="{D79F0838-7650-4F3E-8A6B-F817E5FCB633}">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880" authorId="24" shapeId="0" xr:uid="{BCB58AB6-8F7F-4646-B9D0-15BDD0C4B3AF}">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969" authorId="25"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1045" authorId="26" shapeId="0" xr:uid="{56D41A7A-BE15-41C3-B171-63781CEB32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045" authorId="27" shapeId="0" xr:uid="{D90B2FA0-C9EE-4C00-A294-E5F6D6C04BBF}">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I1046" authorId="28" shapeId="0" xr:uid="{DF859D85-440F-4B1F-8AB4-7668E87A8D20}">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AD1067" authorId="29" shapeId="0" xr:uid="{7766BE7E-3539-4728-9110-29707E6CFA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I1067" authorId="30" shapeId="0" xr:uid="{67D95A45-0818-46E0-BC60-77686A12B62D}">
      <text>
        <t>[Threaded comment]
Your version of Excel allows you to read this threaded comment; however, any edits to it will get removed if the file is opened in a newer version of Excel. Learn more: https://go.microsoft.com/fwlink/?linkid=870924
Comment:
    Includes permanent override</t>
      </text>
    </comment>
    <comment ref="G1087" authorId="31"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<sst xmlns="http://schemas.openxmlformats.org/spreadsheetml/2006/main" count="6876" uniqueCount="1392">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</sst>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3">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0" fillId="6" borderId="0" xfId="0" applyFill="1"/>
    <xf numFmtId="167" fontId="0" fillId="6" borderId="0" xfId="0" applyNumberFormat="1" applyFill="1"/>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xf numFmtId="0" fontId="10" fillId="2" borderId="26" xfId="0" applyFont="1" applyFill="1" applyBorder="1"/>
    <xf numFmtId="0" fontId="10" fillId="2" borderId="14" xfId="0" applyFont="1" applyFill="1" applyBorder="1"/>
    <xf numFmtId="0" fontId="10" fillId="2" borderId="18" xfId="0" applyFont="1" applyFill="1" applyBorder="1"/>
    <xf numFmtId="0" fontId="10" fillId="2" borderId="19" xfId="0" applyFont="1" applyFill="1" applyBorder="1"/>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11"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0" fontId="10" fillId="2" borderId="14" xfId="0" applyFont="1" applyFill="1" applyBorder="1" applyAlignment="1">
      <alignment horizontal="left"/>
    </xf>
    <xf numFmtId="0" fontId="10" fillId="2" borderId="18" xfId="0" applyFont="1" applyFill="1" applyBorder="1" applyAlignment="1">
      <alignment horizontal="left"/>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42" xfId="0" applyFont="1" applyFill="1" applyBorder="1"/>
    <xf numFmtId="0" fontId="10" fillId="2" borderId="44" xfId="0" applyFont="1" applyFill="1" applyBorder="1"/>
    <xf numFmtId="0" fontId="10" fillId="2" borderId="2" xfId="0" applyFont="1" applyFill="1" applyBorder="1" applyAlignment="1">
      <alignment horizontal="left"/>
    </xf>
    <xf numFmtId="0" fontId="10" fillId="2" borderId="0" xfId="0" applyFont="1" applyFill="1" applyAlignment="1">
      <alignment horizontal="left"/>
    </xf>
    <xf numFmtId="0" fontId="10" fillId="2" borderId="29" xfId="0" applyFont="1" applyFill="1" applyBorder="1" applyAlignment="1">
      <alignment horizontal="left"/>
    </xf>
    <xf numFmtId="0" fontId="10" fillId="2" borderId="26" xfId="0" applyFont="1" applyFill="1" applyBorder="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10" fillId="2" borderId="19"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10" fillId="2" borderId="10" xfId="0" applyFont="1" applyFill="1" applyBorder="1" applyAlignment="1">
      <alignment horizontal="left" vertical="center" wrapText="1"/>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9" xfId="0" applyFont="1" applyFill="1" applyBorder="1" applyAlignment="1">
      <alignment vertical="center" wrapText="1"/>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0" fontId="10" fillId="2" borderId="35" xfId="0" applyFont="1" applyFill="1" applyBorder="1"/>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31" xfId="0" applyFont="1" applyFill="1" applyBorder="1"/>
    <xf numFmtId="0" fontId="10" fillId="2" borderId="29" xfId="0" applyFont="1" applyFill="1" applyBorder="1" applyAlignment="1">
      <alignment horizontal="left" wrapText="1"/>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0" fillId="0" borderId="5" xfId="0" applyBorder="1"/>
    <xf numFmtId="0" fontId="0" fillId="0" borderId="11" xfId="0" applyBorder="1"/>
    <xf numFmtId="0" fontId="0" fillId="0" borderId="6" xfId="0" applyBorder="1"/>
    <xf numFmtId="0" fontId="0" fillId="0" borderId="2" xfId="0" applyBorder="1"/>
    <xf numFmtId="0" fontId="0" fillId="0" borderId="0" xfId="0"/>
    <xf numFmtId="0" fontId="0" fillId="0" borderId="3"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8" xfId="0" applyBorder="1"/>
    <xf numFmtId="0" fontId="0" fillId="0" borderId="10" xfId="0" applyBorder="1"/>
    <xf numFmtId="0" fontId="0" fillId="0" borderId="9" xfId="0" applyBorder="1"/>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8" fontId="7" fillId="0" borderId="60" xfId="116" applyNumberFormat="1" applyFont="1" applyBorder="1" applyAlignment="1" applyProtection="1">
      <alignment vertical="center" wrapText="1"/>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168" fontId="7" fillId="0" borderId="1" xfId="116" applyNumberFormat="1" applyFont="1" applyBorder="1" applyAlignment="1" applyProtection="1">
      <alignment vertical="center" wrapText="1"/>
      <protection hidden="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0" fontId="7" fillId="0" borderId="10" xfId="114" applyFont="1" applyBorder="1" applyAlignment="1">
      <alignment horizontal="left"/>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7" fillId="0" borderId="42" xfId="114" applyFont="1" applyBorder="1" applyAlignment="1">
      <alignment horizontal="lef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18" xfId="114" applyFont="1" applyBorder="1" applyAlignment="1">
      <alignment vertical="center" wrapText="1"/>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9" borderId="1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10" fillId="2" borderId="5" xfId="114" applyFont="1" applyFill="1" applyBorder="1" applyAlignment="1">
      <alignment horizontal="left"/>
    </xf>
    <xf numFmtId="0" fontId="10" fillId="2" borderId="25" xfId="114" applyFont="1" applyFill="1" applyBorder="1" applyAlignment="1">
      <alignment horizontal="left"/>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11"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7" fillId="0" borderId="10" xfId="114" applyFont="1" applyBorder="1"/>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7" fillId="0" borderId="11" xfId="114" applyFont="1" applyBorder="1" applyAlignment="1">
      <alignment horizontal="center"/>
    </xf>
    <xf numFmtId="0" fontId="10" fillId="2" borderId="35" xfId="114" applyFont="1" applyFill="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17" xfId="114" applyFont="1" applyFill="1" applyBorder="1" applyAlignment="1">
      <alignment horizontal="center"/>
    </xf>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0" fontId="7" fillId="0" borderId="2" xfId="114" applyFont="1" applyBorder="1"/>
    <xf numFmtId="0" fontId="7" fillId="0" borderId="0" xfId="114" applyFont="1"/>
    <xf numFmtId="167" fontId="7" fillId="0" borderId="2" xfId="114" applyNumberFormat="1" applyFont="1" applyBorder="1" applyAlignment="1">
      <alignment horizontal="left"/>
    </xf>
    <xf numFmtId="167" fontId="7" fillId="0" borderId="0" xfId="114" applyNumberFormat="1" applyFont="1" applyAlignment="1">
      <alignment horizontal="left"/>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AD17" dT="2026-06-12T16:11:47.39" personId="{4C56F39F-21B0-42D4-B3A7-5AA65911BEB8}" id="{C9254262-0590-4C65-B883-102681CCC3F7}">
    <text>Permanent override included</text>
  </threadedComment>
  <threadedComment ref="AI17" dT="2026-06-12T16:11:27.73" personId="{4C56F39F-21B0-42D4-B3A7-5AA65911BEB8}" id="{52FF3A91-BD9D-4131-88D0-FD3B324BDAF0}">
    <text>Includes permanent override</text>
  </threadedComment>
  <threadedComment ref="AD18" dT="2026-05-05T21:05:38.69" personId="{4C56F39F-21B0-42D4-B3A7-5AA65911BEB8}" id="{12EA3D8C-DB55-4EF8-9207-CE2A368953DA}">
    <text>Permanent override included</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AD367" dT="2026-05-05T21:04:07.91" personId="{4C56F39F-21B0-42D4-B3A7-5AA65911BEB8}" id="{68265230-9ED2-4162-A63F-C6CD64C5B026}">
    <text>Permanent override included</text>
  </threadedComment>
  <threadedComment ref="AI367" dT="2026-06-12T16:10:33.15" personId="{4C56F39F-21B0-42D4-B3A7-5AA65911BEB8}" id="{475BFBD2-BA3B-4F7C-9881-4B91244423AC}">
    <text>Includes permanent override</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AD880" dT="2026-05-05T21:00:57.76" personId="{4C56F39F-21B0-42D4-B3A7-5AA65911BEB8}" id="{D79F0838-7650-4F3E-8A6B-F817E5FCB633}">
    <text>Permanent override included</text>
  </threadedComment>
  <threadedComment ref="AI880" dT="2026-06-12T16:08:56.68" personId="{4C56F39F-21B0-42D4-B3A7-5AA65911BEB8}" id="{BCB58AB6-8F7F-4646-B9D0-15BDD0C4B3AF}">
    <text>Includes permanent override</text>
  </threadedComment>
  <threadedComment ref="G969" dT="2023-03-20T21:08:52.05" personId="{4C56F39F-21B0-42D4-B3A7-5AA65911BEB8}" id="{9C5AF2AB-4E45-4768-A970-A396EE12CCD3}">
    <text>Has a county R&amp;B that is NOT county-wide.</text>
  </threadedComment>
  <threadedComment ref="AD1045" dT="2026-05-05T21:03:06.52" personId="{4C56F39F-21B0-42D4-B3A7-5AA65911BEB8}" id="{56D41A7A-BE15-41C3-B171-63781CEB32D5}">
    <text>Permanent override included</text>
  </threadedComment>
  <threadedComment ref="AI1045" dT="2026-06-12T16:09:48.27" personId="{4C56F39F-21B0-42D4-B3A7-5AA65911BEB8}" id="{D90B2FA0-C9EE-4C00-A294-E5F6D6C04BBF}">
    <text>Includes permanent override</text>
  </threadedComment>
  <threadedComment ref="AI1046" dT="2026-06-12T16:09:48.27" personId="{4C56F39F-21B0-42D4-B3A7-5AA65911BEB8}" id="{DF859D85-440F-4B1F-8AB4-7668E87A8D20}">
    <text>Includes permanent override</text>
  </threadedComment>
  <threadedComment ref="AD1067" dT="2026-05-05T21:00:07.72" personId="{4C56F39F-21B0-42D4-B3A7-5AA65911BEB8}" id="{7766BE7E-3539-4728-9110-29707E6CFAD5}">
    <text>Permanent override included</text>
  </threadedComment>
  <threadedComment ref="AI1067" dT="2026-06-12T16:08:19.02" personId="{4C56F39F-21B0-42D4-B3A7-5AA65911BEB8}" id="{67D95A45-0818-46E0-BC60-77686A12B62D}">
    <text>Includes permanent override</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596</v>
      </c>
      <c r="C1" s="156" t="s">
        <v>1146</v>
      </c>
      <c r="D1" s="156" t="s">
        <v>1321</v>
      </c>
      <c r="E1" s="156" t="s">
        <v>1334</v>
      </c>
      <c r="F1" s="156" t="s">
        <v>1330</v>
      </c>
      <c r="G1" s="156" t="s">
        <v>1222</v>
      </c>
      <c r="H1" s="156" t="s">
        <v>1223</v>
      </c>
      <c r="I1" s="156" t="s">
        <v>1122</v>
      </c>
      <c r="J1" s="156" t="s">
        <v>1331</v>
      </c>
      <c r="K1" s="156" t="s">
        <v>1123</v>
      </c>
      <c r="L1" s="156" t="s">
        <v>1114</v>
      </c>
      <c r="M1" s="156" t="s">
        <v>1381</v>
      </c>
      <c r="N1" s="156" t="s">
        <v>1124</v>
      </c>
      <c r="O1" s="156" t="s">
        <v>1382</v>
      </c>
      <c r="P1" s="156" t="s">
        <v>1383</v>
      </c>
      <c r="Q1" s="156" t="s">
        <v>1384</v>
      </c>
      <c r="R1" s="156" t="s">
        <v>1385</v>
      </c>
      <c r="S1" s="156" t="s">
        <v>1315</v>
      </c>
      <c r="T1" s="156" t="s">
        <v>1316</v>
      </c>
      <c r="U1" s="156" t="s">
        <v>1317</v>
      </c>
      <c r="V1" s="156" t="s">
        <v>1386</v>
      </c>
      <c r="W1" s="156" t="s">
        <v>1387</v>
      </c>
      <c r="X1" s="156" t="s">
        <v>1375</v>
      </c>
      <c r="Y1" s="156" t="s">
        <v>1109</v>
      </c>
      <c r="Z1" s="156" t="s">
        <v>1110</v>
      </c>
      <c r="AA1" s="156" t="s">
        <v>1221</v>
      </c>
      <c r="AB1" s="156" t="s">
        <v>1391</v>
      </c>
      <c r="AC1" s="156" t="s">
        <v>1111</v>
      </c>
      <c r="AD1" s="156" t="s">
        <v>1112</v>
      </c>
      <c r="AE1" s="156" t="s">
        <v>1113</v>
      </c>
      <c r="AF1" s="156" t="s">
        <v>1115</v>
      </c>
      <c r="AG1" s="156" t="s">
        <v>1117</v>
      </c>
      <c r="AH1" s="156" t="s">
        <v>1116</v>
      </c>
      <c r="AI1" s="156" t="s">
        <v>1119</v>
      </c>
      <c r="AJ1" s="156" t="s">
        <v>1120</v>
      </c>
      <c r="AK1" s="156" t="str">
        <f>LEFT('1. Dashboard'!B8,4)&amp;"RecoveredForgone"</f>
        <v>2026RecoveredForgone</v>
      </c>
      <c r="AL1" s="156" t="str">
        <f>LEFT('1. Dashboard'!B8,4)&amp;"ActualForgone"</f>
        <v>2026ActualForgone</v>
      </c>
      <c r="AM1" s="156" t="str">
        <f>LEFT('1. Dashboard'!B8,4)&amp;"ReservedForgone"</f>
        <v>2026ReservedForgone</v>
      </c>
      <c r="AN1" s="156" t="s">
        <v>1127</v>
      </c>
      <c r="AO1" s="156" t="s">
        <v>1128</v>
      </c>
      <c r="AP1" s="156" t="s">
        <v>1129</v>
      </c>
      <c r="AQ1" s="156" t="s">
        <v>1318</v>
      </c>
      <c r="AR1" s="156" t="s">
        <v>1130</v>
      </c>
      <c r="AS1" s="156" t="s">
        <v>1131</v>
      </c>
      <c r="AT1" s="156" t="s">
        <v>1132</v>
      </c>
      <c r="AU1" s="156" t="s">
        <v>1161</v>
      </c>
      <c r="AV1" s="156" t="s">
        <v>1220</v>
      </c>
      <c r="AW1" s="156" t="s">
        <v>1313</v>
      </c>
      <c r="AX1" s="156" t="s">
        <v>1314</v>
      </c>
      <c r="AY1" s="156" t="s">
        <v>1225</v>
      </c>
      <c r="AZ1" s="156" t="s">
        <v>1358</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0</v>
      </c>
      <c r="AO2" s="183">
        <f>'4. Levy Rate Calculation'!D15</f>
        <v>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6" sqref="D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20"/>
      <c r="C1" s="620"/>
      <c r="D1" s="620"/>
      <c r="E1" s="620"/>
      <c r="F1" s="620"/>
      <c r="G1" s="620"/>
      <c r="H1" s="620"/>
    </row>
    <row r="2" spans="1:8" ht="16.899999999999999" customHeight="1" x14ac:dyDescent="0.25">
      <c r="B2" s="640" t="str">
        <f>LEFT('1. Dashboard'!$B$8,4)&amp;" Levy Rate Calculation Worksheet
(For County Use Only)"</f>
        <v>2026 Levy Rate Calculation Worksheet
(For County Use Only)</v>
      </c>
      <c r="C2" s="641"/>
      <c r="D2" s="641"/>
      <c r="E2" s="641"/>
      <c r="F2" s="641"/>
      <c r="G2" s="641"/>
      <c r="H2" s="642"/>
    </row>
    <row r="3" spans="1:8" ht="16.899999999999999" customHeight="1" thickBot="1" x14ac:dyDescent="0.3">
      <c r="B3" s="643"/>
      <c r="C3" s="644"/>
      <c r="D3" s="644"/>
      <c r="E3" s="644"/>
      <c r="F3" s="644"/>
      <c r="G3" s="644"/>
      <c r="H3" s="645"/>
    </row>
    <row r="4" spans="1:8" ht="16.899999999999999" customHeight="1" thickBot="1" x14ac:dyDescent="0.3">
      <c r="B4" s="58" t="s">
        <v>73</v>
      </c>
      <c r="C4" s="656" t="str">
        <f>IF('1. Dashboard'!G13&lt;&gt;0,'1. Dashboard'!G13,"")</f>
        <v/>
      </c>
      <c r="D4" s="656"/>
      <c r="E4" s="656"/>
      <c r="F4" s="656"/>
      <c r="G4" s="656"/>
      <c r="H4" s="657"/>
    </row>
    <row r="5" spans="1:8" ht="16.899999999999999" customHeight="1" thickBot="1" x14ac:dyDescent="0.3">
      <c r="B5" s="621" t="str">
        <f>IF('1. Dashboard'!$G$10="Taxing District Rep", "This page for County Clerk's Office use only. User type can be changed on the Dashboard tab.", "")</f>
        <v>This page for County Clerk's Office use only. User type can be changed on the Dashboard tab.</v>
      </c>
      <c r="C5" s="621"/>
      <c r="D5" s="621"/>
      <c r="E5" s="622"/>
      <c r="F5" s="622"/>
      <c r="G5" s="622"/>
      <c r="H5" s="622"/>
    </row>
    <row r="6" spans="1:8" ht="16.899999999999999" customHeight="1" thickBot="1" x14ac:dyDescent="0.3">
      <c r="B6" s="661" t="s">
        <v>1294</v>
      </c>
      <c r="C6" s="662"/>
      <c r="D6" s="254"/>
      <c r="E6" s="663" t="str">
        <f>IF($D$6="Yes","Some funds may not generate revenue for Urban Renewal (see below).","Cells related to urban renewal will be hidden unless necessary.")</f>
        <v>Cells related to urban renewal will be hidden unless necessary.</v>
      </c>
      <c r="F6" s="621"/>
      <c r="G6" s="621"/>
      <c r="H6" s="664"/>
    </row>
    <row r="7" spans="1:8" ht="16.899999999999999" customHeight="1" thickBot="1" x14ac:dyDescent="0.3">
      <c r="B7" s="621"/>
      <c r="C7" s="621"/>
      <c r="D7" s="621"/>
      <c r="E7" s="621"/>
      <c r="F7" s="621"/>
      <c r="G7" s="621"/>
      <c r="H7" s="621"/>
    </row>
    <row r="8" spans="1:8" ht="16.899999999999999" customHeight="1" x14ac:dyDescent="0.25">
      <c r="B8" s="647"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48"/>
      <c r="D8" s="648"/>
      <c r="E8" s="648"/>
      <c r="F8" s="648"/>
      <c r="G8" s="648"/>
      <c r="H8" s="649"/>
    </row>
    <row r="9" spans="1:8" ht="16.5" customHeight="1" x14ac:dyDescent="0.25">
      <c r="B9" s="650"/>
      <c r="C9" s="651"/>
      <c r="D9" s="651"/>
      <c r="E9" s="651"/>
      <c r="F9" s="651"/>
      <c r="G9" s="651"/>
      <c r="H9" s="652"/>
    </row>
    <row r="10" spans="1:8" ht="16.899999999999999" customHeight="1" thickBot="1" x14ac:dyDescent="0.3">
      <c r="B10" s="653"/>
      <c r="C10" s="654"/>
      <c r="D10" s="654"/>
      <c r="E10" s="654"/>
      <c r="F10" s="654"/>
      <c r="G10" s="654"/>
      <c r="H10" s="655"/>
    </row>
    <row r="11" spans="1:8" ht="16.899999999999999" customHeight="1" x14ac:dyDescent="0.25">
      <c r="B11" s="626" t="s">
        <v>53</v>
      </c>
      <c r="C11" s="624" t="str">
        <f>IF($D$6="Yes","Net Taxable
Market Value
Less U/R Increment","Net Taxable
Market Value")</f>
        <v>Net Taxable
Market Value</v>
      </c>
      <c r="D11" s="624" t="s">
        <v>1272</v>
      </c>
      <c r="E11" s="624" t="s">
        <v>1307</v>
      </c>
      <c r="F11" s="628" t="s">
        <v>1332</v>
      </c>
      <c r="G11" s="629"/>
      <c r="H11" s="630"/>
    </row>
    <row r="12" spans="1:8" ht="16.899999999999999" customHeight="1" x14ac:dyDescent="0.25">
      <c r="B12" s="626"/>
      <c r="C12" s="624"/>
      <c r="D12" s="624"/>
      <c r="E12" s="624"/>
      <c r="F12" s="631"/>
      <c r="G12" s="632"/>
      <c r="H12" s="633"/>
    </row>
    <row r="13" spans="1:8" ht="16.899999999999999" customHeight="1" x14ac:dyDescent="0.25">
      <c r="B13" s="626"/>
      <c r="C13" s="624"/>
      <c r="D13" s="624"/>
      <c r="E13" s="624"/>
      <c r="F13" s="634"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35"/>
      <c r="H13" s="636"/>
    </row>
    <row r="14" spans="1:8" ht="16.5" customHeight="1" x14ac:dyDescent="0.25">
      <c r="B14" s="627"/>
      <c r="C14" s="625"/>
      <c r="D14" s="625"/>
      <c r="E14" s="625"/>
      <c r="F14" s="634"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35"/>
      <c r="H14" s="636"/>
    </row>
    <row r="15" spans="1:8" ht="16.899999999999999" customHeight="1" x14ac:dyDescent="0.25">
      <c r="B15" s="51">
        <f>'1. Dashboard'!G16</f>
        <v>0</v>
      </c>
      <c r="C15" s="35"/>
      <c r="D15" s="35"/>
      <c r="E15" s="35"/>
      <c r="F15" s="634"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35"/>
      <c r="H15" s="636"/>
    </row>
    <row r="16" spans="1:8" ht="16.899999999999999" customHeight="1" x14ac:dyDescent="0.25">
      <c r="B16" s="51" t="str">
        <f>'1. Dashboard'!G17</f>
        <v xml:space="preserve"> </v>
      </c>
      <c r="C16" s="35"/>
      <c r="D16" s="35"/>
      <c r="E16" s="35"/>
      <c r="F16" s="634"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35"/>
      <c r="H16" s="636"/>
    </row>
    <row r="17" spans="2:8" ht="16.899999999999999" customHeight="1" x14ac:dyDescent="0.25">
      <c r="B17" s="51" t="str">
        <f>'1. Dashboard'!G18</f>
        <v xml:space="preserve"> </v>
      </c>
      <c r="C17" s="35"/>
      <c r="D17" s="35"/>
      <c r="E17" s="35"/>
      <c r="F17" s="634"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35"/>
      <c r="H17" s="636"/>
    </row>
    <row r="18" spans="2:8" ht="16.899999999999999" customHeight="1" thickBot="1" x14ac:dyDescent="0.3">
      <c r="B18" s="52" t="str">
        <f>'1. Dashboard'!G19</f>
        <v xml:space="preserve"> </v>
      </c>
      <c r="C18" s="36"/>
      <c r="D18" s="36"/>
      <c r="E18" s="36"/>
      <c r="F18" s="634"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35"/>
      <c r="H18" s="636"/>
    </row>
    <row r="19" spans="2:8" ht="16.899999999999999" customHeight="1" thickTop="1" thickBot="1" x14ac:dyDescent="0.3">
      <c r="B19" s="213" t="s">
        <v>54</v>
      </c>
      <c r="C19" s="214">
        <f t="shared" ref="C19:E19" si="0">SUM(C15:C18)</f>
        <v>0</v>
      </c>
      <c r="D19" s="214">
        <f t="shared" si="0"/>
        <v>0</v>
      </c>
      <c r="E19" s="214">
        <f t="shared" si="0"/>
        <v>0</v>
      </c>
      <c r="F19" s="637"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38"/>
      <c r="H19" s="639"/>
    </row>
    <row r="20" spans="2:8" ht="16.899999999999999" customHeight="1" thickBot="1" x14ac:dyDescent="0.3">
      <c r="B20" s="623"/>
      <c r="C20" s="623"/>
      <c r="D20" s="623"/>
      <c r="E20" s="623"/>
      <c r="F20" s="620"/>
      <c r="G20" s="620"/>
      <c r="H20" s="620"/>
    </row>
    <row r="21" spans="2:8" ht="16.899999999999999" customHeight="1" thickBot="1" x14ac:dyDescent="0.3">
      <c r="B21" s="658" t="s">
        <v>55</v>
      </c>
      <c r="C21" s="659"/>
      <c r="D21" s="659"/>
      <c r="E21" s="659"/>
      <c r="F21" s="659"/>
      <c r="G21" s="659"/>
      <c r="H21" s="660"/>
    </row>
    <row r="22" spans="2:8" ht="48.75" customHeight="1" x14ac:dyDescent="0.25">
      <c r="B22" s="53" t="s">
        <v>31</v>
      </c>
      <c r="C22" s="74" t="s">
        <v>1303</v>
      </c>
      <c r="D22" s="646" t="str">
        <f>IF($D$6="Yes","Enter U/R Increment Value For RAAs That Should NOT Generate 
Revenue From That Specific Fund*","Leave this Column Blank 
(No Urban Renewal)")</f>
        <v>Leave this Column Blank 
(No Urban Renewal)</v>
      </c>
      <c r="E22" s="646"/>
      <c r="F22" s="74" t="s">
        <v>56</v>
      </c>
      <c r="G22" s="74" t="s">
        <v>57</v>
      </c>
      <c r="H22" s="211" t="s">
        <v>58</v>
      </c>
    </row>
    <row r="23" spans="2:8" ht="16.899999999999999" customHeight="1" x14ac:dyDescent="0.25">
      <c r="B23" s="85" t="str">
        <f>IF('3. L-2 Dollar Certification'!B9="","",'3. L-2 Dollar Certification'!B9)</f>
        <v/>
      </c>
      <c r="C23" s="47">
        <f>'3. L-2 Dollar Certification'!H9</f>
        <v>0</v>
      </c>
      <c r="D23" s="614"/>
      <c r="E23" s="615"/>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14"/>
      <c r="E24" s="615"/>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14"/>
      <c r="E25" s="615"/>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14"/>
      <c r="E26" s="615"/>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14"/>
      <c r="E27" s="615"/>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14"/>
      <c r="E28" s="615"/>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14"/>
      <c r="E29" s="615"/>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14"/>
      <c r="E30" s="615"/>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14"/>
      <c r="E31" s="615"/>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14"/>
      <c r="E32" s="615"/>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14"/>
      <c r="E33" s="615"/>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14"/>
      <c r="E34" s="615"/>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14"/>
      <c r="E35" s="615"/>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14"/>
      <c r="E36" s="615"/>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14"/>
      <c r="E37" s="615"/>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14"/>
      <c r="E38" s="615"/>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14"/>
      <c r="E39" s="615"/>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16"/>
      <c r="E40" s="617"/>
      <c r="F40" s="216">
        <f t="shared" si="2"/>
        <v>0</v>
      </c>
      <c r="G40" s="38"/>
      <c r="H40" s="222" t="str">
        <f t="shared" si="3"/>
        <v/>
      </c>
    </row>
    <row r="41" spans="2:13" ht="16.899999999999999" customHeight="1" thickTop="1" thickBot="1" x14ac:dyDescent="0.3">
      <c r="B41" s="217" t="s">
        <v>78</v>
      </c>
      <c r="C41" s="218">
        <f>SUM(C23:C40)</f>
        <v>0</v>
      </c>
      <c r="D41" s="669"/>
      <c r="E41" s="670"/>
      <c r="F41" s="219">
        <f>SUM(F23:F40)</f>
        <v>0</v>
      </c>
      <c r="G41" s="671"/>
      <c r="H41" s="672"/>
    </row>
    <row r="42" spans="2:13" ht="16.899999999999999" customHeight="1" thickBot="1" x14ac:dyDescent="0.3">
      <c r="B42" s="229" t="s">
        <v>75</v>
      </c>
      <c r="C42" s="230"/>
      <c r="D42" s="230"/>
      <c r="E42" s="230"/>
      <c r="F42" s="230"/>
      <c r="G42" s="230"/>
      <c r="H42" s="231"/>
      <c r="I42" s="675" t="str">
        <f>IF('1. Dashboard'!$G$12="School","What levy rates would have been without SDFF reductions:","")</f>
        <v/>
      </c>
      <c r="J42" s="676"/>
      <c r="K42" s="676"/>
      <c r="L42" s="676"/>
      <c r="M42" s="676"/>
    </row>
    <row r="43" spans="2:13" ht="16.899999999999999" customHeight="1" x14ac:dyDescent="0.25">
      <c r="B43" s="84">
        <f>'3. L-2 Dollar Certification'!B33</f>
        <v>0</v>
      </c>
      <c r="C43" s="83">
        <f>'3. L-2 Dollar Certification'!H33</f>
        <v>0</v>
      </c>
      <c r="D43" s="614"/>
      <c r="E43" s="615"/>
      <c r="F43" s="21">
        <f t="shared" ref="F43:F49" si="4">IFERROR(IF(C43="","",ROUND(C43/($C$19+$D43),9)),0)</f>
        <v>0</v>
      </c>
      <c r="G43" s="66"/>
      <c r="H43" s="223" t="str">
        <f t="shared" ref="H43:H49" si="5">IF(OR(F43="",G43=""),"", IF(F43&gt;G43,"Over Max",""))</f>
        <v/>
      </c>
      <c r="I43" s="677" t="str">
        <f>IF('1. Dashboard'!$G$12="School",IFERROR(
    IF(C43="","",ROUND((C43+'3. L-2 Dollar Certification'!F33)/($C$19+$D43),9)),""),"")</f>
        <v/>
      </c>
      <c r="J43" s="678"/>
      <c r="K43" s="678"/>
      <c r="L43" s="678"/>
      <c r="M43" s="678"/>
    </row>
    <row r="44" spans="2:13" ht="16.899999999999999" customHeight="1" x14ac:dyDescent="0.25">
      <c r="B44" s="85">
        <f>'3. L-2 Dollar Certification'!B34</f>
        <v>0</v>
      </c>
      <c r="C44" s="60">
        <f>'3. L-2 Dollar Certification'!H34</f>
        <v>0</v>
      </c>
      <c r="D44" s="614"/>
      <c r="E44" s="615"/>
      <c r="F44" s="21">
        <f t="shared" si="4"/>
        <v>0</v>
      </c>
      <c r="G44" s="61"/>
      <c r="H44" s="224" t="str">
        <f t="shared" si="5"/>
        <v/>
      </c>
      <c r="I44" s="677" t="str">
        <f>IF('1. Dashboard'!$G$12="School",IFERROR(
    IF(C44="","",ROUND((C44+'3. L-2 Dollar Certification'!F34)/($C$19+$D44),9)),""),"")</f>
        <v/>
      </c>
      <c r="J44" s="678"/>
      <c r="K44" s="678"/>
      <c r="L44" s="678"/>
      <c r="M44" s="678"/>
    </row>
    <row r="45" spans="2:13" ht="16.899999999999999" customHeight="1" x14ac:dyDescent="0.25">
      <c r="B45" s="86">
        <f>'3. L-2 Dollar Certification'!B35</f>
        <v>0</v>
      </c>
      <c r="C45" s="47">
        <f>'3. L-2 Dollar Certification'!H35</f>
        <v>0</v>
      </c>
      <c r="D45" s="614"/>
      <c r="E45" s="615"/>
      <c r="F45" s="21">
        <f t="shared" si="4"/>
        <v>0</v>
      </c>
      <c r="G45" s="37"/>
      <c r="H45" s="14" t="str">
        <f t="shared" si="5"/>
        <v/>
      </c>
      <c r="I45" s="677" t="str">
        <f>IF('1. Dashboard'!$G$12="School",IFERROR(
    IF(C45="","",ROUND((C45+'3. L-2 Dollar Certification'!F35)/($C$19+$D45),9)),""),"")</f>
        <v/>
      </c>
      <c r="J45" s="678"/>
      <c r="K45" s="678"/>
      <c r="L45" s="678"/>
      <c r="M45" s="678"/>
    </row>
    <row r="46" spans="2:13" ht="16.899999999999999" customHeight="1" x14ac:dyDescent="0.25">
      <c r="B46" s="86">
        <f>'3. L-2 Dollar Certification'!B36</f>
        <v>0</v>
      </c>
      <c r="C46" s="47">
        <f>'3. L-2 Dollar Certification'!H36</f>
        <v>0</v>
      </c>
      <c r="D46" s="614"/>
      <c r="E46" s="615"/>
      <c r="F46" s="21">
        <f t="shared" si="4"/>
        <v>0</v>
      </c>
      <c r="G46" s="37"/>
      <c r="H46" s="14" t="str">
        <f t="shared" si="5"/>
        <v/>
      </c>
      <c r="I46" s="677" t="str">
        <f>IF('1. Dashboard'!$G$12="School",IFERROR(
    IF(C46="","",ROUND((C46+'3. L-2 Dollar Certification'!F36)/($C$19+$D46),9)),""),"")</f>
        <v/>
      </c>
      <c r="J46" s="678"/>
      <c r="K46" s="678"/>
      <c r="L46" s="678"/>
      <c r="M46" s="678"/>
    </row>
    <row r="47" spans="2:13" ht="16.899999999999999" customHeight="1" x14ac:dyDescent="0.25">
      <c r="B47" s="86">
        <f>'3. L-2 Dollar Certification'!B37</f>
        <v>0</v>
      </c>
      <c r="C47" s="47">
        <f>'3. L-2 Dollar Certification'!H37</f>
        <v>0</v>
      </c>
      <c r="D47" s="614"/>
      <c r="E47" s="615"/>
      <c r="F47" s="21">
        <f t="shared" si="4"/>
        <v>0</v>
      </c>
      <c r="G47" s="37"/>
      <c r="H47" s="14" t="str">
        <f t="shared" si="5"/>
        <v/>
      </c>
      <c r="I47" s="677" t="str">
        <f>IF('1. Dashboard'!$G$12="School",IFERROR(
    IF(C47="","",ROUND((C47+'3. L-2 Dollar Certification'!F37)/($C$19+$D47),9)),""),"")</f>
        <v/>
      </c>
      <c r="J47" s="678"/>
      <c r="K47" s="678"/>
      <c r="L47" s="678"/>
      <c r="M47" s="678"/>
    </row>
    <row r="48" spans="2:13" ht="16.899999999999999" customHeight="1" x14ac:dyDescent="0.25">
      <c r="B48" s="86">
        <f>'3. L-2 Dollar Certification'!B38</f>
        <v>0</v>
      </c>
      <c r="C48" s="47">
        <f>'3. L-2 Dollar Certification'!H38</f>
        <v>0</v>
      </c>
      <c r="D48" s="614"/>
      <c r="E48" s="615"/>
      <c r="F48" s="21">
        <f t="shared" si="4"/>
        <v>0</v>
      </c>
      <c r="G48" s="37"/>
      <c r="H48" s="14" t="str">
        <f t="shared" si="5"/>
        <v/>
      </c>
      <c r="I48" s="677" t="str">
        <f>IF('1. Dashboard'!$G$12="School",IFERROR(
    IF(C48="","",ROUND((C48+'3. L-2 Dollar Certification'!F38)/($C$19+$D48),9)),""),"")</f>
        <v/>
      </c>
      <c r="J48" s="678"/>
      <c r="K48" s="678"/>
      <c r="L48" s="678"/>
      <c r="M48" s="678"/>
    </row>
    <row r="49" spans="2:13" ht="16.899999999999999" customHeight="1" thickBot="1" x14ac:dyDescent="0.3">
      <c r="B49" s="87">
        <f>'3. L-2 Dollar Certification'!B39</f>
        <v>0</v>
      </c>
      <c r="C49" s="81">
        <f>'3. L-2 Dollar Certification'!H39</f>
        <v>0</v>
      </c>
      <c r="D49" s="618"/>
      <c r="E49" s="619"/>
      <c r="F49" s="212">
        <f t="shared" si="4"/>
        <v>0</v>
      </c>
      <c r="G49" s="82"/>
      <c r="H49" s="225" t="str">
        <f t="shared" si="5"/>
        <v/>
      </c>
      <c r="I49" s="677" t="str">
        <f>IF('1. Dashboard'!$G$12="School",IFERROR(
    IF(C49="","",ROUND((C49+'3. L-2 Dollar Certification'!F39)/($C$19+$D49),9)),""),"")</f>
        <v/>
      </c>
      <c r="J49" s="678"/>
      <c r="K49" s="678"/>
      <c r="L49" s="678"/>
      <c r="M49" s="678"/>
    </row>
    <row r="50" spans="2:13" ht="16.899999999999999" customHeight="1" thickTop="1" thickBot="1" x14ac:dyDescent="0.3">
      <c r="B50" s="72" t="s">
        <v>78</v>
      </c>
      <c r="C50" s="73">
        <f>SUM(C43:C49)</f>
        <v>0</v>
      </c>
      <c r="D50" s="673"/>
      <c r="E50" s="674"/>
      <c r="F50" s="88">
        <f>SUM(F43:F49)</f>
        <v>0</v>
      </c>
      <c r="G50" s="671"/>
      <c r="H50" s="672"/>
      <c r="I50" s="677" t="str">
        <f>IF('1. Dashboard'!$G$12="School",
         IF(C50="","",SUM(I43:I49)),"")</f>
        <v/>
      </c>
      <c r="J50" s="678"/>
      <c r="K50" s="678"/>
      <c r="L50" s="678"/>
      <c r="M50" s="678"/>
    </row>
    <row r="51" spans="2:13" ht="16.899999999999999" customHeight="1" thickBot="1" x14ac:dyDescent="0.3">
      <c r="B51" s="69" t="s">
        <v>76</v>
      </c>
      <c r="C51" s="22">
        <f>C41+C50</f>
        <v>0</v>
      </c>
      <c r="D51" s="667"/>
      <c r="E51" s="668"/>
      <c r="F51" s="89">
        <f>F41+F50</f>
        <v>0</v>
      </c>
      <c r="G51" s="665"/>
      <c r="H51" s="666"/>
      <c r="I51" s="677" t="str">
        <f>IF('1. Dashboard'!$G$12="School",
         IF(C51="","",SUM(F41,I50)),"")</f>
        <v/>
      </c>
      <c r="J51" s="678"/>
      <c r="K51" s="678"/>
      <c r="L51" s="678"/>
      <c r="M51" s="678"/>
    </row>
    <row r="52" spans="2:13" ht="16.899999999999999" customHeight="1" x14ac:dyDescent="0.25">
      <c r="B52" s="613" t="s">
        <v>1295</v>
      </c>
      <c r="C52" s="613"/>
      <c r="D52" s="613"/>
      <c r="E52" s="613"/>
      <c r="F52" s="613"/>
      <c r="G52" s="613"/>
      <c r="H52" s="613"/>
    </row>
  </sheetData>
  <sheetProtection algorithmName="SHA-512" hashValue="iWT1pZzpPWuLK/bnLOUCAnVGqgIbwC6/N9Ps+EiZJxCnzT4T7OFuNBi+7ifYZv7ssn8tpoCW3s9WWSsP8Wu3ow==" saltValue="64oURJzL+8wRGpNLUJqZYw==" spinCount="100000" sheet="1" selectLockedCells="1"/>
  <mergeCells count="65">
    <mergeCell ref="I47:M47"/>
    <mergeCell ref="I48:M48"/>
    <mergeCell ref="I49:M49"/>
    <mergeCell ref="I50:M50"/>
    <mergeCell ref="I51:M51"/>
    <mergeCell ref="I42:M42"/>
    <mergeCell ref="I43:M43"/>
    <mergeCell ref="I44:M44"/>
    <mergeCell ref="I45:M45"/>
    <mergeCell ref="I46:M46"/>
    <mergeCell ref="G51:H51"/>
    <mergeCell ref="D51:E51"/>
    <mergeCell ref="D41:E41"/>
    <mergeCell ref="G41:H41"/>
    <mergeCell ref="D50:E50"/>
    <mergeCell ref="G50:H50"/>
    <mergeCell ref="D46:E46"/>
    <mergeCell ref="D47:E47"/>
    <mergeCell ref="D24:E24"/>
    <mergeCell ref="D23:E23"/>
    <mergeCell ref="D22:E22"/>
    <mergeCell ref="B8:H10"/>
    <mergeCell ref="C4:H4"/>
    <mergeCell ref="B21:H21"/>
    <mergeCell ref="F14:H14"/>
    <mergeCell ref="B6:C6"/>
    <mergeCell ref="E6:H6"/>
    <mergeCell ref="D30:E30"/>
    <mergeCell ref="D28:E28"/>
    <mergeCell ref="D27:E27"/>
    <mergeCell ref="D26:E26"/>
    <mergeCell ref="D25:E25"/>
    <mergeCell ref="D29:E2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679" t="str">
        <f>LEFT('1. Dashboard'!$B$8,4)&amp;" Voter Approved Fund Tracker
Attach to L-2 Form If Applicable"</f>
        <v>2026 Voter Approved Fund Tracker
Attach to L-2 Form If Applicable</v>
      </c>
      <c r="C2" s="680"/>
      <c r="D2" s="680"/>
      <c r="E2" s="680"/>
      <c r="F2" s="680"/>
      <c r="G2" s="680"/>
      <c r="H2" s="680"/>
      <c r="I2" s="681"/>
    </row>
    <row r="3" spans="1:9" ht="16.899999999999999" customHeight="1" thickBot="1" x14ac:dyDescent="0.3">
      <c r="B3" s="682"/>
      <c r="C3" s="683"/>
      <c r="D3" s="683"/>
      <c r="E3" s="683"/>
      <c r="F3" s="683"/>
      <c r="G3" s="683"/>
      <c r="H3" s="683"/>
      <c r="I3" s="684"/>
    </row>
    <row r="4" spans="1:9" ht="16.899999999999999" customHeight="1" x14ac:dyDescent="0.25">
      <c r="B4" s="57" t="s">
        <v>1</v>
      </c>
      <c r="C4" s="609" t="str">
        <f>IF('1. Dashboard'!G13&lt;&gt;0,'1. Dashboard'!G13,"")</f>
        <v/>
      </c>
      <c r="D4" s="609"/>
      <c r="E4" s="609"/>
      <c r="F4" s="609"/>
      <c r="G4" s="609"/>
      <c r="H4" s="609"/>
      <c r="I4" s="610"/>
    </row>
    <row r="5" spans="1:9" ht="16.899999999999999" customHeight="1" x14ac:dyDescent="0.25">
      <c r="B5" s="692" t="s">
        <v>37</v>
      </c>
      <c r="C5" s="693"/>
      <c r="D5" s="693"/>
      <c r="E5" s="694"/>
      <c r="F5" s="20" t="s">
        <v>49</v>
      </c>
      <c r="G5" s="709" t="s">
        <v>26</v>
      </c>
      <c r="H5" s="709" t="s">
        <v>38</v>
      </c>
      <c r="I5" s="706" t="s">
        <v>39</v>
      </c>
    </row>
    <row r="6" spans="1:9" ht="16.899999999999999" customHeight="1" x14ac:dyDescent="0.25">
      <c r="B6" s="695"/>
      <c r="C6" s="696"/>
      <c r="D6" s="696"/>
      <c r="E6" s="697"/>
      <c r="F6" s="748" t="s">
        <v>50</v>
      </c>
      <c r="G6" s="710"/>
      <c r="H6" s="710"/>
      <c r="I6" s="707"/>
    </row>
    <row r="7" spans="1:9" ht="16.899999999999999" customHeight="1" thickBot="1" x14ac:dyDescent="0.3">
      <c r="B7" s="698"/>
      <c r="C7" s="699"/>
      <c r="D7" s="699"/>
      <c r="E7" s="700"/>
      <c r="F7" s="749"/>
      <c r="G7" s="711"/>
      <c r="H7" s="711"/>
      <c r="I7" s="708"/>
    </row>
    <row r="8" spans="1:9" ht="4.9000000000000004" customHeight="1" thickBot="1" x14ac:dyDescent="0.3">
      <c r="B8" s="15"/>
      <c r="C8" s="15"/>
      <c r="D8" s="15"/>
      <c r="E8" s="15"/>
      <c r="F8" s="16"/>
      <c r="G8" s="17"/>
      <c r="H8" s="17"/>
      <c r="I8" s="17"/>
    </row>
    <row r="9" spans="1:9" ht="16.899999999999999" customHeight="1" thickBot="1" x14ac:dyDescent="0.3">
      <c r="B9" s="701" t="str">
        <f>IF('1. Dashboard'!G12="School", "Supplemental Funds", "Override Funds Available to All Districts")</f>
        <v>Override Funds Available to All Districts</v>
      </c>
      <c r="C9" s="702"/>
      <c r="D9" s="702"/>
      <c r="E9" s="702"/>
      <c r="F9" s="702"/>
      <c r="G9" s="702"/>
      <c r="H9" s="702"/>
      <c r="I9" s="703"/>
    </row>
    <row r="10" spans="1:9" ht="16.899999999999999" customHeight="1" x14ac:dyDescent="0.25">
      <c r="B10" s="746" t="str">
        <f>IF('1. Dashboard'!G12="School", "Temporary School Supplemental (IC §33-802(3))", "2 Yr Override I.C. §63-802")</f>
        <v>2 Yr Override I.C. §63-802</v>
      </c>
      <c r="C10" s="747"/>
      <c r="D10" s="747"/>
      <c r="E10" s="747"/>
      <c r="F10" s="115"/>
      <c r="G10" s="66"/>
      <c r="H10" s="66"/>
      <c r="I10" s="39"/>
    </row>
    <row r="11" spans="1:9" ht="16.899999999999999" customHeight="1" x14ac:dyDescent="0.25">
      <c r="B11" s="704" t="str">
        <f>IF('1. Dashboard'!G12="School", "Permanent School Supplemental (IC §33-802(5))", "Permanent Override I.C.§63-802")</f>
        <v>Permanent Override I.C.§63-802</v>
      </c>
      <c r="C11" s="705"/>
      <c r="D11" s="705"/>
      <c r="E11" s="705"/>
      <c r="F11" s="116"/>
      <c r="G11" s="37"/>
      <c r="H11" s="37"/>
      <c r="I11" s="40"/>
    </row>
    <row r="12" spans="1:9" ht="16.899999999999999" customHeight="1" x14ac:dyDescent="0.25">
      <c r="B12" s="704" t="str">
        <f>IF('1. Dashboard'!G12="School", "Plant Faciliites to Transfer to Supplemental (IC §33-804)*","")</f>
        <v/>
      </c>
      <c r="C12" s="705"/>
      <c r="D12" s="705"/>
      <c r="E12" s="705"/>
      <c r="F12" s="116"/>
      <c r="G12" s="37"/>
      <c r="H12" s="37"/>
      <c r="I12" s="40"/>
    </row>
    <row r="13" spans="1:9" s="19" customFormat="1" ht="4.9000000000000004" customHeight="1" thickBot="1" x14ac:dyDescent="0.3">
      <c r="B13" s="18"/>
      <c r="C13" s="18"/>
      <c r="D13" s="18"/>
      <c r="E13" s="18"/>
    </row>
    <row r="14" spans="1:9" ht="16.899999999999999" customHeight="1" thickBot="1" x14ac:dyDescent="0.3">
      <c r="B14" s="701" t="str">
        <f>IF('1. Dashboard'!G12="School", "Plant Facilities &amp; COSA Funds", "Plant Facilities Funds for Library, and Community College districts")</f>
        <v>Plant Facilities Funds for Library, and Community College districts</v>
      </c>
      <c r="C14" s="702"/>
      <c r="D14" s="702"/>
      <c r="E14" s="702"/>
      <c r="F14" s="702"/>
      <c r="G14" s="702"/>
      <c r="H14" s="702"/>
      <c r="I14" s="703"/>
    </row>
    <row r="15" spans="1:9" ht="16.899999999999999" customHeight="1" x14ac:dyDescent="0.25">
      <c r="B15" s="688" t="s">
        <v>40</v>
      </c>
      <c r="C15" s="689"/>
      <c r="D15" s="689"/>
      <c r="E15" s="689"/>
      <c r="F15" s="115"/>
      <c r="G15" s="66"/>
      <c r="H15" s="66"/>
      <c r="I15" s="39"/>
    </row>
    <row r="16" spans="1:9" ht="16.899999999999999" customHeight="1" thickBot="1" x14ac:dyDescent="0.3">
      <c r="B16" s="690" t="s">
        <v>41</v>
      </c>
      <c r="C16" s="691"/>
      <c r="D16" s="691"/>
      <c r="E16" s="691"/>
      <c r="F16" s="691"/>
      <c r="G16" s="691"/>
      <c r="H16" s="691"/>
      <c r="I16" s="41"/>
    </row>
    <row r="17" spans="2:9" ht="16.899999999999999" customHeight="1" x14ac:dyDescent="0.25">
      <c r="B17" s="688" t="str">
        <f>IF('1. Dashboard'!G12="School", "Safe School Plant Facilities (Maximum of 20 yrs)", "")</f>
        <v/>
      </c>
      <c r="C17" s="689"/>
      <c r="D17" s="689"/>
      <c r="E17" s="689"/>
      <c r="F17" s="115"/>
      <c r="G17" s="66"/>
      <c r="H17" s="66"/>
      <c r="I17" s="39"/>
    </row>
    <row r="18" spans="2:9" ht="16.899999999999999" customHeight="1" thickBot="1" x14ac:dyDescent="0.3">
      <c r="B18" s="690" t="str">
        <f>IF('1. Dashboard'!G12="School", "If voters approved an increase in the annual amount but did not change the term enter the amount of increase here:", "")</f>
        <v/>
      </c>
      <c r="C18" s="691"/>
      <c r="D18" s="691"/>
      <c r="E18" s="691"/>
      <c r="F18" s="691"/>
      <c r="G18" s="691"/>
      <c r="H18" s="691"/>
      <c r="I18" s="41"/>
    </row>
    <row r="19" spans="2:9" ht="16.899999999999999" customHeight="1" x14ac:dyDescent="0.25">
      <c r="B19" s="750" t="str">
        <f>IF('1. Dashboard'!G12="School", "COSA Funds (50% Voter Approval 10 year)", "")</f>
        <v/>
      </c>
      <c r="C19" s="751"/>
      <c r="D19" s="751"/>
      <c r="E19" s="752"/>
      <c r="F19" s="139"/>
      <c r="G19" s="140"/>
      <c r="H19" s="140"/>
      <c r="I19" s="44"/>
    </row>
    <row r="20" spans="2:9" ht="16.899999999999999" customHeight="1" x14ac:dyDescent="0.25">
      <c r="B20" s="743" t="str">
        <f>IF('1. Dashboard'!G12="School", "COSA Maintenance (2/3 Voter Approval 10 year)", "")</f>
        <v/>
      </c>
      <c r="C20" s="744"/>
      <c r="D20" s="744"/>
      <c r="E20" s="745"/>
      <c r="F20" s="141"/>
      <c r="G20" s="142"/>
      <c r="H20" s="142"/>
      <c r="I20" s="40"/>
    </row>
    <row r="21" spans="2:9" ht="16.899999999999999" customHeight="1" thickBot="1" x14ac:dyDescent="0.3">
      <c r="B21" s="740" t="str">
        <f>IF('1. Dashboard'!G12="School", "COSA Plant Facilities (3 years)", "")</f>
        <v/>
      </c>
      <c r="C21" s="741"/>
      <c r="D21" s="741"/>
      <c r="E21" s="742"/>
      <c r="F21" s="143"/>
      <c r="G21" s="144"/>
      <c r="H21" s="144"/>
      <c r="I21" s="41"/>
    </row>
    <row r="22" spans="2:9" ht="16.899999999999999" customHeight="1" x14ac:dyDescent="0.25">
      <c r="B22" s="687" t="str">
        <f>IF('1. Dashboard'!G12="School", "*Cannot exceed annual amount of Plant Facilities approved by voters.","")</f>
        <v/>
      </c>
      <c r="C22" s="687"/>
      <c r="D22" s="687"/>
      <c r="E22" s="687"/>
      <c r="F22" s="687"/>
      <c r="G22" s="687"/>
      <c r="H22" s="687"/>
      <c r="I22" s="687"/>
    </row>
    <row r="23" spans="2:9" ht="16.899999999999999" customHeight="1" thickBot="1" x14ac:dyDescent="0.3"/>
    <row r="24" spans="2:9" ht="16.899999999999999" customHeight="1" thickBot="1" x14ac:dyDescent="0.3">
      <c r="B24" s="701" t="s">
        <v>42</v>
      </c>
      <c r="C24" s="702"/>
      <c r="D24" s="702"/>
      <c r="E24" s="702"/>
      <c r="F24" s="702"/>
      <c r="G24" s="702"/>
      <c r="H24" s="702"/>
      <c r="I24" s="703"/>
    </row>
    <row r="25" spans="2:9" ht="16.899999999999999" customHeight="1" x14ac:dyDescent="0.25">
      <c r="B25" s="736" t="s">
        <v>48</v>
      </c>
      <c r="C25" s="685" t="s">
        <v>26</v>
      </c>
      <c r="D25" s="685" t="s">
        <v>38</v>
      </c>
      <c r="E25" s="685" t="s">
        <v>43</v>
      </c>
      <c r="F25" s="685" t="s">
        <v>44</v>
      </c>
      <c r="G25" s="685" t="s">
        <v>45</v>
      </c>
      <c r="H25" s="685" t="s">
        <v>51</v>
      </c>
      <c r="I25" s="731" t="s">
        <v>52</v>
      </c>
    </row>
    <row r="26" spans="2:9" ht="16.899999999999999" customHeight="1" x14ac:dyDescent="0.25">
      <c r="B26" s="737"/>
      <c r="C26" s="686"/>
      <c r="D26" s="686"/>
      <c r="E26" s="686"/>
      <c r="F26" s="686"/>
      <c r="G26" s="686"/>
      <c r="H26" s="686"/>
      <c r="I26" s="732"/>
    </row>
    <row r="27" spans="2:9" ht="16.899999999999999" customHeight="1" x14ac:dyDescent="0.25">
      <c r="B27" s="737"/>
      <c r="C27" s="686"/>
      <c r="D27" s="686"/>
      <c r="E27" s="686"/>
      <c r="F27" s="686"/>
      <c r="G27" s="686"/>
      <c r="H27" s="686"/>
      <c r="I27" s="732"/>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733" t="s">
        <v>46</v>
      </c>
      <c r="C35" s="734"/>
      <c r="D35" s="735"/>
      <c r="E35" s="735"/>
      <c r="F35" s="735"/>
      <c r="G35" s="75">
        <f>SUM(G28:G34)</f>
        <v>0</v>
      </c>
      <c r="H35" s="738"/>
      <c r="I35" s="739"/>
    </row>
    <row r="36" spans="2:9" ht="16.899999999999999" customHeight="1" x14ac:dyDescent="0.25">
      <c r="B36" s="13"/>
      <c r="C36" s="13"/>
      <c r="D36" s="9"/>
      <c r="E36" s="9"/>
      <c r="F36" s="9"/>
      <c r="G36" s="11"/>
      <c r="H36" s="12"/>
      <c r="I36" s="12"/>
    </row>
    <row r="37" spans="2:9" ht="16.899999999999999" customHeight="1" x14ac:dyDescent="0.25">
      <c r="B37" s="721" t="s">
        <v>47</v>
      </c>
      <c r="C37" s="721"/>
      <c r="D37" s="721"/>
      <c r="E37" s="721"/>
      <c r="F37" s="721"/>
      <c r="G37" s="721"/>
      <c r="H37" s="721"/>
      <c r="I37" s="721"/>
    </row>
    <row r="38" spans="2:9" ht="16.899999999999999" customHeight="1" x14ac:dyDescent="0.25">
      <c r="B38" s="728"/>
      <c r="C38" s="729"/>
      <c r="D38" s="729"/>
      <c r="E38" s="729"/>
      <c r="F38" s="729"/>
      <c r="G38" s="729"/>
      <c r="H38" s="729"/>
      <c r="I38" s="730"/>
    </row>
    <row r="39" spans="2:9" ht="16.899999999999999" customHeight="1" x14ac:dyDescent="0.25">
      <c r="B39" s="725"/>
      <c r="C39" s="726"/>
      <c r="D39" s="726"/>
      <c r="E39" s="726"/>
      <c r="F39" s="726"/>
      <c r="G39" s="726"/>
      <c r="H39" s="726"/>
      <c r="I39" s="727"/>
    </row>
    <row r="40" spans="2:9" ht="16.899999999999999" customHeight="1" x14ac:dyDescent="0.25">
      <c r="B40" s="725"/>
      <c r="C40" s="726"/>
      <c r="D40" s="726"/>
      <c r="E40" s="726"/>
      <c r="F40" s="726"/>
      <c r="G40" s="726"/>
      <c r="H40" s="726"/>
      <c r="I40" s="727"/>
    </row>
    <row r="41" spans="2:9" ht="16.899999999999999" customHeight="1" x14ac:dyDescent="0.25">
      <c r="B41" s="725"/>
      <c r="C41" s="726"/>
      <c r="D41" s="726"/>
      <c r="E41" s="726"/>
      <c r="F41" s="726"/>
      <c r="G41" s="726"/>
      <c r="H41" s="726"/>
      <c r="I41" s="727"/>
    </row>
    <row r="42" spans="2:9" ht="16.899999999999999" customHeight="1" x14ac:dyDescent="0.25">
      <c r="B42" s="725"/>
      <c r="C42" s="726"/>
      <c r="D42" s="726"/>
      <c r="E42" s="726"/>
      <c r="F42" s="726"/>
      <c r="G42" s="726"/>
      <c r="H42" s="726"/>
      <c r="I42" s="727"/>
    </row>
    <row r="43" spans="2:9" ht="16.899999999999999" customHeight="1" x14ac:dyDescent="0.25">
      <c r="B43" s="725"/>
      <c r="C43" s="726"/>
      <c r="D43" s="726"/>
      <c r="E43" s="726"/>
      <c r="F43" s="726"/>
      <c r="G43" s="726"/>
      <c r="H43" s="726"/>
      <c r="I43" s="727"/>
    </row>
    <row r="44" spans="2:9" ht="16.899999999999999" customHeight="1" x14ac:dyDescent="0.25">
      <c r="B44" s="722"/>
      <c r="C44" s="723"/>
      <c r="D44" s="723"/>
      <c r="E44" s="723"/>
      <c r="F44" s="723"/>
      <c r="G44" s="723"/>
      <c r="H44" s="723"/>
      <c r="I44" s="724"/>
    </row>
    <row r="45" spans="2:9" ht="16.899999999999999" customHeight="1" thickBot="1" x14ac:dyDescent="0.3"/>
    <row r="46" spans="2:9" ht="21" customHeight="1" thickBot="1" x14ac:dyDescent="0.3">
      <c r="B46" s="717" t="s">
        <v>1356</v>
      </c>
      <c r="C46" s="718"/>
      <c r="D46" s="718"/>
      <c r="E46" s="718"/>
      <c r="F46" s="718"/>
      <c r="G46" s="718"/>
      <c r="H46" s="719"/>
      <c r="I46" s="720"/>
    </row>
    <row r="47" spans="2:9" ht="21" customHeight="1" thickBot="1" x14ac:dyDescent="0.3">
      <c r="B47" s="712" t="s">
        <v>1357</v>
      </c>
      <c r="C47" s="713"/>
      <c r="D47" s="713"/>
      <c r="E47" s="713"/>
      <c r="F47" s="713"/>
      <c r="G47" s="714"/>
      <c r="H47" s="715"/>
      <c r="I47" s="716"/>
    </row>
    <row r="48" spans="2:9" ht="16.899999999999999" customHeight="1" x14ac:dyDescent="0.25">
      <c r="B48" s="4" t="s">
        <v>1388</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 ref="B47:G47"/>
    <mergeCell ref="H47:I47"/>
    <mergeCell ref="B46:G46"/>
    <mergeCell ref="H46:I46"/>
    <mergeCell ref="B37:I37"/>
    <mergeCell ref="B44:I44"/>
    <mergeCell ref="B43:I43"/>
    <mergeCell ref="B40:I40"/>
    <mergeCell ref="B39:I39"/>
    <mergeCell ref="B38:I38"/>
    <mergeCell ref="B42:I42"/>
    <mergeCell ref="B41:I41"/>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H95" activePane="bottomRight" state="frozen"/>
      <selection pane="topRight" activeCell="D1" sqref="D1"/>
      <selection pane="bottomLeft" activeCell="A2" sqref="A2"/>
      <selection pane="bottomRight" activeCell="I103" sqref="I103"/>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1146</v>
      </c>
      <c r="B1" t="s">
        <v>1105</v>
      </c>
      <c r="C1" s="92" t="s">
        <v>1058</v>
      </c>
      <c r="D1" s="92" t="s">
        <v>1106</v>
      </c>
      <c r="E1" s="92" t="s">
        <v>1059</v>
      </c>
      <c r="F1" s="92" t="s">
        <v>1107</v>
      </c>
      <c r="G1" s="92" t="s">
        <v>596</v>
      </c>
      <c r="H1" s="92" t="s">
        <v>1335</v>
      </c>
      <c r="I1" s="92" t="s">
        <v>1352</v>
      </c>
      <c r="J1" s="92" t="s">
        <v>1329</v>
      </c>
      <c r="K1" s="92" t="s">
        <v>1060</v>
      </c>
      <c r="L1" s="92" t="s">
        <v>1064</v>
      </c>
      <c r="M1" s="92" t="s">
        <v>1098</v>
      </c>
      <c r="N1" s="92" t="s">
        <v>1099</v>
      </c>
      <c r="O1" s="92" t="s">
        <v>1177</v>
      </c>
      <c r="P1" s="92" t="s">
        <v>1163</v>
      </c>
      <c r="Q1" s="92" t="s">
        <v>1176</v>
      </c>
      <c r="R1" s="92" t="s">
        <v>1323</v>
      </c>
      <c r="S1" s="92" t="s">
        <v>1178</v>
      </c>
      <c r="T1" s="92" t="s">
        <v>1179</v>
      </c>
      <c r="U1" s="92" t="s">
        <v>1324</v>
      </c>
      <c r="V1" s="92" t="s">
        <v>1190</v>
      </c>
      <c r="W1" s="92" t="s">
        <v>1189</v>
      </c>
      <c r="X1" s="92" t="s">
        <v>1325</v>
      </c>
      <c r="Y1" s="92" t="s">
        <v>1378</v>
      </c>
      <c r="Z1" s="92" t="s">
        <v>1379</v>
      </c>
      <c r="AA1" s="92" t="s">
        <v>1380</v>
      </c>
      <c r="AB1" s="92" t="s">
        <v>1185</v>
      </c>
      <c r="AC1" s="92" t="s">
        <v>1186</v>
      </c>
      <c r="AD1" s="92" t="s">
        <v>1326</v>
      </c>
      <c r="AE1" s="92" t="s">
        <v>1187</v>
      </c>
      <c r="AF1" s="92" t="s">
        <v>1188</v>
      </c>
      <c r="AG1" s="92" t="s">
        <v>1327</v>
      </c>
      <c r="AI1" s="92" t="s">
        <v>1377</v>
      </c>
    </row>
    <row r="2" spans="1:35" x14ac:dyDescent="0.25">
      <c r="A2" t="str">
        <f t="shared" ref="A2:A31" si="0">B2&amp;"-"&amp;D2&amp;"-"&amp;F2</f>
        <v>6-7-1</v>
      </c>
      <c r="B2">
        <v>6</v>
      </c>
      <c r="C2" s="92" t="s">
        <v>1020</v>
      </c>
      <c r="D2" s="92">
        <v>7</v>
      </c>
      <c r="E2" s="92" t="s">
        <v>586</v>
      </c>
      <c r="F2" s="92">
        <v>1</v>
      </c>
      <c r="G2" s="92" t="s">
        <v>139</v>
      </c>
      <c r="H2" s="92"/>
      <c r="I2" s="92">
        <v>0</v>
      </c>
      <c r="J2" s="92">
        <v>17158561</v>
      </c>
      <c r="K2" s="92" t="s">
        <v>1061</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1020</v>
      </c>
      <c r="D3" s="92">
        <v>14</v>
      </c>
      <c r="E3" s="92" t="s">
        <v>571</v>
      </c>
      <c r="F3" s="92">
        <v>61</v>
      </c>
      <c r="G3" s="92" t="s">
        <v>150</v>
      </c>
      <c r="H3" s="92"/>
      <c r="I3" s="92">
        <v>43442</v>
      </c>
      <c r="J3" s="92">
        <v>29738317</v>
      </c>
      <c r="K3" s="92" t="s">
        <v>1061</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1020</v>
      </c>
      <c r="D4" s="92">
        <v>4</v>
      </c>
      <c r="E4" s="92" t="s">
        <v>66</v>
      </c>
      <c r="F4" s="92">
        <v>20</v>
      </c>
      <c r="G4" s="92" t="s">
        <v>677</v>
      </c>
      <c r="H4" s="92"/>
      <c r="I4" s="92">
        <v>0</v>
      </c>
      <c r="J4" s="92">
        <v>29738317</v>
      </c>
      <c r="K4" s="92" t="s">
        <v>1061</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1020</v>
      </c>
      <c r="D5" s="92">
        <v>9</v>
      </c>
      <c r="E5" s="92" t="s">
        <v>588</v>
      </c>
      <c r="F5" s="92">
        <v>2</v>
      </c>
      <c r="G5" s="92" t="s">
        <v>683</v>
      </c>
      <c r="H5" s="92"/>
      <c r="I5" s="92">
        <v>9586</v>
      </c>
      <c r="J5" s="92">
        <v>0</v>
      </c>
      <c r="K5" s="92" t="s">
        <v>1061</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1029</v>
      </c>
      <c r="D6" s="92">
        <v>9</v>
      </c>
      <c r="E6" s="92" t="s">
        <v>588</v>
      </c>
      <c r="F6" s="92">
        <v>192</v>
      </c>
      <c r="G6" s="92" t="s">
        <v>776</v>
      </c>
      <c r="H6" s="92"/>
      <c r="I6" s="92">
        <v>0</v>
      </c>
      <c r="J6" s="92">
        <v>0</v>
      </c>
      <c r="K6" s="92" t="s">
        <v>1061</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1016</v>
      </c>
      <c r="D7" s="92">
        <v>2</v>
      </c>
      <c r="E7" s="92" t="s">
        <v>53</v>
      </c>
      <c r="F7" s="92">
        <v>1</v>
      </c>
      <c r="G7" s="92" t="s">
        <v>80</v>
      </c>
      <c r="H7" s="92"/>
      <c r="I7" s="92">
        <v>28482584</v>
      </c>
      <c r="J7" s="92">
        <v>1143988583</v>
      </c>
      <c r="K7" s="92" t="s">
        <v>1061</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1016</v>
      </c>
      <c r="D8" s="92">
        <v>5</v>
      </c>
      <c r="E8" s="92" t="s">
        <v>200</v>
      </c>
      <c r="F8" s="92">
        <v>1</v>
      </c>
      <c r="G8" s="92" t="s">
        <v>82</v>
      </c>
      <c r="H8" s="92"/>
      <c r="I8" s="92">
        <v>94060</v>
      </c>
      <c r="J8" s="92">
        <v>1143988583</v>
      </c>
      <c r="K8" s="92" t="s">
        <v>1061</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c r="AI8">
        <v>8.1118000000000005E-5</v>
      </c>
    </row>
    <row r="9" spans="1:35" x14ac:dyDescent="0.25">
      <c r="A9" t="str">
        <f t="shared" si="0"/>
        <v>1-14-51</v>
      </c>
      <c r="B9">
        <v>1</v>
      </c>
      <c r="C9" s="92" t="s">
        <v>1016</v>
      </c>
      <c r="D9" s="92">
        <v>14</v>
      </c>
      <c r="E9" s="92" t="s">
        <v>571</v>
      </c>
      <c r="F9" s="92">
        <v>51</v>
      </c>
      <c r="G9" s="92" t="s">
        <v>90</v>
      </c>
      <c r="H9" s="92"/>
      <c r="I9" s="92">
        <v>650153</v>
      </c>
      <c r="J9" s="92">
        <v>298770670</v>
      </c>
      <c r="K9" s="92" t="s">
        <v>1061</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1016</v>
      </c>
      <c r="D10" s="92">
        <v>8</v>
      </c>
      <c r="E10" s="92" t="s">
        <v>587</v>
      </c>
      <c r="F10" s="92">
        <v>6</v>
      </c>
      <c r="G10" s="92" t="s">
        <v>608</v>
      </c>
      <c r="H10" s="92"/>
      <c r="I10" s="92">
        <v>155443</v>
      </c>
      <c r="J10" s="92">
        <v>399616371</v>
      </c>
      <c r="K10" s="92" t="s">
        <v>1061</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1016</v>
      </c>
      <c r="D11" s="92">
        <v>11</v>
      </c>
      <c r="E11" s="92" t="s">
        <v>1062</v>
      </c>
      <c r="F11" s="92">
        <v>69</v>
      </c>
      <c r="G11" s="92" t="s">
        <v>614</v>
      </c>
      <c r="H11" s="92"/>
      <c r="I11" s="92">
        <v>8396267</v>
      </c>
      <c r="J11" s="92">
        <v>1143988583</v>
      </c>
      <c r="K11" s="92" t="s">
        <v>1061</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1017</v>
      </c>
      <c r="D12" s="92">
        <v>2</v>
      </c>
      <c r="E12" s="92" t="s">
        <v>53</v>
      </c>
      <c r="F12" s="92">
        <v>2</v>
      </c>
      <c r="G12" s="92" t="s">
        <v>94</v>
      </c>
      <c r="H12" s="92"/>
      <c r="I12" s="92">
        <v>687281</v>
      </c>
      <c r="J12" s="92">
        <v>103527055</v>
      </c>
      <c r="K12" s="92" t="s">
        <v>1061</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1029</v>
      </c>
      <c r="D13" s="92">
        <v>7</v>
      </c>
      <c r="E13" s="92" t="s">
        <v>586</v>
      </c>
      <c r="F13" s="92">
        <v>2</v>
      </c>
      <c r="G13" s="92" t="s">
        <v>270</v>
      </c>
      <c r="H13" s="92"/>
      <c r="I13" s="92">
        <v>0</v>
      </c>
      <c r="J13" s="92">
        <v>826940</v>
      </c>
      <c r="K13" s="92" t="s">
        <v>1061</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1029</v>
      </c>
      <c r="D14" s="92">
        <v>9</v>
      </c>
      <c r="E14" s="92" t="s">
        <v>588</v>
      </c>
      <c r="F14" s="92">
        <v>1</v>
      </c>
      <c r="G14" s="92" t="s">
        <v>772</v>
      </c>
      <c r="H14" s="92"/>
      <c r="I14" s="92">
        <v>0</v>
      </c>
      <c r="J14" s="92">
        <v>0</v>
      </c>
      <c r="K14" s="92" t="s">
        <v>1061</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1029</v>
      </c>
      <c r="D15" s="92">
        <v>11</v>
      </c>
      <c r="E15" s="92" t="s">
        <v>1062</v>
      </c>
      <c r="F15" s="92">
        <v>1</v>
      </c>
      <c r="G15" s="92" t="s">
        <v>777</v>
      </c>
      <c r="H15" s="92"/>
      <c r="I15" s="92">
        <v>14</v>
      </c>
      <c r="J15" s="92">
        <v>826940</v>
      </c>
      <c r="K15" s="92" t="s">
        <v>1061</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1029</v>
      </c>
      <c r="D16" s="92">
        <v>17</v>
      </c>
      <c r="E16" s="92" t="s">
        <v>593</v>
      </c>
      <c r="F16" s="92">
        <v>19</v>
      </c>
      <c r="G16" s="92" t="s">
        <v>277</v>
      </c>
      <c r="H16" s="92"/>
      <c r="I16" s="92">
        <v>0</v>
      </c>
      <c r="J16" s="92">
        <v>1115042</v>
      </c>
      <c r="K16" s="92" t="s">
        <v>1061</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588</v>
      </c>
      <c r="F17" s="92">
        <v>3</v>
      </c>
      <c r="G17" s="92" t="s">
        <v>968</v>
      </c>
      <c r="H17" s="92"/>
      <c r="I17" s="92">
        <v>0</v>
      </c>
      <c r="J17" s="92">
        <v>0</v>
      </c>
      <c r="K17" s="92" t="s">
        <v>1061</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182">
        <f>73509+200000</f>
        <v>273509</v>
      </c>
      <c r="AE17" s="92">
        <v>0</v>
      </c>
      <c r="AF17" s="92">
        <v>0</v>
      </c>
      <c r="AG17" s="92">
        <v>0</v>
      </c>
      <c r="AI17" s="256">
        <v>3.3609900000000002E-4</v>
      </c>
    </row>
    <row r="18" spans="1:35" x14ac:dyDescent="0.25">
      <c r="A18" t="str">
        <f t="shared" si="0"/>
        <v>39-14-44</v>
      </c>
      <c r="B18">
        <v>39</v>
      </c>
      <c r="C18" s="92" t="s">
        <v>79</v>
      </c>
      <c r="D18" s="92">
        <v>14</v>
      </c>
      <c r="E18" s="92" t="s">
        <v>571</v>
      </c>
      <c r="F18" s="92">
        <v>44</v>
      </c>
      <c r="G18" s="92" t="s">
        <v>529</v>
      </c>
      <c r="H18" s="92"/>
      <c r="I18" s="92">
        <v>0</v>
      </c>
      <c r="J18" s="92">
        <v>264495175</v>
      </c>
      <c r="K18" s="92" t="s">
        <v>1061</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182">
        <v>470597</v>
      </c>
      <c r="AE18" s="92">
        <v>0</v>
      </c>
      <c r="AF18" s="92">
        <v>0</v>
      </c>
      <c r="AG18" s="92">
        <v>0</v>
      </c>
      <c r="AI18" s="252">
        <v>3.0185100000000001E-4</v>
      </c>
    </row>
    <row r="19" spans="1:35" x14ac:dyDescent="0.25">
      <c r="A19" t="str">
        <f t="shared" si="0"/>
        <v>16-4-155</v>
      </c>
      <c r="B19">
        <v>16</v>
      </c>
      <c r="C19" s="92" t="s">
        <v>1029</v>
      </c>
      <c r="D19" s="92">
        <v>4</v>
      </c>
      <c r="E19" s="92" t="s">
        <v>66</v>
      </c>
      <c r="F19" s="92">
        <v>155</v>
      </c>
      <c r="G19" s="92" t="s">
        <v>768</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768</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1023</v>
      </c>
      <c r="D21" s="92">
        <v>7</v>
      </c>
      <c r="E21" s="92" t="s">
        <v>586</v>
      </c>
      <c r="F21" s="92">
        <v>3</v>
      </c>
      <c r="G21" s="92" t="s">
        <v>201</v>
      </c>
      <c r="H21" s="92"/>
      <c r="I21" s="92">
        <v>0</v>
      </c>
      <c r="J21" s="92">
        <v>19382625</v>
      </c>
      <c r="K21" s="92" t="s">
        <v>1061</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966</v>
      </c>
      <c r="H22" s="92"/>
      <c r="I22" s="92">
        <v>0</v>
      </c>
      <c r="J22" s="92">
        <v>8569699</v>
      </c>
      <c r="K22" s="92" t="s">
        <v>1061</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1018</v>
      </c>
      <c r="D23" s="92">
        <v>7</v>
      </c>
      <c r="E23" s="92" t="s">
        <v>586</v>
      </c>
      <c r="F23" s="92">
        <v>4</v>
      </c>
      <c r="G23" s="92" t="s">
        <v>106</v>
      </c>
      <c r="H23" s="92"/>
      <c r="I23" s="92">
        <v>0</v>
      </c>
      <c r="J23" s="92">
        <v>46489083</v>
      </c>
      <c r="K23" s="92" t="s">
        <v>1061</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1018</v>
      </c>
      <c r="D24" s="92">
        <v>9</v>
      </c>
      <c r="E24" s="92" t="s">
        <v>588</v>
      </c>
      <c r="F24" s="92">
        <v>151</v>
      </c>
      <c r="G24" s="92" t="s">
        <v>650</v>
      </c>
      <c r="H24" s="92"/>
      <c r="I24" s="92">
        <v>53</v>
      </c>
      <c r="J24" s="92">
        <v>0</v>
      </c>
      <c r="K24" s="92" t="s">
        <v>1061</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1195</v>
      </c>
      <c r="D25" s="92">
        <v>9</v>
      </c>
      <c r="E25" s="92" t="s">
        <v>588</v>
      </c>
      <c r="F25" s="92">
        <v>188</v>
      </c>
      <c r="G25" s="92" t="s">
        <v>501</v>
      </c>
      <c r="H25" s="92"/>
      <c r="I25" s="92">
        <v>1774</v>
      </c>
      <c r="J25" s="92">
        <v>0</v>
      </c>
      <c r="K25" s="92" t="s">
        <v>1061</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1043</v>
      </c>
      <c r="D26" s="92">
        <v>21</v>
      </c>
      <c r="E26" s="92" t="s">
        <v>594</v>
      </c>
      <c r="F26" s="92">
        <v>16</v>
      </c>
      <c r="G26" s="92" t="s">
        <v>457</v>
      </c>
      <c r="H26" s="92"/>
      <c r="I26" s="92">
        <v>3088</v>
      </c>
      <c r="J26" s="92">
        <v>48759</v>
      </c>
      <c r="K26" s="92" t="s">
        <v>1061</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1033</v>
      </c>
      <c r="D27" s="92">
        <v>9</v>
      </c>
      <c r="E27" s="92" t="s">
        <v>588</v>
      </c>
      <c r="F27" s="92">
        <v>116</v>
      </c>
      <c r="G27" s="92" t="s">
        <v>828</v>
      </c>
      <c r="H27" s="92"/>
      <c r="I27" s="92">
        <v>0</v>
      </c>
      <c r="J27" s="92">
        <v>0</v>
      </c>
      <c r="K27" s="92" t="s">
        <v>1061</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1033</v>
      </c>
      <c r="D28" s="92">
        <v>11</v>
      </c>
      <c r="E28" s="92" t="s">
        <v>1062</v>
      </c>
      <c r="F28" s="92">
        <v>108</v>
      </c>
      <c r="G28" s="92" t="s">
        <v>310</v>
      </c>
      <c r="H28" s="92"/>
      <c r="I28" s="92">
        <v>5380</v>
      </c>
      <c r="J28" s="92">
        <v>378604</v>
      </c>
      <c r="K28" s="92" t="s">
        <v>1061</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1051</v>
      </c>
      <c r="D29" s="92">
        <v>20</v>
      </c>
      <c r="E29" s="92" t="s">
        <v>153</v>
      </c>
      <c r="F29" s="92">
        <v>2</v>
      </c>
      <c r="G29" s="92" t="s">
        <v>1175</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1051</v>
      </c>
      <c r="D30" s="92">
        <v>4</v>
      </c>
      <c r="E30" s="92" t="s">
        <v>66</v>
      </c>
      <c r="F30" s="92">
        <v>163</v>
      </c>
      <c r="G30" s="92" t="s">
        <v>974</v>
      </c>
      <c r="H30" s="92"/>
      <c r="I30" s="92">
        <v>0</v>
      </c>
      <c r="J30" s="92">
        <v>6337633</v>
      </c>
      <c r="K30" s="92" t="s">
        <v>1061</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1016</v>
      </c>
      <c r="D31" s="92">
        <v>30</v>
      </c>
      <c r="E31" s="92" t="s">
        <v>590</v>
      </c>
      <c r="F31" s="92">
        <v>3</v>
      </c>
      <c r="G31" s="92" t="s">
        <v>621</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1168</v>
      </c>
      <c r="B32">
        <v>8</v>
      </c>
      <c r="C32" s="92" t="s">
        <v>1021</v>
      </c>
      <c r="D32" s="92">
        <v>30</v>
      </c>
      <c r="E32" s="92" t="s">
        <v>590</v>
      </c>
      <c r="F32" s="92">
        <v>3</v>
      </c>
      <c r="G32" s="92" t="s">
        <v>621</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1169</v>
      </c>
      <c r="B33">
        <v>23</v>
      </c>
      <c r="C33" s="92" t="s">
        <v>1036</v>
      </c>
      <c r="D33" s="92">
        <v>30</v>
      </c>
      <c r="E33" s="92" t="s">
        <v>590</v>
      </c>
      <c r="F33" s="92">
        <v>3</v>
      </c>
      <c r="G33" s="92" t="s">
        <v>621</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1194</v>
      </c>
      <c r="D34" s="92">
        <v>9</v>
      </c>
      <c r="E34" s="92" t="s">
        <v>588</v>
      </c>
      <c r="F34" s="92">
        <v>108</v>
      </c>
      <c r="G34" s="92" t="s">
        <v>658</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1028</v>
      </c>
      <c r="D35" s="92">
        <v>9</v>
      </c>
      <c r="E35" s="92" t="s">
        <v>588</v>
      </c>
      <c r="F35" s="92">
        <v>108</v>
      </c>
      <c r="G35" s="92" t="s">
        <v>658</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1028</v>
      </c>
      <c r="D36" s="92">
        <v>7</v>
      </c>
      <c r="E36" s="92" t="s">
        <v>586</v>
      </c>
      <c r="F36" s="92">
        <v>5</v>
      </c>
      <c r="G36" s="92" t="s">
        <v>256</v>
      </c>
      <c r="H36" s="92"/>
      <c r="I36" s="92">
        <v>0</v>
      </c>
      <c r="J36" s="92">
        <v>57392993</v>
      </c>
      <c r="K36" s="92" t="s">
        <v>1061</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1018</v>
      </c>
      <c r="D37" s="92">
        <v>15</v>
      </c>
      <c r="E37" s="92" t="s">
        <v>152</v>
      </c>
      <c r="F37" s="92">
        <v>25</v>
      </c>
      <c r="G37" s="92" t="s">
        <v>654</v>
      </c>
      <c r="H37" s="92"/>
      <c r="I37" s="92">
        <v>156179</v>
      </c>
      <c r="J37" s="92">
        <v>610432209</v>
      </c>
      <c r="K37" s="92" t="s">
        <v>1061</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1018</v>
      </c>
      <c r="D38" s="92">
        <v>5</v>
      </c>
      <c r="E38" s="92" t="s">
        <v>200</v>
      </c>
      <c r="F38" s="92">
        <v>10</v>
      </c>
      <c r="G38" s="92" t="s">
        <v>643</v>
      </c>
      <c r="H38" s="92"/>
      <c r="I38" s="92">
        <v>290298</v>
      </c>
      <c r="J38" s="92">
        <v>610432209</v>
      </c>
      <c r="K38" s="92" t="s">
        <v>1061</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c r="AI38">
        <v>2.22282E-4</v>
      </c>
    </row>
    <row r="39" spans="1:35" x14ac:dyDescent="0.25">
      <c r="A39" t="str">
        <f t="shared" si="1"/>
        <v>3-11-71</v>
      </c>
      <c r="B39">
        <v>3</v>
      </c>
      <c r="C39" s="92" t="s">
        <v>1018</v>
      </c>
      <c r="D39" s="92">
        <v>11</v>
      </c>
      <c r="E39" s="92" t="s">
        <v>1062</v>
      </c>
      <c r="F39" s="92">
        <v>71</v>
      </c>
      <c r="G39" s="92" t="s">
        <v>652</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1018</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1121</v>
      </c>
    </row>
    <row r="41" spans="1:35" x14ac:dyDescent="0.25">
      <c r="A41" t="str">
        <f t="shared" si="1"/>
        <v>6-7-6</v>
      </c>
      <c r="B41">
        <v>6</v>
      </c>
      <c r="C41" s="92" t="s">
        <v>1020</v>
      </c>
      <c r="D41" s="92">
        <v>7</v>
      </c>
      <c r="E41" s="92" t="s">
        <v>586</v>
      </c>
      <c r="F41" s="92">
        <v>6</v>
      </c>
      <c r="G41" s="92" t="s">
        <v>140</v>
      </c>
      <c r="H41" s="92"/>
      <c r="I41" s="92">
        <v>0</v>
      </c>
      <c r="J41" s="92">
        <v>23899362</v>
      </c>
      <c r="K41" s="92" t="s">
        <v>1061</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1021</v>
      </c>
      <c r="D42" s="92">
        <v>4</v>
      </c>
      <c r="E42" s="92" t="s">
        <v>66</v>
      </c>
      <c r="F42" s="92">
        <v>26</v>
      </c>
      <c r="G42" s="92" t="s">
        <v>699</v>
      </c>
      <c r="H42" s="92"/>
      <c r="I42" s="92">
        <v>0</v>
      </c>
      <c r="J42" s="92">
        <v>7605911</v>
      </c>
      <c r="K42" s="92" t="s">
        <v>1061</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1052</v>
      </c>
      <c r="D43" s="92">
        <v>7</v>
      </c>
      <c r="E43" s="92" t="s">
        <v>586</v>
      </c>
      <c r="F43" s="92">
        <v>7</v>
      </c>
      <c r="G43" s="92" t="s">
        <v>546</v>
      </c>
      <c r="H43" s="92"/>
      <c r="I43" s="92">
        <v>114</v>
      </c>
      <c r="J43" s="92">
        <v>822588</v>
      </c>
      <c r="K43" s="92" t="s">
        <v>1061</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1032</v>
      </c>
      <c r="D44" s="92">
        <v>15</v>
      </c>
      <c r="E44" s="92" t="s">
        <v>152</v>
      </c>
      <c r="F44" s="92">
        <v>6</v>
      </c>
      <c r="G44" s="92" t="s">
        <v>819</v>
      </c>
      <c r="H44" s="92"/>
      <c r="I44" s="92">
        <v>0</v>
      </c>
      <c r="J44" s="92">
        <v>4648056</v>
      </c>
      <c r="K44" s="92" t="s">
        <v>1061</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1022</v>
      </c>
      <c r="D45" s="92">
        <v>17</v>
      </c>
      <c r="E45" s="92" t="s">
        <v>593</v>
      </c>
      <c r="F45" s="92">
        <v>37</v>
      </c>
      <c r="G45" s="92" t="s">
        <v>721</v>
      </c>
      <c r="H45" s="92"/>
      <c r="I45" s="92">
        <v>0</v>
      </c>
      <c r="J45" s="92">
        <v>56840</v>
      </c>
      <c r="K45" s="92" t="s">
        <v>1061</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1057</v>
      </c>
      <c r="D46" s="92">
        <v>9</v>
      </c>
      <c r="E46" s="92" t="s">
        <v>588</v>
      </c>
      <c r="F46" s="92">
        <v>193</v>
      </c>
      <c r="G46" s="92" t="s">
        <v>1226</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1026</v>
      </c>
      <c r="D47" s="92">
        <v>9</v>
      </c>
      <c r="E47" s="92" t="s">
        <v>588</v>
      </c>
      <c r="F47" s="92">
        <v>193</v>
      </c>
      <c r="G47" s="92" t="s">
        <v>1226</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1017</v>
      </c>
      <c r="D48" s="92">
        <v>7</v>
      </c>
      <c r="E48" s="92" t="s">
        <v>586</v>
      </c>
      <c r="F48" s="92">
        <v>192</v>
      </c>
      <c r="G48" s="92" t="s">
        <v>95</v>
      </c>
      <c r="H48" s="92"/>
      <c r="I48" s="92">
        <v>263</v>
      </c>
      <c r="J48" s="92">
        <v>26468369</v>
      </c>
      <c r="K48" s="92" t="s">
        <v>1061</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1194</v>
      </c>
      <c r="D49" s="92">
        <v>9</v>
      </c>
      <c r="E49" s="92" t="s">
        <v>588</v>
      </c>
      <c r="F49" s="92">
        <v>121</v>
      </c>
      <c r="G49" s="92" t="s">
        <v>659</v>
      </c>
      <c r="H49" s="92"/>
      <c r="I49" s="92">
        <v>183509</v>
      </c>
      <c r="J49" s="92">
        <v>395000</v>
      </c>
      <c r="K49" s="92" t="s">
        <v>1061</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1194</v>
      </c>
      <c r="D50" s="92">
        <v>11</v>
      </c>
      <c r="E50" s="92" t="s">
        <v>1062</v>
      </c>
      <c r="F50" s="92">
        <v>72</v>
      </c>
      <c r="G50" s="92" t="s">
        <v>660</v>
      </c>
      <c r="H50" s="92">
        <v>1</v>
      </c>
      <c r="I50" s="92">
        <v>0</v>
      </c>
      <c r="J50" s="92">
        <v>222042374</v>
      </c>
      <c r="K50" s="92" t="s">
        <v>1061</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1194</v>
      </c>
      <c r="D51" s="92">
        <v>2</v>
      </c>
      <c r="E51" s="92" t="s">
        <v>53</v>
      </c>
      <c r="F51" s="92">
        <v>4</v>
      </c>
      <c r="G51" s="92" t="s">
        <v>113</v>
      </c>
      <c r="H51" s="92"/>
      <c r="I51" s="92">
        <v>0</v>
      </c>
      <c r="J51" s="92">
        <v>222042374</v>
      </c>
      <c r="K51" s="92" t="s">
        <v>1061</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1194</v>
      </c>
      <c r="D52" s="92">
        <v>14</v>
      </c>
      <c r="E52" s="92" t="s">
        <v>571</v>
      </c>
      <c r="F52" s="92">
        <v>2</v>
      </c>
      <c r="G52" s="92" t="s">
        <v>661</v>
      </c>
      <c r="H52" s="92"/>
      <c r="I52" s="92">
        <v>0</v>
      </c>
      <c r="J52" s="92">
        <v>222042374</v>
      </c>
      <c r="K52" s="92" t="s">
        <v>1061</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1194</v>
      </c>
      <c r="D53" s="92">
        <v>4</v>
      </c>
      <c r="E53" s="92" t="s">
        <v>66</v>
      </c>
      <c r="F53" s="92">
        <v>13</v>
      </c>
      <c r="G53" s="92" t="s">
        <v>656</v>
      </c>
      <c r="H53" s="92"/>
      <c r="I53" s="92">
        <v>0</v>
      </c>
      <c r="J53" s="92">
        <v>215799244</v>
      </c>
      <c r="K53" s="92" t="s">
        <v>1061</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1194</v>
      </c>
      <c r="D54" s="92">
        <v>15</v>
      </c>
      <c r="E54" s="92" t="s">
        <v>152</v>
      </c>
      <c r="F54" s="92">
        <v>1</v>
      </c>
      <c r="G54" s="92" t="s">
        <v>129</v>
      </c>
      <c r="H54" s="92"/>
      <c r="I54" s="92">
        <v>4565</v>
      </c>
      <c r="J54" s="92">
        <v>106470314</v>
      </c>
      <c r="K54" s="92" t="s">
        <v>1061</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1057</v>
      </c>
      <c r="D55" s="92">
        <v>7</v>
      </c>
      <c r="E55" s="92" t="s">
        <v>586</v>
      </c>
      <c r="F55" s="92">
        <v>8</v>
      </c>
      <c r="G55" s="92" t="s">
        <v>161</v>
      </c>
      <c r="H55" s="92"/>
      <c r="I55" s="92">
        <v>0</v>
      </c>
      <c r="J55" s="92">
        <v>11326395</v>
      </c>
      <c r="K55" s="92" t="s">
        <v>1061</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1019</v>
      </c>
      <c r="D56" s="92">
        <v>11</v>
      </c>
      <c r="E56" s="92" t="s">
        <v>1062</v>
      </c>
      <c r="F56" s="92">
        <v>73</v>
      </c>
      <c r="G56" s="92" t="s">
        <v>672</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1019</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1121</v>
      </c>
    </row>
    <row r="58" spans="1:35" x14ac:dyDescent="0.25">
      <c r="A58" t="str">
        <f t="shared" si="1"/>
        <v>5-14-3</v>
      </c>
      <c r="B58">
        <v>5</v>
      </c>
      <c r="C58" s="92" t="s">
        <v>1019</v>
      </c>
      <c r="D58" s="92">
        <v>14</v>
      </c>
      <c r="E58" s="92" t="s">
        <v>571</v>
      </c>
      <c r="F58" s="92">
        <v>3</v>
      </c>
      <c r="G58" s="92" t="s">
        <v>673</v>
      </c>
      <c r="H58" s="92"/>
      <c r="I58" s="92">
        <v>0</v>
      </c>
      <c r="J58" s="92">
        <v>29437806</v>
      </c>
      <c r="K58" s="92" t="s">
        <v>1061</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1194</v>
      </c>
      <c r="D59" s="92">
        <v>7</v>
      </c>
      <c r="E59" s="92" t="s">
        <v>586</v>
      </c>
      <c r="F59" s="92">
        <v>9</v>
      </c>
      <c r="G59" s="92" t="s">
        <v>118</v>
      </c>
      <c r="H59" s="92"/>
      <c r="I59" s="92">
        <v>0</v>
      </c>
      <c r="J59" s="92">
        <v>5374514</v>
      </c>
      <c r="K59" s="92" t="s">
        <v>1061</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1194</v>
      </c>
      <c r="D60" s="92">
        <v>7</v>
      </c>
      <c r="E60" s="92" t="s">
        <v>586</v>
      </c>
      <c r="F60" s="92">
        <v>191</v>
      </c>
      <c r="G60" s="92" t="s">
        <v>119</v>
      </c>
      <c r="H60" s="92"/>
      <c r="I60" s="92">
        <v>0</v>
      </c>
      <c r="J60" s="92">
        <v>8735790</v>
      </c>
      <c r="K60" s="92" t="s">
        <v>1061</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1194</v>
      </c>
      <c r="D61" s="92">
        <v>17</v>
      </c>
      <c r="E61" s="92" t="s">
        <v>593</v>
      </c>
      <c r="F61" s="92">
        <v>40</v>
      </c>
      <c r="G61" s="92" t="s">
        <v>1173</v>
      </c>
      <c r="H61" s="92"/>
      <c r="I61" s="92">
        <v>0</v>
      </c>
      <c r="J61" s="92">
        <v>8735790</v>
      </c>
      <c r="K61" s="92" t="s">
        <v>1061</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1031</v>
      </c>
      <c r="D62" s="92">
        <v>9</v>
      </c>
      <c r="E62" s="92" t="s">
        <v>588</v>
      </c>
      <c r="F62" s="92">
        <v>124</v>
      </c>
      <c r="G62" s="92" t="s">
        <v>796</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1195</v>
      </c>
      <c r="D63" s="92">
        <v>9</v>
      </c>
      <c r="E63" s="92" t="s">
        <v>588</v>
      </c>
      <c r="F63" s="92">
        <v>124</v>
      </c>
      <c r="G63" s="92" t="s">
        <v>796</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1032</v>
      </c>
      <c r="D64" s="92">
        <v>7</v>
      </c>
      <c r="E64" s="92" t="s">
        <v>586</v>
      </c>
      <c r="F64" s="92">
        <v>10</v>
      </c>
      <c r="G64" s="92" t="s">
        <v>302</v>
      </c>
      <c r="H64" s="92"/>
      <c r="I64" s="92">
        <v>520</v>
      </c>
      <c r="J64" s="92">
        <v>6091880</v>
      </c>
      <c r="K64" s="92" t="s">
        <v>1061</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1057</v>
      </c>
      <c r="D65" s="92">
        <v>10</v>
      </c>
      <c r="E65" s="92" t="s">
        <v>589</v>
      </c>
      <c r="F65" s="92">
        <v>12</v>
      </c>
      <c r="G65" s="92" t="s">
        <v>166</v>
      </c>
      <c r="H65" s="92"/>
      <c r="I65" s="92">
        <v>1012</v>
      </c>
      <c r="J65" s="92">
        <v>0</v>
      </c>
      <c r="K65" s="92" t="s">
        <v>1061</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1020</v>
      </c>
      <c r="D66" s="92">
        <v>15</v>
      </c>
      <c r="E66" s="92" t="s">
        <v>152</v>
      </c>
      <c r="F66" s="92">
        <v>15</v>
      </c>
      <c r="G66" s="92" t="s">
        <v>688</v>
      </c>
      <c r="H66" s="92"/>
      <c r="I66" s="92">
        <v>207694</v>
      </c>
      <c r="J66" s="92">
        <v>220774855</v>
      </c>
      <c r="K66" s="92" t="s">
        <v>1061</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1020</v>
      </c>
      <c r="D67" s="92">
        <v>5</v>
      </c>
      <c r="E67" s="92" t="s">
        <v>200</v>
      </c>
      <c r="F67" s="92">
        <v>9</v>
      </c>
      <c r="G67" s="92" t="s">
        <v>681</v>
      </c>
      <c r="H67" s="92"/>
      <c r="I67" s="92">
        <v>0</v>
      </c>
      <c r="J67" s="92">
        <v>220774855</v>
      </c>
      <c r="K67" s="92" t="s">
        <v>1061</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c r="AI67">
        <v>2.4174900000000001E-4</v>
      </c>
    </row>
    <row r="68" spans="1:35" x14ac:dyDescent="0.25">
      <c r="A68" t="str">
        <f t="shared" si="2"/>
        <v>6-11-74</v>
      </c>
      <c r="B68">
        <v>6</v>
      </c>
      <c r="C68" s="92" t="s">
        <v>1020</v>
      </c>
      <c r="D68" s="92">
        <v>11</v>
      </c>
      <c r="E68" s="92" t="s">
        <v>1062</v>
      </c>
      <c r="F68" s="92">
        <v>74</v>
      </c>
      <c r="G68" s="92" t="s">
        <v>686</v>
      </c>
      <c r="H68" s="92">
        <v>1</v>
      </c>
      <c r="I68" s="92">
        <v>0</v>
      </c>
      <c r="J68" s="92">
        <v>220774855</v>
      </c>
      <c r="K68" s="92" t="s">
        <v>1061</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1020</v>
      </c>
      <c r="D69" s="92">
        <v>2</v>
      </c>
      <c r="E69" s="92" t="s">
        <v>53</v>
      </c>
      <c r="F69" s="92">
        <v>6</v>
      </c>
      <c r="G69" s="92" t="s">
        <v>133</v>
      </c>
      <c r="H69" s="92"/>
      <c r="I69" s="92">
        <v>2489544</v>
      </c>
      <c r="J69" s="92">
        <v>220774855</v>
      </c>
      <c r="K69" s="92" t="s">
        <v>1061</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1020</v>
      </c>
      <c r="D70" s="92">
        <v>14</v>
      </c>
      <c r="E70" s="92" t="s">
        <v>571</v>
      </c>
      <c r="F70" s="92">
        <v>57</v>
      </c>
      <c r="G70" s="92" t="s">
        <v>687</v>
      </c>
      <c r="H70" s="92"/>
      <c r="I70" s="92">
        <v>9709</v>
      </c>
      <c r="J70" s="92">
        <v>25182044</v>
      </c>
      <c r="K70" s="92" t="s">
        <v>1061</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1020</v>
      </c>
      <c r="D71" s="92">
        <v>4</v>
      </c>
      <c r="E71" s="92" t="s">
        <v>66</v>
      </c>
      <c r="F71" s="92">
        <v>19</v>
      </c>
      <c r="G71" s="92" t="s">
        <v>676</v>
      </c>
      <c r="H71" s="92"/>
      <c r="I71" s="92">
        <v>0</v>
      </c>
      <c r="J71" s="92">
        <v>71400084</v>
      </c>
      <c r="K71" s="92" t="s">
        <v>1061</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1020</v>
      </c>
      <c r="D72" s="92">
        <v>9</v>
      </c>
      <c r="E72" s="92" t="s">
        <v>588</v>
      </c>
      <c r="F72" s="92">
        <v>4</v>
      </c>
      <c r="G72" s="92" t="s">
        <v>684</v>
      </c>
      <c r="H72" s="92"/>
      <c r="I72" s="92">
        <v>97181</v>
      </c>
      <c r="J72" s="92">
        <v>0</v>
      </c>
      <c r="K72" s="92" t="s">
        <v>1061</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1057</v>
      </c>
      <c r="D73" s="92">
        <v>2</v>
      </c>
      <c r="E73" s="92" t="s">
        <v>53</v>
      </c>
      <c r="F73" s="92">
        <v>7</v>
      </c>
      <c r="G73" s="92" t="s">
        <v>154</v>
      </c>
      <c r="H73" s="92"/>
      <c r="I73" s="92">
        <v>0</v>
      </c>
      <c r="J73" s="92">
        <v>131180133</v>
      </c>
      <c r="K73" s="92" t="s">
        <v>1061</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1057</v>
      </c>
      <c r="D74" s="92">
        <v>5</v>
      </c>
      <c r="E74" s="92" t="s">
        <v>200</v>
      </c>
      <c r="F74" s="92">
        <v>11</v>
      </c>
      <c r="G74" s="92" t="s">
        <v>160</v>
      </c>
      <c r="H74" s="92"/>
      <c r="I74" s="92">
        <v>0</v>
      </c>
      <c r="J74" s="92">
        <v>131180133</v>
      </c>
      <c r="K74" s="92" t="s">
        <v>1061</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c r="AI74">
        <v>1.1104599999999999E-4</v>
      </c>
    </row>
    <row r="75" spans="1:35" x14ac:dyDescent="0.25">
      <c r="A75" t="str">
        <f t="shared" si="2"/>
        <v>7-17-1</v>
      </c>
      <c r="B75">
        <v>7</v>
      </c>
      <c r="C75" s="92" t="s">
        <v>1057</v>
      </c>
      <c r="D75" s="92">
        <v>17</v>
      </c>
      <c r="E75" s="92" t="s">
        <v>593</v>
      </c>
      <c r="F75" s="92">
        <v>1</v>
      </c>
      <c r="G75" s="92" t="s">
        <v>696</v>
      </c>
      <c r="H75" s="92"/>
      <c r="I75" s="92">
        <v>0</v>
      </c>
      <c r="J75" s="92">
        <v>131180133</v>
      </c>
      <c r="K75" s="92" t="s">
        <v>1061</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1057</v>
      </c>
      <c r="D76" s="92">
        <v>4</v>
      </c>
      <c r="E76" s="92" t="s">
        <v>66</v>
      </c>
      <c r="F76" s="92">
        <v>24</v>
      </c>
      <c r="G76" s="92" t="s">
        <v>690</v>
      </c>
      <c r="H76" s="92"/>
      <c r="I76" s="92">
        <v>0</v>
      </c>
      <c r="J76" s="92">
        <v>131180133</v>
      </c>
      <c r="K76" s="92" t="s">
        <v>1061</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1037</v>
      </c>
      <c r="D77" s="92">
        <v>9</v>
      </c>
      <c r="E77" s="92" t="s">
        <v>588</v>
      </c>
      <c r="F77" s="92">
        <v>5</v>
      </c>
      <c r="G77" s="92" t="s">
        <v>560</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1196</v>
      </c>
      <c r="D78" s="92">
        <v>9</v>
      </c>
      <c r="E78" s="92" t="s">
        <v>588</v>
      </c>
      <c r="F78" s="92">
        <v>5</v>
      </c>
      <c r="G78" s="92" t="s">
        <v>560</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1037</v>
      </c>
      <c r="D79" s="92">
        <v>11</v>
      </c>
      <c r="E79" s="92" t="s">
        <v>1062</v>
      </c>
      <c r="F79" s="92">
        <v>2</v>
      </c>
      <c r="G79" s="92" t="s">
        <v>353</v>
      </c>
      <c r="H79" s="92"/>
      <c r="I79" s="92">
        <v>0</v>
      </c>
      <c r="J79" s="92">
        <v>62484751</v>
      </c>
      <c r="K79" s="92" t="s">
        <v>1061</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1033</v>
      </c>
      <c r="D80" s="92">
        <v>4</v>
      </c>
      <c r="E80" s="92" t="s">
        <v>66</v>
      </c>
      <c r="F80" s="92">
        <v>89</v>
      </c>
      <c r="G80" s="92" t="s">
        <v>823</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1037</v>
      </c>
      <c r="D81" s="92">
        <v>4</v>
      </c>
      <c r="E81" s="92" t="s">
        <v>66</v>
      </c>
      <c r="F81" s="92">
        <v>89</v>
      </c>
      <c r="G81" s="92" t="s">
        <v>823</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1196</v>
      </c>
      <c r="D82" s="92">
        <v>4</v>
      </c>
      <c r="E82" s="92" t="s">
        <v>66</v>
      </c>
      <c r="F82" s="92">
        <v>89</v>
      </c>
      <c r="G82" s="92" t="s">
        <v>823</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1194</v>
      </c>
      <c r="D83" s="92">
        <v>7</v>
      </c>
      <c r="E83" s="92" t="s">
        <v>586</v>
      </c>
      <c r="F83" s="92">
        <v>12</v>
      </c>
      <c r="G83" s="92" t="s">
        <v>120</v>
      </c>
      <c r="H83" s="92"/>
      <c r="I83" s="92">
        <v>0</v>
      </c>
      <c r="J83" s="92">
        <v>1116433</v>
      </c>
      <c r="K83" s="92" t="s">
        <v>1061</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1021</v>
      </c>
      <c r="D84" s="92">
        <v>14</v>
      </c>
      <c r="E84" s="92" t="s">
        <v>571</v>
      </c>
      <c r="F84" s="92">
        <v>4</v>
      </c>
      <c r="G84" s="92" t="s">
        <v>174</v>
      </c>
      <c r="H84" s="92"/>
      <c r="I84" s="92">
        <v>12475</v>
      </c>
      <c r="J84" s="92">
        <v>10653567</v>
      </c>
      <c r="K84" s="92" t="s">
        <v>1061</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1021</v>
      </c>
      <c r="D85" s="92">
        <v>11</v>
      </c>
      <c r="E85" s="92" t="s">
        <v>1062</v>
      </c>
      <c r="F85" s="92">
        <v>76</v>
      </c>
      <c r="G85" s="92" t="s">
        <v>706</v>
      </c>
      <c r="H85" s="92">
        <v>1</v>
      </c>
      <c r="I85" s="92">
        <v>0</v>
      </c>
      <c r="J85" s="92">
        <v>29338234</v>
      </c>
      <c r="K85" s="92" t="s">
        <v>1061</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1021</v>
      </c>
      <c r="D86" s="92">
        <v>2</v>
      </c>
      <c r="E86" s="92" t="s">
        <v>53</v>
      </c>
      <c r="F86" s="92">
        <v>8</v>
      </c>
      <c r="G86" s="92" t="s">
        <v>167</v>
      </c>
      <c r="H86" s="92"/>
      <c r="I86" s="92">
        <v>0</v>
      </c>
      <c r="J86" s="92">
        <v>29338234</v>
      </c>
      <c r="K86" s="92" t="s">
        <v>1061</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1016</v>
      </c>
      <c r="D87" s="92">
        <v>4</v>
      </c>
      <c r="E87" s="92" t="s">
        <v>66</v>
      </c>
      <c r="F87" s="92">
        <v>1</v>
      </c>
      <c r="G87" s="92" t="s">
        <v>604</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1021</v>
      </c>
      <c r="D88" s="92">
        <v>4</v>
      </c>
      <c r="E88" s="92" t="s">
        <v>66</v>
      </c>
      <c r="F88" s="92">
        <v>1</v>
      </c>
      <c r="G88" s="92" t="s">
        <v>604</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1022</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1121</v>
      </c>
    </row>
    <row r="90" spans="1:35" x14ac:dyDescent="0.25">
      <c r="A90" t="str">
        <f t="shared" si="2"/>
        <v>9-5-24</v>
      </c>
      <c r="B90">
        <v>9</v>
      </c>
      <c r="C90" s="92" t="s">
        <v>1022</v>
      </c>
      <c r="D90" s="92">
        <v>5</v>
      </c>
      <c r="E90" s="92" t="s">
        <v>200</v>
      </c>
      <c r="F90" s="92">
        <v>24</v>
      </c>
      <c r="G90" s="92" t="s">
        <v>710</v>
      </c>
      <c r="H90" s="92"/>
      <c r="I90" s="92">
        <v>573228</v>
      </c>
      <c r="J90" s="92">
        <v>502712052</v>
      </c>
      <c r="K90" s="92" t="s">
        <v>1061</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c r="AI90">
        <v>1.60311E-4</v>
      </c>
    </row>
    <row r="91" spans="1:35" x14ac:dyDescent="0.25">
      <c r="A91" t="str">
        <f t="shared" si="2"/>
        <v>9-11-105</v>
      </c>
      <c r="B91">
        <v>9</v>
      </c>
      <c r="C91" s="92" t="s">
        <v>1022</v>
      </c>
      <c r="D91" s="92">
        <v>11</v>
      </c>
      <c r="E91" s="92" t="s">
        <v>1062</v>
      </c>
      <c r="F91" s="92">
        <v>105</v>
      </c>
      <c r="G91" s="92" t="s">
        <v>1227</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1023</v>
      </c>
      <c r="D92" s="92">
        <v>9</v>
      </c>
      <c r="E92" s="92" t="s">
        <v>588</v>
      </c>
      <c r="F92" s="92">
        <v>133</v>
      </c>
      <c r="G92" s="92" t="s">
        <v>732</v>
      </c>
      <c r="H92" s="92"/>
      <c r="I92" s="92">
        <v>2337</v>
      </c>
      <c r="J92" s="92">
        <v>0</v>
      </c>
      <c r="K92" s="92" t="s">
        <v>1061</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1023</v>
      </c>
      <c r="D93" s="92">
        <v>5</v>
      </c>
      <c r="E93" s="92" t="s">
        <v>200</v>
      </c>
      <c r="F93" s="92">
        <v>12</v>
      </c>
      <c r="G93" s="92" t="s">
        <v>728</v>
      </c>
      <c r="H93" s="92"/>
      <c r="I93" s="92">
        <v>191718</v>
      </c>
      <c r="J93" s="92">
        <v>147462653</v>
      </c>
      <c r="K93" s="92" t="s">
        <v>1061</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c r="AI93">
        <v>2.1246599999999999E-4</v>
      </c>
    </row>
    <row r="94" spans="1:35" x14ac:dyDescent="0.25">
      <c r="A94" t="str">
        <f t="shared" si="2"/>
        <v>10-2-10</v>
      </c>
      <c r="B94">
        <v>10</v>
      </c>
      <c r="C94" s="92" t="s">
        <v>1023</v>
      </c>
      <c r="D94" s="92">
        <v>2</v>
      </c>
      <c r="E94" s="92" t="s">
        <v>53</v>
      </c>
      <c r="F94" s="92">
        <v>10</v>
      </c>
      <c r="G94" s="92" t="s">
        <v>193</v>
      </c>
      <c r="H94" s="92"/>
      <c r="I94" s="92">
        <v>3695317</v>
      </c>
      <c r="J94" s="92">
        <v>148341627</v>
      </c>
      <c r="K94" s="92" t="s">
        <v>1061</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1023</v>
      </c>
      <c r="D95" s="92">
        <v>11</v>
      </c>
      <c r="E95" s="92" t="s">
        <v>1062</v>
      </c>
      <c r="F95" s="92">
        <v>77</v>
      </c>
      <c r="G95" s="92" t="s">
        <v>1228</v>
      </c>
      <c r="H95" s="92">
        <v>1</v>
      </c>
      <c r="I95" s="92">
        <v>0</v>
      </c>
      <c r="J95" s="92">
        <v>148341627</v>
      </c>
      <c r="K95" s="92" t="s">
        <v>1061</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1023</v>
      </c>
      <c r="D96" s="92">
        <v>9</v>
      </c>
      <c r="E96" s="92" t="s">
        <v>588</v>
      </c>
      <c r="F96" s="92">
        <v>20</v>
      </c>
      <c r="G96" s="92" t="s">
        <v>1232</v>
      </c>
      <c r="H96" s="92"/>
      <c r="I96" s="92">
        <v>1125788</v>
      </c>
      <c r="J96" s="92">
        <v>0</v>
      </c>
      <c r="K96" s="92" t="s">
        <v>1061</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1020</v>
      </c>
      <c r="D97" s="92">
        <v>4</v>
      </c>
      <c r="E97" s="92" t="s">
        <v>66</v>
      </c>
      <c r="F97" s="92">
        <v>31</v>
      </c>
      <c r="G97" s="92" t="s">
        <v>680</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1023</v>
      </c>
      <c r="D98" s="92">
        <v>4</v>
      </c>
      <c r="E98" s="92" t="s">
        <v>66</v>
      </c>
      <c r="F98" s="92">
        <v>31</v>
      </c>
      <c r="G98" s="92" t="s">
        <v>680</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1022</v>
      </c>
      <c r="D99" s="92">
        <v>20</v>
      </c>
      <c r="E99" s="92" t="s">
        <v>153</v>
      </c>
      <c r="F99" s="92">
        <v>62</v>
      </c>
      <c r="G99" s="92" t="s">
        <v>724</v>
      </c>
      <c r="H99" s="92"/>
      <c r="I99" s="92">
        <v>1601</v>
      </c>
      <c r="J99" s="92">
        <v>933165</v>
      </c>
      <c r="K99" s="92" t="s">
        <v>1061</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1024</v>
      </c>
      <c r="D100" s="92">
        <v>5</v>
      </c>
      <c r="E100" s="92" t="s">
        <v>200</v>
      </c>
      <c r="F100" s="92">
        <v>29</v>
      </c>
      <c r="G100" s="92" t="s">
        <v>738</v>
      </c>
      <c r="H100" s="92"/>
      <c r="I100" s="92">
        <v>5968</v>
      </c>
      <c r="J100" s="92">
        <v>260551939</v>
      </c>
      <c r="K100" s="92" t="s">
        <v>1061</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c r="AI100">
        <v>2.0745299999999999E-4</v>
      </c>
    </row>
    <row r="101" spans="1:35" x14ac:dyDescent="0.25">
      <c r="A101" t="str">
        <f t="shared" si="3"/>
        <v>11-2-11</v>
      </c>
      <c r="B101">
        <v>11</v>
      </c>
      <c r="C101" s="92" t="s">
        <v>1024</v>
      </c>
      <c r="D101" s="92">
        <v>2</v>
      </c>
      <c r="E101" s="92" t="s">
        <v>53</v>
      </c>
      <c r="F101" s="92">
        <v>11</v>
      </c>
      <c r="G101" s="92" t="s">
        <v>210</v>
      </c>
      <c r="H101" s="92"/>
      <c r="I101" s="92">
        <v>233198</v>
      </c>
      <c r="J101" s="92">
        <v>260551939</v>
      </c>
      <c r="K101" s="92" t="s">
        <v>1061</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1024</v>
      </c>
      <c r="D102" s="92">
        <v>14</v>
      </c>
      <c r="E102" s="92" t="s">
        <v>571</v>
      </c>
      <c r="F102" s="92">
        <v>5</v>
      </c>
      <c r="G102" s="92" t="s">
        <v>1229</v>
      </c>
      <c r="H102" s="92"/>
      <c r="I102" s="92">
        <v>8790</v>
      </c>
      <c r="J102" s="92">
        <v>260551939</v>
      </c>
      <c r="K102" s="92" t="s">
        <v>1061</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1024</v>
      </c>
      <c r="D103" s="92">
        <v>11</v>
      </c>
      <c r="E103" s="92" t="s">
        <v>1062</v>
      </c>
      <c r="F103" s="92">
        <v>78</v>
      </c>
      <c r="G103" s="92" t="s">
        <v>1230</v>
      </c>
      <c r="H103" s="92">
        <v>1</v>
      </c>
      <c r="I103" s="92">
        <v>0</v>
      </c>
      <c r="J103" s="92">
        <v>260551939</v>
      </c>
      <c r="K103" s="92" t="s">
        <v>1061</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1024</v>
      </c>
      <c r="D104" s="92">
        <v>4</v>
      </c>
      <c r="E104" s="92" t="s">
        <v>66</v>
      </c>
      <c r="F104" s="92">
        <v>33</v>
      </c>
      <c r="G104" s="92" t="s">
        <v>737</v>
      </c>
      <c r="H104" s="92"/>
      <c r="I104" s="92">
        <v>0</v>
      </c>
      <c r="J104" s="92">
        <v>260551939</v>
      </c>
      <c r="K104" s="92" t="s">
        <v>1061</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1042</v>
      </c>
      <c r="D105" s="92">
        <v>9</v>
      </c>
      <c r="E105" s="92" t="s">
        <v>588</v>
      </c>
      <c r="F105" s="92">
        <v>166</v>
      </c>
      <c r="G105" s="92" t="s">
        <v>911</v>
      </c>
      <c r="H105" s="92"/>
      <c r="I105" s="92">
        <v>1148</v>
      </c>
      <c r="J105" s="92">
        <v>921693</v>
      </c>
      <c r="K105" s="92" t="s">
        <v>1061</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1049</v>
      </c>
      <c r="D106" s="92">
        <v>7</v>
      </c>
      <c r="E106" s="92" t="s">
        <v>586</v>
      </c>
      <c r="F106" s="92">
        <v>11</v>
      </c>
      <c r="G106" s="92" t="s">
        <v>513</v>
      </c>
      <c r="H106" s="92"/>
      <c r="I106" s="92">
        <v>0</v>
      </c>
      <c r="J106" s="92">
        <v>48926743</v>
      </c>
      <c r="K106" s="92" t="s">
        <v>1061</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1049</v>
      </c>
      <c r="D107" s="92">
        <v>9</v>
      </c>
      <c r="E107" s="92" t="s">
        <v>588</v>
      </c>
      <c r="F107" s="92">
        <v>6</v>
      </c>
      <c r="G107" s="92" t="s">
        <v>955</v>
      </c>
      <c r="H107" s="92"/>
      <c r="I107" s="92">
        <v>126</v>
      </c>
      <c r="J107" s="92">
        <v>0</v>
      </c>
      <c r="K107" s="92" t="s">
        <v>1061</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1049</v>
      </c>
      <c r="D108" s="92">
        <v>14</v>
      </c>
      <c r="E108" s="92" t="s">
        <v>571</v>
      </c>
      <c r="F108" s="92">
        <v>48</v>
      </c>
      <c r="G108" s="92" t="s">
        <v>516</v>
      </c>
      <c r="H108" s="92"/>
      <c r="I108" s="92">
        <v>0</v>
      </c>
      <c r="J108" s="92">
        <v>27762182</v>
      </c>
      <c r="K108" s="92" t="s">
        <v>1061</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1033</v>
      </c>
      <c r="D109" s="92">
        <v>4</v>
      </c>
      <c r="E109" s="92" t="s">
        <v>66</v>
      </c>
      <c r="F109" s="92">
        <v>147</v>
      </c>
      <c r="G109" s="92" t="s">
        <v>824</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1049</v>
      </c>
      <c r="D110" s="92">
        <v>4</v>
      </c>
      <c r="E110" s="92" t="s">
        <v>66</v>
      </c>
      <c r="F110" s="92">
        <v>147</v>
      </c>
      <c r="G110" s="92" t="s">
        <v>824</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1196</v>
      </c>
      <c r="D111" s="92">
        <v>9</v>
      </c>
      <c r="E111" s="92" t="s">
        <v>588</v>
      </c>
      <c r="F111" s="92">
        <v>144</v>
      </c>
      <c r="G111" s="92" t="s">
        <v>994</v>
      </c>
      <c r="H111" s="92"/>
      <c r="I111" s="92">
        <v>79721</v>
      </c>
      <c r="J111" s="92">
        <v>2494425</v>
      </c>
      <c r="K111" s="92" t="s">
        <v>1061</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1196</v>
      </c>
      <c r="D112" s="92">
        <v>11</v>
      </c>
      <c r="E112" s="92" t="s">
        <v>1062</v>
      </c>
      <c r="F112" s="92">
        <v>3</v>
      </c>
      <c r="G112" s="92" t="s">
        <v>997</v>
      </c>
      <c r="H112" s="92"/>
      <c r="I112" s="92">
        <v>0</v>
      </c>
      <c r="J112" s="92">
        <v>52677793</v>
      </c>
      <c r="K112" s="92" t="s">
        <v>1061</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1037</v>
      </c>
      <c r="D113" s="92">
        <v>4</v>
      </c>
      <c r="E113" s="92" t="s">
        <v>66</v>
      </c>
      <c r="F113" s="92">
        <v>166</v>
      </c>
      <c r="G113" s="92" t="s">
        <v>856</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1196</v>
      </c>
      <c r="D114" s="92">
        <v>4</v>
      </c>
      <c r="E114" s="92" t="s">
        <v>66</v>
      </c>
      <c r="F114" s="92">
        <v>166</v>
      </c>
      <c r="G114" s="92" t="s">
        <v>856</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1029</v>
      </c>
      <c r="D115" s="92">
        <v>11</v>
      </c>
      <c r="E115" s="92" t="s">
        <v>1062</v>
      </c>
      <c r="F115" s="92">
        <v>4</v>
      </c>
      <c r="G115" s="92" t="s">
        <v>778</v>
      </c>
      <c r="H115" s="92"/>
      <c r="I115" s="92">
        <v>0</v>
      </c>
      <c r="J115" s="92">
        <v>69829883</v>
      </c>
      <c r="K115" s="92" t="s">
        <v>1061</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1046</v>
      </c>
      <c r="D116" s="92">
        <v>7</v>
      </c>
      <c r="E116" s="92" t="s">
        <v>586</v>
      </c>
      <c r="F116" s="92">
        <v>13</v>
      </c>
      <c r="G116" s="92" t="s">
        <v>481</v>
      </c>
      <c r="H116" s="92"/>
      <c r="I116" s="92">
        <v>0</v>
      </c>
      <c r="J116" s="92">
        <v>8911597</v>
      </c>
      <c r="K116" s="92" t="s">
        <v>1061</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1025</v>
      </c>
      <c r="D117" s="92">
        <v>7</v>
      </c>
      <c r="E117" s="92" t="s">
        <v>586</v>
      </c>
      <c r="F117" s="92">
        <v>14</v>
      </c>
      <c r="G117" s="92" t="s">
        <v>743</v>
      </c>
      <c r="H117" s="92"/>
      <c r="I117" s="92">
        <v>4954</v>
      </c>
      <c r="J117" s="92">
        <v>23115371</v>
      </c>
      <c r="K117" s="92" t="s">
        <v>1061</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1025</v>
      </c>
      <c r="D118" s="92">
        <v>2</v>
      </c>
      <c r="E118" s="92" t="s">
        <v>53</v>
      </c>
      <c r="F118" s="92">
        <v>12</v>
      </c>
      <c r="G118" s="92" t="s">
        <v>211</v>
      </c>
      <c r="H118" s="92"/>
      <c r="I118" s="92">
        <v>0</v>
      </c>
      <c r="J118" s="92">
        <v>23115371</v>
      </c>
      <c r="K118" s="92" t="s">
        <v>1061</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1025</v>
      </c>
      <c r="D119" s="92">
        <v>4</v>
      </c>
      <c r="E119" s="92" t="s">
        <v>66</v>
      </c>
      <c r="F119" s="92">
        <v>34</v>
      </c>
      <c r="G119" s="92" t="s">
        <v>741</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1032</v>
      </c>
      <c r="D120" s="92">
        <v>4</v>
      </c>
      <c r="E120" s="92" t="s">
        <v>66</v>
      </c>
      <c r="F120" s="92">
        <v>34</v>
      </c>
      <c r="G120" s="92" t="s">
        <v>741</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1052</v>
      </c>
      <c r="D121" s="92">
        <v>7</v>
      </c>
      <c r="E121" s="92" t="s">
        <v>586</v>
      </c>
      <c r="F121" s="92">
        <v>15</v>
      </c>
      <c r="G121" s="92" t="s">
        <v>981</v>
      </c>
      <c r="H121" s="92"/>
      <c r="I121" s="92">
        <v>0</v>
      </c>
      <c r="J121" s="92">
        <v>5147990</v>
      </c>
      <c r="K121" s="92" t="s">
        <v>1061</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1027</v>
      </c>
      <c r="D122" s="92">
        <v>9</v>
      </c>
      <c r="E122" s="92" t="s">
        <v>588</v>
      </c>
      <c r="F122" s="92">
        <v>7</v>
      </c>
      <c r="G122" s="92" t="s">
        <v>235</v>
      </c>
      <c r="H122" s="92"/>
      <c r="I122" s="92">
        <v>0</v>
      </c>
      <c r="J122" s="92">
        <v>0</v>
      </c>
      <c r="K122" s="92" t="s">
        <v>1061</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1027</v>
      </c>
      <c r="D123" s="92">
        <v>4</v>
      </c>
      <c r="E123" s="92" t="s">
        <v>66</v>
      </c>
      <c r="F123" s="92">
        <v>40</v>
      </c>
      <c r="G123" s="92" t="s">
        <v>751</v>
      </c>
      <c r="H123" s="92"/>
      <c r="I123" s="92">
        <v>0</v>
      </c>
      <c r="J123" s="92">
        <v>52574371</v>
      </c>
      <c r="K123" s="92" t="s">
        <v>1061</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1026</v>
      </c>
      <c r="D124" s="92">
        <v>14</v>
      </c>
      <c r="E124" s="92" t="s">
        <v>571</v>
      </c>
      <c r="F124" s="92">
        <v>7</v>
      </c>
      <c r="G124" s="92" t="s">
        <v>748</v>
      </c>
      <c r="H124" s="92"/>
      <c r="I124" s="92">
        <v>2750</v>
      </c>
      <c r="J124" s="92">
        <v>10284529</v>
      </c>
      <c r="K124" s="92" t="s">
        <v>1061</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1026</v>
      </c>
      <c r="D125" s="92">
        <v>7</v>
      </c>
      <c r="E125" s="92" t="s">
        <v>586</v>
      </c>
      <c r="F125" s="92">
        <v>200</v>
      </c>
      <c r="G125" s="92" t="s">
        <v>747</v>
      </c>
      <c r="H125" s="92"/>
      <c r="I125" s="92">
        <v>0</v>
      </c>
      <c r="J125" s="92">
        <v>10284529</v>
      </c>
      <c r="K125" s="92" t="s">
        <v>1061</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1026</v>
      </c>
      <c r="D126" s="92">
        <v>2</v>
      </c>
      <c r="E126" s="92" t="s">
        <v>53</v>
      </c>
      <c r="F126" s="92">
        <v>13</v>
      </c>
      <c r="G126" s="92" t="s">
        <v>215</v>
      </c>
      <c r="H126" s="92"/>
      <c r="I126" s="92">
        <v>30540</v>
      </c>
      <c r="J126" s="92">
        <v>10284529</v>
      </c>
      <c r="K126" s="92" t="s">
        <v>1061</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1026</v>
      </c>
      <c r="D127" s="92">
        <v>15</v>
      </c>
      <c r="E127" s="92" t="s">
        <v>152</v>
      </c>
      <c r="F127" s="92">
        <v>11</v>
      </c>
      <c r="G127" s="92" t="s">
        <v>749</v>
      </c>
      <c r="H127" s="92"/>
      <c r="I127" s="92">
        <v>535</v>
      </c>
      <c r="J127" s="92">
        <v>1460750</v>
      </c>
      <c r="K127" s="92" t="s">
        <v>1061</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1026</v>
      </c>
      <c r="D128" s="92">
        <v>4</v>
      </c>
      <c r="E128" s="92" t="s">
        <v>66</v>
      </c>
      <c r="F128" s="92">
        <v>38</v>
      </c>
      <c r="G128" s="92" t="s">
        <v>746</v>
      </c>
      <c r="H128" s="92"/>
      <c r="I128" s="92">
        <v>0</v>
      </c>
      <c r="J128" s="92">
        <v>10284529</v>
      </c>
      <c r="K128" s="92" t="s">
        <v>1061</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1054</v>
      </c>
      <c r="D129" s="92">
        <v>14</v>
      </c>
      <c r="E129" s="92" t="s">
        <v>571</v>
      </c>
      <c r="F129" s="92">
        <v>8</v>
      </c>
      <c r="G129" s="92" t="s">
        <v>1015</v>
      </c>
      <c r="H129" s="92"/>
      <c r="I129" s="92">
        <v>583</v>
      </c>
      <c r="J129" s="92">
        <v>105049779</v>
      </c>
      <c r="K129" s="92" t="s">
        <v>1061</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1054</v>
      </c>
      <c r="D130" s="92">
        <v>9</v>
      </c>
      <c r="E130" s="92" t="s">
        <v>588</v>
      </c>
      <c r="F130" s="92">
        <v>8</v>
      </c>
      <c r="G130" s="92" t="s">
        <v>1011</v>
      </c>
      <c r="H130" s="92"/>
      <c r="I130" s="92">
        <v>3271</v>
      </c>
      <c r="J130" s="92">
        <v>0</v>
      </c>
      <c r="K130" s="92" t="s">
        <v>1061</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1017</v>
      </c>
      <c r="D131" s="92">
        <v>4</v>
      </c>
      <c r="E131" s="92" t="s">
        <v>66</v>
      </c>
      <c r="F131" s="92">
        <v>180</v>
      </c>
      <c r="G131" s="92" t="s">
        <v>627</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1054</v>
      </c>
      <c r="D132" s="92">
        <v>4</v>
      </c>
      <c r="E132" s="92" t="s">
        <v>66</v>
      </c>
      <c r="F132" s="92">
        <v>180</v>
      </c>
      <c r="G132" s="92" t="s">
        <v>627</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1027</v>
      </c>
      <c r="D133" s="92">
        <v>2</v>
      </c>
      <c r="E133" s="92" t="s">
        <v>53</v>
      </c>
      <c r="F133" s="92">
        <v>14</v>
      </c>
      <c r="G133" s="92" t="s">
        <v>217</v>
      </c>
      <c r="H133" s="92"/>
      <c r="I133" s="92">
        <v>4666746</v>
      </c>
      <c r="J133" s="92">
        <v>462983802</v>
      </c>
      <c r="K133" s="92" t="s">
        <v>1061</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1027</v>
      </c>
      <c r="D134" s="92">
        <v>15</v>
      </c>
      <c r="E134" s="92" t="s">
        <v>152</v>
      </c>
      <c r="F134" s="92">
        <v>12</v>
      </c>
      <c r="G134" s="92" t="s">
        <v>760</v>
      </c>
      <c r="H134" s="92"/>
      <c r="I134" s="92">
        <v>673201</v>
      </c>
      <c r="J134" s="92">
        <v>462983802</v>
      </c>
      <c r="K134" s="92" t="s">
        <v>1061</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1027</v>
      </c>
      <c r="D135" s="92">
        <v>5</v>
      </c>
      <c r="E135" s="92" t="s">
        <v>200</v>
      </c>
      <c r="F135" s="92">
        <v>3</v>
      </c>
      <c r="G135" s="92" t="s">
        <v>227</v>
      </c>
      <c r="H135" s="92"/>
      <c r="I135" s="92">
        <v>0</v>
      </c>
      <c r="J135" s="92">
        <v>462983802</v>
      </c>
      <c r="K135" s="92" t="s">
        <v>1061</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c r="AI135">
        <v>9.4994000000000006E-5</v>
      </c>
    </row>
    <row r="136" spans="1:35" x14ac:dyDescent="0.25">
      <c r="A136" t="str">
        <f t="shared" si="4"/>
        <v>14-8-8</v>
      </c>
      <c r="B136">
        <v>14</v>
      </c>
      <c r="C136" s="92" t="s">
        <v>1027</v>
      </c>
      <c r="D136" s="92">
        <v>8</v>
      </c>
      <c r="E136" s="92" t="s">
        <v>587</v>
      </c>
      <c r="F136" s="92">
        <v>8</v>
      </c>
      <c r="G136" s="92" t="s">
        <v>249</v>
      </c>
      <c r="H136" s="92"/>
      <c r="I136" s="92">
        <v>57747</v>
      </c>
      <c r="J136" s="92">
        <v>261228560</v>
      </c>
      <c r="K136" s="92" t="s">
        <v>1061</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1057</v>
      </c>
      <c r="D137" s="92">
        <v>7</v>
      </c>
      <c r="E137" s="92" t="s">
        <v>586</v>
      </c>
      <c r="F137" s="92">
        <v>16</v>
      </c>
      <c r="G137" s="92" t="s">
        <v>162</v>
      </c>
      <c r="H137" s="92"/>
      <c r="I137" s="92">
        <v>0</v>
      </c>
      <c r="J137" s="92">
        <v>6755655</v>
      </c>
      <c r="K137" s="92" t="s">
        <v>1061</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1057</v>
      </c>
      <c r="D138" s="92">
        <v>9</v>
      </c>
      <c r="E138" s="92" t="s">
        <v>588</v>
      </c>
      <c r="F138" s="92">
        <v>9</v>
      </c>
      <c r="G138" s="92" t="s">
        <v>691</v>
      </c>
      <c r="H138" s="92"/>
      <c r="I138" s="92">
        <v>4101</v>
      </c>
      <c r="J138" s="92">
        <v>446194</v>
      </c>
      <c r="K138" s="92" t="s">
        <v>1061</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1057</v>
      </c>
      <c r="D139" s="92">
        <v>10</v>
      </c>
      <c r="E139" s="92" t="s">
        <v>589</v>
      </c>
      <c r="F139" s="92">
        <v>5</v>
      </c>
      <c r="G139" s="92" t="s">
        <v>694</v>
      </c>
      <c r="H139" s="92"/>
      <c r="I139" s="92">
        <v>519</v>
      </c>
      <c r="J139" s="92">
        <v>0</v>
      </c>
      <c r="K139" s="92" t="s">
        <v>1061</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1028</v>
      </c>
      <c r="D140" s="92">
        <v>11</v>
      </c>
      <c r="E140" s="92" t="s">
        <v>1062</v>
      </c>
      <c r="F140" s="92">
        <v>82</v>
      </c>
      <c r="G140" s="92" t="s">
        <v>765</v>
      </c>
      <c r="H140" s="92">
        <v>1</v>
      </c>
      <c r="I140" s="92">
        <v>0</v>
      </c>
      <c r="J140" s="92">
        <v>224892243</v>
      </c>
      <c r="K140" s="92" t="s">
        <v>1061</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1028</v>
      </c>
      <c r="D141" s="92">
        <v>2</v>
      </c>
      <c r="E141" s="92" t="s">
        <v>53</v>
      </c>
      <c r="F141" s="92">
        <v>15</v>
      </c>
      <c r="G141" s="92" t="s">
        <v>252</v>
      </c>
      <c r="H141" s="92"/>
      <c r="I141" s="92">
        <v>833303</v>
      </c>
      <c r="J141" s="92">
        <v>224892243</v>
      </c>
      <c r="K141" s="92" t="s">
        <v>1061</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1053</v>
      </c>
      <c r="D142" s="92">
        <v>12</v>
      </c>
      <c r="E142" s="92" t="s">
        <v>71</v>
      </c>
      <c r="F142" s="92">
        <v>16</v>
      </c>
      <c r="G142" s="92" t="s">
        <v>1159</v>
      </c>
      <c r="H142" s="92"/>
      <c r="I142" s="92">
        <v>38355</v>
      </c>
      <c r="J142" s="92">
        <v>28472253</v>
      </c>
      <c r="K142" s="92" t="s">
        <v>1061</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1053</v>
      </c>
      <c r="D143" s="92">
        <v>9</v>
      </c>
      <c r="E143" s="92" t="s">
        <v>588</v>
      </c>
      <c r="F143" s="92">
        <v>120</v>
      </c>
      <c r="G143" s="92" t="s">
        <v>1001</v>
      </c>
      <c r="H143" s="92"/>
      <c r="I143" s="92">
        <v>0</v>
      </c>
      <c r="J143" s="92">
        <v>0</v>
      </c>
      <c r="K143" s="92" t="s">
        <v>1061</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1053</v>
      </c>
      <c r="D144" s="92">
        <v>4</v>
      </c>
      <c r="E144" s="92" t="s">
        <v>66</v>
      </c>
      <c r="F144" s="92">
        <v>178</v>
      </c>
      <c r="G144" s="92" t="s">
        <v>1000</v>
      </c>
      <c r="H144" s="92"/>
      <c r="I144" s="92">
        <v>0</v>
      </c>
      <c r="J144" s="92">
        <v>23113201</v>
      </c>
      <c r="K144" s="92" t="s">
        <v>1061</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1029</v>
      </c>
      <c r="D145" s="92">
        <v>2</v>
      </c>
      <c r="E145" s="92" t="s">
        <v>53</v>
      </c>
      <c r="F145" s="92">
        <v>16</v>
      </c>
      <c r="G145" s="92" t="s">
        <v>264</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1121</v>
      </c>
    </row>
    <row r="146" spans="1:35" x14ac:dyDescent="0.25">
      <c r="A146" t="str">
        <f t="shared" si="4"/>
        <v>16-4-57</v>
      </c>
      <c r="B146">
        <v>16</v>
      </c>
      <c r="C146" s="92" t="s">
        <v>1029</v>
      </c>
      <c r="D146" s="92">
        <v>4</v>
      </c>
      <c r="E146" s="92" t="s">
        <v>66</v>
      </c>
      <c r="F146" s="92">
        <v>57</v>
      </c>
      <c r="G146" s="92" t="s">
        <v>766</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1048</v>
      </c>
      <c r="D147" s="92">
        <v>4</v>
      </c>
      <c r="E147" s="92" t="s">
        <v>66</v>
      </c>
      <c r="F147" s="92">
        <v>57</v>
      </c>
      <c r="G147" s="92" t="s">
        <v>766</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1196</v>
      </c>
      <c r="D148" s="92">
        <v>4</v>
      </c>
      <c r="E148" s="92" t="s">
        <v>66</v>
      </c>
      <c r="F148" s="92">
        <v>57</v>
      </c>
      <c r="G148" s="92" t="s">
        <v>766</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1196</v>
      </c>
      <c r="D149" s="92">
        <v>9</v>
      </c>
      <c r="E149" s="92" t="s">
        <v>588</v>
      </c>
      <c r="F149" s="92">
        <v>143</v>
      </c>
      <c r="G149" s="92" t="s">
        <v>993</v>
      </c>
      <c r="H149" s="92"/>
      <c r="I149" s="92">
        <v>0</v>
      </c>
      <c r="J149" s="92">
        <v>0</v>
      </c>
      <c r="K149" s="92" t="s">
        <v>1061</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1196</v>
      </c>
      <c r="D150" s="92">
        <v>17</v>
      </c>
      <c r="E150" s="92" t="s">
        <v>593</v>
      </c>
      <c r="F150" s="92">
        <v>28</v>
      </c>
      <c r="G150" s="92" t="s">
        <v>563</v>
      </c>
      <c r="H150" s="92"/>
      <c r="I150" s="92">
        <v>3362</v>
      </c>
      <c r="J150" s="92">
        <v>18083039</v>
      </c>
      <c r="K150" s="92" t="s">
        <v>1061</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1049</v>
      </c>
      <c r="D151" s="92">
        <v>4</v>
      </c>
      <c r="E151" s="92" t="s">
        <v>66</v>
      </c>
      <c r="F151" s="92">
        <v>173</v>
      </c>
      <c r="G151" s="92" t="s">
        <v>953</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1196</v>
      </c>
      <c r="D152" s="92">
        <v>4</v>
      </c>
      <c r="E152" s="92" t="s">
        <v>66</v>
      </c>
      <c r="F152" s="92">
        <v>173</v>
      </c>
      <c r="G152" s="92" t="s">
        <v>953</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1041</v>
      </c>
      <c r="D153" s="92">
        <v>21</v>
      </c>
      <c r="E153" s="92" t="s">
        <v>594</v>
      </c>
      <c r="F153" s="92">
        <v>1</v>
      </c>
      <c r="G153" s="92" t="s">
        <v>431</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1051</v>
      </c>
      <c r="D154" s="92">
        <v>21</v>
      </c>
      <c r="E154" s="92" t="s">
        <v>594</v>
      </c>
      <c r="F154" s="92">
        <v>1</v>
      </c>
      <c r="G154" s="92" t="s">
        <v>431</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1028</v>
      </c>
      <c r="D155" s="92">
        <v>7</v>
      </c>
      <c r="E155" s="92" t="s">
        <v>586</v>
      </c>
      <c r="F155" s="92">
        <v>17</v>
      </c>
      <c r="G155" s="92" t="s">
        <v>257</v>
      </c>
      <c r="H155" s="92"/>
      <c r="I155" s="92">
        <v>0</v>
      </c>
      <c r="J155" s="92">
        <v>19400002</v>
      </c>
      <c r="K155" s="92" t="s">
        <v>1061</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1023</v>
      </c>
      <c r="D156" s="92">
        <v>7</v>
      </c>
      <c r="E156" s="92" t="s">
        <v>586</v>
      </c>
      <c r="F156" s="92">
        <v>19</v>
      </c>
      <c r="G156" s="92" t="s">
        <v>395</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1039</v>
      </c>
      <c r="D157" s="92">
        <v>7</v>
      </c>
      <c r="E157" s="92" t="s">
        <v>586</v>
      </c>
      <c r="F157" s="92">
        <v>19</v>
      </c>
      <c r="G157" s="92" t="s">
        <v>395</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1044</v>
      </c>
      <c r="D158" s="92">
        <v>11</v>
      </c>
      <c r="E158" s="92" t="s">
        <v>1062</v>
      </c>
      <c r="F158" s="92">
        <v>5</v>
      </c>
      <c r="G158" s="92" t="s">
        <v>926</v>
      </c>
      <c r="H158" s="92"/>
      <c r="I158" s="92">
        <v>29691</v>
      </c>
      <c r="J158" s="92">
        <v>3939808</v>
      </c>
      <c r="K158" s="92" t="s">
        <v>1061</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1195</v>
      </c>
      <c r="D159" s="92">
        <v>19</v>
      </c>
      <c r="E159" s="92" t="s">
        <v>1063</v>
      </c>
      <c r="F159" s="92">
        <v>5</v>
      </c>
      <c r="G159" s="92" t="s">
        <v>946</v>
      </c>
      <c r="H159" s="92"/>
      <c r="I159" s="92">
        <v>22410</v>
      </c>
      <c r="J159" s="92">
        <v>6789032</v>
      </c>
      <c r="K159" s="92" t="s">
        <v>1061</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1032</v>
      </c>
      <c r="D160" s="92">
        <v>7</v>
      </c>
      <c r="E160" s="92" t="s">
        <v>586</v>
      </c>
      <c r="F160" s="92">
        <v>20</v>
      </c>
      <c r="G160" s="92" t="s">
        <v>303</v>
      </c>
      <c r="H160" s="92"/>
      <c r="I160" s="92">
        <v>0</v>
      </c>
      <c r="J160" s="92">
        <v>8102953</v>
      </c>
      <c r="K160" s="92" t="s">
        <v>1061</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1032</v>
      </c>
      <c r="D161" s="92">
        <v>4</v>
      </c>
      <c r="E161" s="92" t="s">
        <v>66</v>
      </c>
      <c r="F161" s="92">
        <v>68</v>
      </c>
      <c r="G161" s="92" t="s">
        <v>811</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1043</v>
      </c>
      <c r="D162" s="92">
        <v>4</v>
      </c>
      <c r="E162" s="92" t="s">
        <v>66</v>
      </c>
      <c r="F162" s="92">
        <v>68</v>
      </c>
      <c r="G162" s="92" t="s">
        <v>811</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1020</v>
      </c>
      <c r="D163" s="92">
        <v>3</v>
      </c>
      <c r="E163" s="92" t="s">
        <v>67</v>
      </c>
      <c r="F163" s="92">
        <v>1</v>
      </c>
      <c r="G163" s="92" t="s">
        <v>134</v>
      </c>
      <c r="H163" s="92"/>
      <c r="I163" s="92">
        <v>11153</v>
      </c>
      <c r="J163" s="92">
        <v>2763653</v>
      </c>
      <c r="K163" s="92" t="s">
        <v>1061</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1047</v>
      </c>
      <c r="D164" s="92">
        <v>3</v>
      </c>
      <c r="E164" s="92" t="s">
        <v>67</v>
      </c>
      <c r="F164" s="92">
        <v>2</v>
      </c>
      <c r="G164" s="92" t="s">
        <v>488</v>
      </c>
      <c r="H164" s="92"/>
      <c r="I164" s="92">
        <v>0</v>
      </c>
      <c r="J164" s="92">
        <v>354277</v>
      </c>
      <c r="K164" s="92" t="s">
        <v>1061</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1029</v>
      </c>
      <c r="D165" s="92">
        <v>3</v>
      </c>
      <c r="E165" s="92" t="s">
        <v>67</v>
      </c>
      <c r="F165" s="92">
        <v>3</v>
      </c>
      <c r="G165" s="92" t="s">
        <v>265</v>
      </c>
      <c r="H165" s="92"/>
      <c r="I165" s="92">
        <v>3574</v>
      </c>
      <c r="J165" s="92">
        <v>341897</v>
      </c>
      <c r="K165" s="92" t="s">
        <v>1061</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526</v>
      </c>
      <c r="H166" s="92"/>
      <c r="I166" s="92">
        <v>331</v>
      </c>
      <c r="J166" s="92">
        <v>8109640</v>
      </c>
      <c r="K166" s="92" t="s">
        <v>1061</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1023</v>
      </c>
      <c r="D167" s="92">
        <v>3</v>
      </c>
      <c r="E167" s="92" t="s">
        <v>67</v>
      </c>
      <c r="F167" s="92">
        <v>5</v>
      </c>
      <c r="G167" s="92" t="s">
        <v>194</v>
      </c>
      <c r="H167" s="92"/>
      <c r="I167" s="92">
        <v>4</v>
      </c>
      <c r="J167" s="92">
        <v>9321552</v>
      </c>
      <c r="K167" s="92" t="s">
        <v>1061</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1025</v>
      </c>
      <c r="D168" s="92">
        <v>3</v>
      </c>
      <c r="E168" s="92" t="s">
        <v>67</v>
      </c>
      <c r="F168" s="92">
        <v>6</v>
      </c>
      <c r="G168" s="92" t="s">
        <v>212</v>
      </c>
      <c r="H168" s="92"/>
      <c r="I168" s="92">
        <v>0</v>
      </c>
      <c r="J168" s="92">
        <v>1073021</v>
      </c>
      <c r="K168" s="92" t="s">
        <v>1061</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1018</v>
      </c>
      <c r="D169" s="92">
        <v>3</v>
      </c>
      <c r="E169" s="92" t="s">
        <v>67</v>
      </c>
      <c r="F169" s="92">
        <v>7</v>
      </c>
      <c r="G169" s="92" t="s">
        <v>99</v>
      </c>
      <c r="H169" s="92"/>
      <c r="I169" s="92">
        <v>0</v>
      </c>
      <c r="J169" s="92">
        <v>7348431</v>
      </c>
      <c r="K169" s="92" t="s">
        <v>1061</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1035</v>
      </c>
      <c r="D170" s="92">
        <v>3</v>
      </c>
      <c r="E170" s="92" t="s">
        <v>67</v>
      </c>
      <c r="F170" s="92">
        <v>8</v>
      </c>
      <c r="G170" s="92" t="s">
        <v>331</v>
      </c>
      <c r="H170" s="92"/>
      <c r="I170" s="92">
        <v>890</v>
      </c>
      <c r="J170" s="92">
        <v>1334326</v>
      </c>
      <c r="K170" s="92" t="s">
        <v>1061</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1041</v>
      </c>
      <c r="D171" s="92">
        <v>3</v>
      </c>
      <c r="E171" s="92" t="s">
        <v>67</v>
      </c>
      <c r="F171" s="92">
        <v>9</v>
      </c>
      <c r="G171" s="92" t="s">
        <v>405</v>
      </c>
      <c r="H171" s="92"/>
      <c r="I171" s="92">
        <v>0</v>
      </c>
      <c r="J171" s="92">
        <v>8732335</v>
      </c>
      <c r="K171" s="92" t="s">
        <v>1061</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1028</v>
      </c>
      <c r="D172" s="92">
        <v>3</v>
      </c>
      <c r="E172" s="92" t="s">
        <v>67</v>
      </c>
      <c r="F172" s="92">
        <v>11</v>
      </c>
      <c r="G172" s="92" t="s">
        <v>253</v>
      </c>
      <c r="H172" s="92"/>
      <c r="I172" s="92">
        <v>0</v>
      </c>
      <c r="J172" s="92">
        <v>4321016</v>
      </c>
      <c r="K172" s="92" t="s">
        <v>1061</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1020</v>
      </c>
      <c r="D173" s="92">
        <v>3</v>
      </c>
      <c r="E173" s="92" t="s">
        <v>67</v>
      </c>
      <c r="F173" s="92">
        <v>12</v>
      </c>
      <c r="G173" s="92" t="s">
        <v>135</v>
      </c>
      <c r="H173" s="92"/>
      <c r="I173" s="92">
        <v>792</v>
      </c>
      <c r="J173" s="92">
        <v>1300327</v>
      </c>
      <c r="K173" s="92" t="s">
        <v>1061</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1057</v>
      </c>
      <c r="D174" s="92">
        <v>3</v>
      </c>
      <c r="E174" s="92" t="s">
        <v>67</v>
      </c>
      <c r="F174" s="92">
        <v>13</v>
      </c>
      <c r="G174" s="92" t="s">
        <v>155</v>
      </c>
      <c r="H174" s="92"/>
      <c r="I174" s="92">
        <v>4176</v>
      </c>
      <c r="J174" s="92">
        <v>1629699</v>
      </c>
      <c r="K174" s="92" t="s">
        <v>1061</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1020</v>
      </c>
      <c r="D175" s="92">
        <v>3</v>
      </c>
      <c r="E175" s="92" t="s">
        <v>67</v>
      </c>
      <c r="F175" s="92">
        <v>14</v>
      </c>
      <c r="G175" s="92" t="s">
        <v>136</v>
      </c>
      <c r="H175" s="92"/>
      <c r="I175" s="92">
        <v>328744</v>
      </c>
      <c r="J175" s="92">
        <v>11433828</v>
      </c>
      <c r="K175" s="92" t="s">
        <v>1061</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1037</v>
      </c>
      <c r="D176" s="92">
        <v>3</v>
      </c>
      <c r="E176" s="92" t="s">
        <v>67</v>
      </c>
      <c r="F176" s="92">
        <v>15</v>
      </c>
      <c r="G176" s="92" t="s">
        <v>345</v>
      </c>
      <c r="H176" s="92"/>
      <c r="I176" s="92">
        <v>0</v>
      </c>
      <c r="J176" s="92">
        <v>3081608</v>
      </c>
      <c r="K176" s="92" t="s">
        <v>1061</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1194</v>
      </c>
      <c r="D177" s="92">
        <v>3</v>
      </c>
      <c r="E177" s="92" t="s">
        <v>67</v>
      </c>
      <c r="F177" s="92">
        <v>16</v>
      </c>
      <c r="G177" s="92" t="s">
        <v>114</v>
      </c>
      <c r="H177" s="92"/>
      <c r="I177" s="92">
        <v>0</v>
      </c>
      <c r="J177" s="92">
        <v>232336</v>
      </c>
      <c r="K177" s="92" t="s">
        <v>1061</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1016</v>
      </c>
      <c r="D178" s="92">
        <v>3</v>
      </c>
      <c r="E178" s="92" t="s">
        <v>67</v>
      </c>
      <c r="F178" s="92">
        <v>17</v>
      </c>
      <c r="G178" s="92" t="s">
        <v>599</v>
      </c>
      <c r="H178" s="92"/>
      <c r="I178" s="92">
        <v>3652309</v>
      </c>
      <c r="J178" s="92">
        <v>452497758</v>
      </c>
      <c r="K178" s="92" t="s">
        <v>1061</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1024</v>
      </c>
      <c r="D179" s="92">
        <v>3</v>
      </c>
      <c r="E179" s="92" t="s">
        <v>67</v>
      </c>
      <c r="F179" s="92">
        <v>18</v>
      </c>
      <c r="G179" s="92" t="s">
        <v>735</v>
      </c>
      <c r="H179" s="92"/>
      <c r="I179" s="92">
        <v>0</v>
      </c>
      <c r="J179" s="92">
        <v>18173825</v>
      </c>
      <c r="K179" s="92" t="s">
        <v>1061</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1042</v>
      </c>
      <c r="D180" s="92">
        <v>3</v>
      </c>
      <c r="E180" s="92" t="s">
        <v>67</v>
      </c>
      <c r="F180" s="92">
        <v>19</v>
      </c>
      <c r="G180" s="92" t="s">
        <v>434</v>
      </c>
      <c r="H180" s="92"/>
      <c r="I180" s="92">
        <v>0</v>
      </c>
      <c r="J180" s="92">
        <v>283487</v>
      </c>
      <c r="K180" s="92" t="s">
        <v>1061</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1196</v>
      </c>
      <c r="D181" s="92">
        <v>3</v>
      </c>
      <c r="E181" s="92" t="s">
        <v>67</v>
      </c>
      <c r="F181" s="92">
        <v>20</v>
      </c>
      <c r="G181" s="92" t="s">
        <v>551</v>
      </c>
      <c r="H181" s="92"/>
      <c r="I181" s="92">
        <v>0</v>
      </c>
      <c r="J181" s="92">
        <v>3960386</v>
      </c>
      <c r="K181" s="92" t="s">
        <v>1061</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1029</v>
      </c>
      <c r="D182" s="92">
        <v>3</v>
      </c>
      <c r="E182" s="92" t="s">
        <v>67</v>
      </c>
      <c r="F182" s="92">
        <v>201</v>
      </c>
      <c r="G182" s="92" t="s">
        <v>266</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1047</v>
      </c>
      <c r="D183" s="92">
        <v>3</v>
      </c>
      <c r="E183" s="92" t="s">
        <v>67</v>
      </c>
      <c r="F183" s="92">
        <v>201</v>
      </c>
      <c r="G183" s="92" t="s">
        <v>266</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1025</v>
      </c>
      <c r="D184" s="92">
        <v>3</v>
      </c>
      <c r="E184" s="92" t="s">
        <v>67</v>
      </c>
      <c r="F184" s="92">
        <v>22</v>
      </c>
      <c r="G184" s="92" t="s">
        <v>1342</v>
      </c>
      <c r="H184" s="92"/>
      <c r="I184" s="92">
        <v>0</v>
      </c>
      <c r="J184" s="92">
        <v>29572</v>
      </c>
      <c r="K184" s="92" t="s">
        <v>1061</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1027</v>
      </c>
      <c r="D185" s="92">
        <v>3</v>
      </c>
      <c r="E185" s="92" t="s">
        <v>67</v>
      </c>
      <c r="F185" s="92">
        <v>23</v>
      </c>
      <c r="G185" s="92" t="s">
        <v>218</v>
      </c>
      <c r="H185" s="92"/>
      <c r="I185" s="92">
        <v>3078007</v>
      </c>
      <c r="J185" s="92">
        <v>69367145</v>
      </c>
      <c r="K185" s="92" t="s">
        <v>1061</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1054</v>
      </c>
      <c r="D186" s="92">
        <v>3</v>
      </c>
      <c r="E186" s="92" t="s">
        <v>67</v>
      </c>
      <c r="F186" s="92">
        <v>24</v>
      </c>
      <c r="G186" s="92" t="s">
        <v>575</v>
      </c>
      <c r="H186" s="92"/>
      <c r="I186" s="92">
        <v>3</v>
      </c>
      <c r="J186" s="92">
        <v>770487</v>
      </c>
      <c r="K186" s="92" t="s">
        <v>1061</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1057</v>
      </c>
      <c r="D187" s="92">
        <v>3</v>
      </c>
      <c r="E187" s="92" t="s">
        <v>67</v>
      </c>
      <c r="F187" s="92">
        <v>202</v>
      </c>
      <c r="G187" s="92" t="s">
        <v>156</v>
      </c>
      <c r="H187" s="92"/>
      <c r="I187" s="92">
        <v>16058</v>
      </c>
      <c r="J187" s="92">
        <v>873449</v>
      </c>
      <c r="K187" s="92" t="s">
        <v>1061</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1053</v>
      </c>
      <c r="D188" s="92">
        <v>3</v>
      </c>
      <c r="E188" s="92" t="s">
        <v>67</v>
      </c>
      <c r="F188" s="92">
        <v>25</v>
      </c>
      <c r="G188" s="92" t="s">
        <v>565</v>
      </c>
      <c r="H188" s="92"/>
      <c r="I188" s="92">
        <v>134123</v>
      </c>
      <c r="J188" s="92">
        <v>1724063</v>
      </c>
      <c r="K188" s="92" t="s">
        <v>1061</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1196</v>
      </c>
      <c r="D189" s="92">
        <v>3</v>
      </c>
      <c r="E189" s="92" t="s">
        <v>67</v>
      </c>
      <c r="F189" s="92">
        <v>26</v>
      </c>
      <c r="G189" s="92" t="s">
        <v>552</v>
      </c>
      <c r="H189" s="92"/>
      <c r="I189" s="92">
        <v>1517</v>
      </c>
      <c r="J189" s="92">
        <v>131432</v>
      </c>
      <c r="K189" s="92" t="s">
        <v>1061</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1032</v>
      </c>
      <c r="D190" s="92">
        <v>3</v>
      </c>
      <c r="E190" s="92" t="s">
        <v>67</v>
      </c>
      <c r="F190" s="92">
        <v>27</v>
      </c>
      <c r="G190" s="92" t="s">
        <v>299</v>
      </c>
      <c r="H190" s="92"/>
      <c r="I190" s="92">
        <v>0</v>
      </c>
      <c r="J190" s="92">
        <v>612294</v>
      </c>
      <c r="K190" s="92" t="s">
        <v>1061</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1018</v>
      </c>
      <c r="D191" s="92">
        <v>3</v>
      </c>
      <c r="E191" s="92" t="s">
        <v>67</v>
      </c>
      <c r="F191" s="92">
        <v>29</v>
      </c>
      <c r="G191" s="92" t="s">
        <v>100</v>
      </c>
      <c r="H191" s="92"/>
      <c r="I191" s="92">
        <v>0</v>
      </c>
      <c r="J191" s="92">
        <v>12754179</v>
      </c>
      <c r="K191" s="92" t="s">
        <v>1061</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1022</v>
      </c>
      <c r="D192" s="92">
        <v>3</v>
      </c>
      <c r="E192" s="92" t="s">
        <v>67</v>
      </c>
      <c r="F192" s="92">
        <v>30</v>
      </c>
      <c r="G192" s="92" t="s">
        <v>178</v>
      </c>
      <c r="H192" s="92"/>
      <c r="I192" s="92">
        <v>0</v>
      </c>
      <c r="J192" s="92">
        <v>2954632</v>
      </c>
      <c r="K192" s="92" t="s">
        <v>1061</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1034</v>
      </c>
      <c r="D193" s="92">
        <v>3</v>
      </c>
      <c r="E193" s="92" t="s">
        <v>67</v>
      </c>
      <c r="F193" s="92">
        <v>32</v>
      </c>
      <c r="G193" s="92" t="s">
        <v>314</v>
      </c>
      <c r="H193" s="92"/>
      <c r="I193" s="92">
        <v>0</v>
      </c>
      <c r="J193" s="92">
        <v>557229</v>
      </c>
      <c r="K193" s="92" t="s">
        <v>1061</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1041</v>
      </c>
      <c r="D194" s="92">
        <v>3</v>
      </c>
      <c r="E194" s="92" t="s">
        <v>67</v>
      </c>
      <c r="F194" s="92">
        <v>33</v>
      </c>
      <c r="G194" s="92" t="s">
        <v>406</v>
      </c>
      <c r="H194" s="92"/>
      <c r="I194" s="92">
        <v>6490922</v>
      </c>
      <c r="J194" s="92">
        <v>58283583</v>
      </c>
      <c r="K194" s="92" t="s">
        <v>1061</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1038</v>
      </c>
      <c r="D195" s="92">
        <v>3</v>
      </c>
      <c r="E195" s="92" t="s">
        <v>67</v>
      </c>
      <c r="F195" s="92">
        <v>34</v>
      </c>
      <c r="G195" s="92" t="s">
        <v>362</v>
      </c>
      <c r="H195" s="92"/>
      <c r="I195" s="92">
        <v>10980</v>
      </c>
      <c r="J195" s="92">
        <v>883651</v>
      </c>
      <c r="K195" s="92" t="s">
        <v>1061</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1017</v>
      </c>
      <c r="D196" s="92">
        <v>3</v>
      </c>
      <c r="E196" s="92" t="s">
        <v>67</v>
      </c>
      <c r="F196" s="92">
        <v>35</v>
      </c>
      <c r="G196" s="92" t="s">
        <v>622</v>
      </c>
      <c r="H196" s="92"/>
      <c r="I196" s="92">
        <v>32623</v>
      </c>
      <c r="J196" s="92">
        <v>1612240</v>
      </c>
      <c r="K196" s="92" t="s">
        <v>1061</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1044</v>
      </c>
      <c r="D197" s="92">
        <v>3</v>
      </c>
      <c r="E197" s="92" t="s">
        <v>67</v>
      </c>
      <c r="F197" s="92">
        <v>36</v>
      </c>
      <c r="G197" s="92" t="s">
        <v>459</v>
      </c>
      <c r="H197" s="92"/>
      <c r="I197" s="92">
        <v>0</v>
      </c>
      <c r="J197" s="92">
        <v>621465</v>
      </c>
      <c r="K197" s="92" t="s">
        <v>1061</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1195</v>
      </c>
      <c r="D198" s="92">
        <v>3</v>
      </c>
      <c r="E198" s="92" t="s">
        <v>67</v>
      </c>
      <c r="F198" s="92">
        <v>38</v>
      </c>
      <c r="G198" s="92" t="s">
        <v>494</v>
      </c>
      <c r="H198" s="92"/>
      <c r="I198" s="92">
        <v>360</v>
      </c>
      <c r="J198" s="92">
        <v>432448</v>
      </c>
      <c r="K198" s="92" t="s">
        <v>1061</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1041</v>
      </c>
      <c r="D199" s="92">
        <v>3</v>
      </c>
      <c r="E199" s="92" t="s">
        <v>67</v>
      </c>
      <c r="F199" s="92">
        <v>39</v>
      </c>
      <c r="G199" s="92" t="s">
        <v>407</v>
      </c>
      <c r="H199" s="92"/>
      <c r="I199" s="92">
        <v>0</v>
      </c>
      <c r="J199" s="92">
        <v>4860279</v>
      </c>
      <c r="K199" s="92" t="s">
        <v>1061</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1034</v>
      </c>
      <c r="D200" s="92">
        <v>3</v>
      </c>
      <c r="E200" s="92" t="s">
        <v>67</v>
      </c>
      <c r="F200" s="92">
        <v>40</v>
      </c>
      <c r="G200" s="92" t="s">
        <v>315</v>
      </c>
      <c r="H200" s="92"/>
      <c r="I200" s="92">
        <v>0</v>
      </c>
      <c r="J200" s="92">
        <v>17970132</v>
      </c>
      <c r="K200" s="92" t="s">
        <v>1061</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1042</v>
      </c>
      <c r="D201" s="92">
        <v>3</v>
      </c>
      <c r="E201" s="92" t="s">
        <v>67</v>
      </c>
      <c r="F201" s="92">
        <v>41</v>
      </c>
      <c r="G201" s="92" t="s">
        <v>435</v>
      </c>
      <c r="H201" s="92"/>
      <c r="I201" s="92">
        <v>0</v>
      </c>
      <c r="J201" s="92">
        <v>829247</v>
      </c>
      <c r="K201" s="92" t="s">
        <v>1061</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1029</v>
      </c>
      <c r="D202" s="92">
        <v>3</v>
      </c>
      <c r="E202" s="92" t="s">
        <v>67</v>
      </c>
      <c r="F202" s="92">
        <v>42</v>
      </c>
      <c r="G202" s="92" t="s">
        <v>267</v>
      </c>
      <c r="H202" s="92"/>
      <c r="I202" s="92">
        <v>0</v>
      </c>
      <c r="J202" s="92">
        <v>417596</v>
      </c>
      <c r="K202" s="92" t="s">
        <v>1061</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1045</v>
      </c>
      <c r="D203" s="92">
        <v>3</v>
      </c>
      <c r="E203" s="92" t="s">
        <v>67</v>
      </c>
      <c r="F203" s="92">
        <v>43</v>
      </c>
      <c r="G203" s="92" t="s">
        <v>466</v>
      </c>
      <c r="H203" s="92"/>
      <c r="I203" s="92">
        <v>16</v>
      </c>
      <c r="J203" s="92">
        <v>798816</v>
      </c>
      <c r="K203" s="92" t="s">
        <v>1061</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1053</v>
      </c>
      <c r="D204" s="92">
        <v>3</v>
      </c>
      <c r="E204" s="92" t="s">
        <v>67</v>
      </c>
      <c r="F204" s="92">
        <v>44</v>
      </c>
      <c r="G204" s="92" t="s">
        <v>566</v>
      </c>
      <c r="H204" s="92"/>
      <c r="I204" s="92">
        <v>0</v>
      </c>
      <c r="J204" s="92">
        <v>644328</v>
      </c>
      <c r="K204" s="92" t="s">
        <v>1061</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1022</v>
      </c>
      <c r="D205" s="92">
        <v>3</v>
      </c>
      <c r="E205" s="92" t="s">
        <v>67</v>
      </c>
      <c r="F205" s="92">
        <v>200</v>
      </c>
      <c r="G205" s="92" t="s">
        <v>179</v>
      </c>
      <c r="H205" s="92"/>
      <c r="I205" s="92">
        <v>3187</v>
      </c>
      <c r="J205" s="92">
        <v>6459458</v>
      </c>
      <c r="K205" s="92" t="s">
        <v>1061</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1018</v>
      </c>
      <c r="D206" s="92">
        <v>3</v>
      </c>
      <c r="E206" s="92" t="s">
        <v>67</v>
      </c>
      <c r="F206" s="92">
        <v>45</v>
      </c>
      <c r="G206" s="92" t="s">
        <v>101</v>
      </c>
      <c r="H206" s="92"/>
      <c r="I206" s="92">
        <v>54778</v>
      </c>
      <c r="J206" s="92">
        <v>9486952</v>
      </c>
      <c r="K206" s="92" t="s">
        <v>1061</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1052</v>
      </c>
      <c r="D207" s="92">
        <v>3</v>
      </c>
      <c r="E207" s="92" t="s">
        <v>67</v>
      </c>
      <c r="F207" s="92">
        <v>46</v>
      </c>
      <c r="G207" s="92" t="s">
        <v>543</v>
      </c>
      <c r="H207" s="92"/>
      <c r="I207" s="92">
        <v>0</v>
      </c>
      <c r="J207" s="92">
        <v>1135842</v>
      </c>
      <c r="K207" s="92" t="s">
        <v>1061</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1035</v>
      </c>
      <c r="D208" s="92">
        <v>3</v>
      </c>
      <c r="E208" s="92" t="s">
        <v>67</v>
      </c>
      <c r="F208" s="92">
        <v>47</v>
      </c>
      <c r="G208" s="92" t="s">
        <v>332</v>
      </c>
      <c r="H208" s="92"/>
      <c r="I208" s="92">
        <v>296</v>
      </c>
      <c r="J208" s="92">
        <v>8534</v>
      </c>
      <c r="K208" s="92" t="s">
        <v>1061</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1030</v>
      </c>
      <c r="D209" s="92">
        <v>3</v>
      </c>
      <c r="E209" s="92" t="s">
        <v>67</v>
      </c>
      <c r="F209" s="92">
        <v>48</v>
      </c>
      <c r="G209" s="92" t="s">
        <v>280</v>
      </c>
      <c r="H209" s="92"/>
      <c r="I209" s="92">
        <v>0</v>
      </c>
      <c r="J209" s="92">
        <v>4263920</v>
      </c>
      <c r="K209" s="92" t="s">
        <v>1061</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1016</v>
      </c>
      <c r="D210" s="92">
        <v>3</v>
      </c>
      <c r="E210" s="92" t="s">
        <v>67</v>
      </c>
      <c r="F210" s="92">
        <v>50</v>
      </c>
      <c r="G210" s="92" t="s">
        <v>600</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1170</v>
      </c>
      <c r="B211">
        <v>8</v>
      </c>
      <c r="C211" s="92" t="s">
        <v>1021</v>
      </c>
      <c r="D211" s="92">
        <v>3</v>
      </c>
      <c r="E211" s="92" t="s">
        <v>67</v>
      </c>
      <c r="F211" s="92">
        <v>50</v>
      </c>
      <c r="G211" s="92" t="s">
        <v>600</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1171</v>
      </c>
      <c r="B212">
        <v>23</v>
      </c>
      <c r="C212" s="92" t="s">
        <v>1036</v>
      </c>
      <c r="D212" s="92">
        <v>3</v>
      </c>
      <c r="E212" s="92" t="s">
        <v>67</v>
      </c>
      <c r="F212" s="92">
        <v>50</v>
      </c>
      <c r="G212" s="92" t="s">
        <v>600</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1022</v>
      </c>
      <c r="D213" s="92">
        <v>3</v>
      </c>
      <c r="E213" s="92" t="s">
        <v>67</v>
      </c>
      <c r="F213" s="92">
        <v>49</v>
      </c>
      <c r="G213" s="92" t="s">
        <v>180</v>
      </c>
      <c r="H213" s="92"/>
      <c r="I213" s="92">
        <v>0</v>
      </c>
      <c r="J213" s="92">
        <v>1747076</v>
      </c>
      <c r="K213" s="92" t="s">
        <v>1061</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1040</v>
      </c>
      <c r="D214" s="92">
        <v>3</v>
      </c>
      <c r="E214" s="92" t="s">
        <v>67</v>
      </c>
      <c r="F214" s="92">
        <v>51</v>
      </c>
      <c r="G214" s="92" t="s">
        <v>398</v>
      </c>
      <c r="H214" s="92"/>
      <c r="I214" s="92">
        <v>12651</v>
      </c>
      <c r="J214" s="92">
        <v>237391</v>
      </c>
      <c r="K214" s="92" t="s">
        <v>1061</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1031</v>
      </c>
      <c r="D215" s="92">
        <v>3</v>
      </c>
      <c r="E215" s="92" t="s">
        <v>67</v>
      </c>
      <c r="F215" s="92">
        <v>52</v>
      </c>
      <c r="G215" s="92" t="s">
        <v>285</v>
      </c>
      <c r="H215" s="92"/>
      <c r="I215" s="92">
        <v>0</v>
      </c>
      <c r="J215" s="92">
        <v>237031</v>
      </c>
      <c r="K215" s="92" t="s">
        <v>1061</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1036</v>
      </c>
      <c r="D216" s="92">
        <v>3</v>
      </c>
      <c r="E216" s="92" t="s">
        <v>67</v>
      </c>
      <c r="F216" s="92">
        <v>53</v>
      </c>
      <c r="G216" s="92" t="s">
        <v>339</v>
      </c>
      <c r="H216" s="92"/>
      <c r="I216" s="92">
        <v>1</v>
      </c>
      <c r="J216" s="92">
        <v>4322238</v>
      </c>
      <c r="K216" s="92" t="s">
        <v>1061</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1026</v>
      </c>
      <c r="D217" s="92">
        <v>3</v>
      </c>
      <c r="E217" s="92" t="s">
        <v>67</v>
      </c>
      <c r="F217" s="92">
        <v>54</v>
      </c>
      <c r="G217" s="92" t="s">
        <v>216</v>
      </c>
      <c r="H217" s="92"/>
      <c r="I217" s="92">
        <v>0</v>
      </c>
      <c r="J217" s="92">
        <v>1064575</v>
      </c>
      <c r="K217" s="92" t="s">
        <v>1061</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1038</v>
      </c>
      <c r="D218" s="92">
        <v>3</v>
      </c>
      <c r="E218" s="92" t="s">
        <v>67</v>
      </c>
      <c r="F218" s="92">
        <v>55</v>
      </c>
      <c r="G218" s="92" t="s">
        <v>363</v>
      </c>
      <c r="H218" s="92"/>
      <c r="I218" s="92">
        <v>0</v>
      </c>
      <c r="J218" s="92">
        <v>181902</v>
      </c>
      <c r="K218" s="92" t="s">
        <v>1061</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1041</v>
      </c>
      <c r="D219" s="92">
        <v>3</v>
      </c>
      <c r="E219" s="92" t="s">
        <v>67</v>
      </c>
      <c r="F219" s="92">
        <v>56</v>
      </c>
      <c r="G219" s="92" t="s">
        <v>408</v>
      </c>
      <c r="H219" s="92"/>
      <c r="I219" s="92">
        <v>0</v>
      </c>
      <c r="J219" s="92">
        <v>236875</v>
      </c>
      <c r="K219" s="92" t="s">
        <v>1061</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1196</v>
      </c>
      <c r="D220" s="92">
        <v>3</v>
      </c>
      <c r="E220" s="92" t="s">
        <v>67</v>
      </c>
      <c r="F220" s="92">
        <v>57</v>
      </c>
      <c r="G220" s="92" t="s">
        <v>553</v>
      </c>
      <c r="H220" s="92"/>
      <c r="I220" s="92">
        <v>50921</v>
      </c>
      <c r="J220" s="92">
        <v>3343239</v>
      </c>
      <c r="K220" s="92" t="s">
        <v>1061</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1020</v>
      </c>
      <c r="D221" s="92">
        <v>3</v>
      </c>
      <c r="E221" s="92" t="s">
        <v>67</v>
      </c>
      <c r="F221" s="92">
        <v>58</v>
      </c>
      <c r="G221" s="92" t="s">
        <v>137</v>
      </c>
      <c r="H221" s="92"/>
      <c r="I221" s="92">
        <v>26606</v>
      </c>
      <c r="J221" s="92">
        <v>1242013</v>
      </c>
      <c r="K221" s="92" t="s">
        <v>1061</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1034</v>
      </c>
      <c r="D222" s="92">
        <v>3</v>
      </c>
      <c r="E222" s="92" t="s">
        <v>67</v>
      </c>
      <c r="F222" s="92">
        <v>59</v>
      </c>
      <c r="G222" s="92" t="s">
        <v>316</v>
      </c>
      <c r="H222" s="92"/>
      <c r="I222" s="92">
        <v>0</v>
      </c>
      <c r="J222" s="92">
        <v>1646147</v>
      </c>
      <c r="K222" s="92" t="s">
        <v>1061</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1050</v>
      </c>
      <c r="D223" s="92">
        <v>3</v>
      </c>
      <c r="E223" s="92" t="s">
        <v>67</v>
      </c>
      <c r="F223" s="92">
        <v>60</v>
      </c>
      <c r="G223" s="92" t="s">
        <v>519</v>
      </c>
      <c r="H223" s="92"/>
      <c r="I223" s="92">
        <v>0</v>
      </c>
      <c r="J223" s="92">
        <v>12922512</v>
      </c>
      <c r="K223" s="92" t="s">
        <v>1061</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1016</v>
      </c>
      <c r="D224" s="92">
        <v>3</v>
      </c>
      <c r="E224" s="92" t="s">
        <v>67</v>
      </c>
      <c r="F224" s="92">
        <v>61</v>
      </c>
      <c r="G224" s="92" t="s">
        <v>601</v>
      </c>
      <c r="H224" s="92"/>
      <c r="I224" s="92">
        <v>45365</v>
      </c>
      <c r="J224" s="92">
        <v>14311839</v>
      </c>
      <c r="K224" s="92" t="s">
        <v>1061</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1042</v>
      </c>
      <c r="D225" s="92">
        <v>3</v>
      </c>
      <c r="E225" s="92" t="s">
        <v>67</v>
      </c>
      <c r="F225" s="92">
        <v>62</v>
      </c>
      <c r="G225" s="92" t="s">
        <v>436</v>
      </c>
      <c r="H225" s="92"/>
      <c r="I225" s="92">
        <v>12597</v>
      </c>
      <c r="J225" s="92">
        <v>1118918</v>
      </c>
      <c r="K225" s="92" t="s">
        <v>1061</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1194</v>
      </c>
      <c r="D226" s="92">
        <v>3</v>
      </c>
      <c r="E226" s="92" t="s">
        <v>67</v>
      </c>
      <c r="F226" s="92">
        <v>63</v>
      </c>
      <c r="G226" s="92" t="s">
        <v>115</v>
      </c>
      <c r="H226" s="92"/>
      <c r="I226" s="92">
        <v>0</v>
      </c>
      <c r="J226" s="92">
        <v>526943</v>
      </c>
      <c r="K226" s="92" t="s">
        <v>1061</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1033</v>
      </c>
      <c r="D227" s="92">
        <v>3</v>
      </c>
      <c r="E227" s="92" t="s">
        <v>67</v>
      </c>
      <c r="F227" s="92">
        <v>64</v>
      </c>
      <c r="G227" s="92" t="s">
        <v>307</v>
      </c>
      <c r="H227" s="92"/>
      <c r="I227" s="92">
        <v>217819</v>
      </c>
      <c r="J227" s="92">
        <v>15072645</v>
      </c>
      <c r="K227" s="92" t="s">
        <v>1061</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1037</v>
      </c>
      <c r="D228" s="92">
        <v>3</v>
      </c>
      <c r="E228" s="92" t="s">
        <v>67</v>
      </c>
      <c r="F228" s="92">
        <v>65</v>
      </c>
      <c r="G228" s="92" t="s">
        <v>346</v>
      </c>
      <c r="H228" s="92"/>
      <c r="I228" s="92">
        <v>0</v>
      </c>
      <c r="J228" s="92">
        <v>6359812</v>
      </c>
      <c r="K228" s="92" t="s">
        <v>1061</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1028</v>
      </c>
      <c r="D229" s="92">
        <v>3</v>
      </c>
      <c r="E229" s="92" t="s">
        <v>67</v>
      </c>
      <c r="F229" s="92">
        <v>66</v>
      </c>
      <c r="G229" s="92" t="s">
        <v>254</v>
      </c>
      <c r="H229" s="92"/>
      <c r="I229" s="92">
        <v>0</v>
      </c>
      <c r="J229" s="92">
        <v>1031028</v>
      </c>
      <c r="K229" s="92" t="s">
        <v>1061</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1049</v>
      </c>
      <c r="D230" s="92">
        <v>3</v>
      </c>
      <c r="E230" s="92" t="s">
        <v>67</v>
      </c>
      <c r="F230" s="92">
        <v>67</v>
      </c>
      <c r="G230" s="92" t="s">
        <v>510</v>
      </c>
      <c r="H230" s="92"/>
      <c r="I230" s="92">
        <v>0</v>
      </c>
      <c r="J230" s="92">
        <v>786361</v>
      </c>
      <c r="K230" s="92" t="s">
        <v>1061</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1038</v>
      </c>
      <c r="D231" s="92">
        <v>3</v>
      </c>
      <c r="E231" s="92" t="s">
        <v>67</v>
      </c>
      <c r="F231" s="92">
        <v>68</v>
      </c>
      <c r="G231" s="92" t="s">
        <v>364</v>
      </c>
      <c r="H231" s="92"/>
      <c r="I231" s="92">
        <v>0</v>
      </c>
      <c r="J231" s="92">
        <v>2266657</v>
      </c>
      <c r="K231" s="92" t="s">
        <v>1061</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1027</v>
      </c>
      <c r="D232" s="92">
        <v>3</v>
      </c>
      <c r="E232" s="92" t="s">
        <v>67</v>
      </c>
      <c r="F232" s="92">
        <v>69</v>
      </c>
      <c r="G232" s="92" t="s">
        <v>219</v>
      </c>
      <c r="H232" s="92"/>
      <c r="I232" s="92">
        <v>0</v>
      </c>
      <c r="J232" s="92">
        <v>815163</v>
      </c>
      <c r="K232" s="92" t="s">
        <v>1061</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1037</v>
      </c>
      <c r="D233" s="92">
        <v>3</v>
      </c>
      <c r="E233" s="92" t="s">
        <v>67</v>
      </c>
      <c r="F233" s="92">
        <v>70</v>
      </c>
      <c r="G233" s="92" t="s">
        <v>347</v>
      </c>
      <c r="H233" s="92"/>
      <c r="I233" s="92">
        <v>9101</v>
      </c>
      <c r="J233" s="92">
        <v>1008866</v>
      </c>
      <c r="K233" s="92" t="s">
        <v>1061</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1057</v>
      </c>
      <c r="D234" s="92">
        <v>3</v>
      </c>
      <c r="E234" s="92" t="s">
        <v>67</v>
      </c>
      <c r="F234" s="92">
        <v>71</v>
      </c>
      <c r="G234" s="92" t="s">
        <v>157</v>
      </c>
      <c r="H234" s="92"/>
      <c r="I234" s="92">
        <v>49274</v>
      </c>
      <c r="J234" s="92">
        <v>7018619</v>
      </c>
      <c r="K234" s="92" t="s">
        <v>1061</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1196</v>
      </c>
      <c r="D235" s="92">
        <v>3</v>
      </c>
      <c r="E235" s="92" t="s">
        <v>67</v>
      </c>
      <c r="F235" s="92">
        <v>73</v>
      </c>
      <c r="G235" s="92" t="s">
        <v>554</v>
      </c>
      <c r="H235" s="92"/>
      <c r="I235" s="92">
        <v>56477</v>
      </c>
      <c r="J235" s="92">
        <v>815334</v>
      </c>
      <c r="K235" s="92" t="s">
        <v>1061</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1041</v>
      </c>
      <c r="D236" s="92">
        <v>3</v>
      </c>
      <c r="E236" s="92" t="s">
        <v>67</v>
      </c>
      <c r="F236" s="92">
        <v>74</v>
      </c>
      <c r="G236" s="92" t="s">
        <v>409</v>
      </c>
      <c r="H236" s="92"/>
      <c r="I236" s="92">
        <v>21115</v>
      </c>
      <c r="J236" s="92">
        <v>939086</v>
      </c>
      <c r="K236" s="92" t="s">
        <v>1061</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1041</v>
      </c>
      <c r="D237" s="92">
        <v>3</v>
      </c>
      <c r="E237" s="92" t="s">
        <v>67</v>
      </c>
      <c r="F237" s="92">
        <v>75</v>
      </c>
      <c r="G237" s="92" t="s">
        <v>410</v>
      </c>
      <c r="H237" s="92"/>
      <c r="I237" s="92">
        <v>1999</v>
      </c>
      <c r="J237" s="92">
        <v>584712</v>
      </c>
      <c r="K237" s="92" t="s">
        <v>1061</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1041</v>
      </c>
      <c r="D238" s="92">
        <v>3</v>
      </c>
      <c r="E238" s="92" t="s">
        <v>67</v>
      </c>
      <c r="F238" s="92">
        <v>76</v>
      </c>
      <c r="G238" s="92" t="s">
        <v>411</v>
      </c>
      <c r="H238" s="92"/>
      <c r="I238" s="92">
        <v>38</v>
      </c>
      <c r="J238" s="92">
        <v>19739608</v>
      </c>
      <c r="K238" s="92" t="s">
        <v>1061</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1041</v>
      </c>
      <c r="D239" s="92">
        <v>3</v>
      </c>
      <c r="E239" s="92" t="s">
        <v>67</v>
      </c>
      <c r="F239" s="92">
        <v>77</v>
      </c>
      <c r="G239" s="92" t="s">
        <v>412</v>
      </c>
      <c r="H239" s="92"/>
      <c r="I239" s="92">
        <v>614</v>
      </c>
      <c r="J239" s="92">
        <v>1345384</v>
      </c>
      <c r="K239" s="92" t="s">
        <v>1061</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1040</v>
      </c>
      <c r="D240" s="92">
        <v>3</v>
      </c>
      <c r="E240" s="92" t="s">
        <v>67</v>
      </c>
      <c r="F240" s="92">
        <v>78</v>
      </c>
      <c r="G240" s="92" t="s">
        <v>399</v>
      </c>
      <c r="H240" s="92"/>
      <c r="I240" s="92">
        <v>12397</v>
      </c>
      <c r="J240" s="92">
        <v>348084</v>
      </c>
      <c r="K240" s="92" t="s">
        <v>1061</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1047</v>
      </c>
      <c r="D241" s="92">
        <v>3</v>
      </c>
      <c r="E241" s="92" t="s">
        <v>67</v>
      </c>
      <c r="F241" s="92">
        <v>79</v>
      </c>
      <c r="G241" s="92" t="s">
        <v>489</v>
      </c>
      <c r="H241" s="92"/>
      <c r="I241" s="92">
        <v>15</v>
      </c>
      <c r="J241" s="92">
        <v>3178187</v>
      </c>
      <c r="K241" s="92" t="s">
        <v>1061</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1196</v>
      </c>
      <c r="D242" s="92">
        <v>3</v>
      </c>
      <c r="E242" s="92" t="s">
        <v>67</v>
      </c>
      <c r="F242" s="92">
        <v>80</v>
      </c>
      <c r="G242" s="92" t="s">
        <v>555</v>
      </c>
      <c r="H242" s="92"/>
      <c r="I242" s="92">
        <v>1015</v>
      </c>
      <c r="J242" s="92">
        <v>963319</v>
      </c>
      <c r="K242" s="92" t="s">
        <v>1061</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1049</v>
      </c>
      <c r="D243" s="92">
        <v>3</v>
      </c>
      <c r="E243" s="92" t="s">
        <v>67</v>
      </c>
      <c r="F243" s="92">
        <v>81</v>
      </c>
      <c r="G243" s="92" t="s">
        <v>511</v>
      </c>
      <c r="H243" s="92"/>
      <c r="I243" s="92">
        <v>14660</v>
      </c>
      <c r="J243" s="92">
        <v>3957832</v>
      </c>
      <c r="K243" s="92" t="s">
        <v>1061</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1022</v>
      </c>
      <c r="D244" s="92">
        <v>3</v>
      </c>
      <c r="E244" s="92" t="s">
        <v>67</v>
      </c>
      <c r="F244" s="92">
        <v>82</v>
      </c>
      <c r="G244" s="92" t="s">
        <v>181</v>
      </c>
      <c r="H244" s="92"/>
      <c r="I244" s="92">
        <v>3181</v>
      </c>
      <c r="J244" s="92">
        <v>1923404</v>
      </c>
      <c r="K244" s="92" t="s">
        <v>1061</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1021</v>
      </c>
      <c r="D245" s="92">
        <v>3</v>
      </c>
      <c r="E245" s="92" t="s">
        <v>67</v>
      </c>
      <c r="F245" s="92">
        <v>83</v>
      </c>
      <c r="G245" s="92" t="s">
        <v>168</v>
      </c>
      <c r="H245" s="92"/>
      <c r="I245" s="92">
        <v>21818</v>
      </c>
      <c r="J245" s="92">
        <v>2193557</v>
      </c>
      <c r="K245" s="92" t="s">
        <v>1061</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1041</v>
      </c>
      <c r="D246" s="92">
        <v>3</v>
      </c>
      <c r="E246" s="92" t="s">
        <v>67</v>
      </c>
      <c r="F246" s="92">
        <v>84</v>
      </c>
      <c r="G246" s="92" t="s">
        <v>413</v>
      </c>
      <c r="H246" s="92"/>
      <c r="I246" s="92">
        <v>3329</v>
      </c>
      <c r="J246" s="92">
        <v>137748</v>
      </c>
      <c r="K246" s="92" t="s">
        <v>1061</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1021</v>
      </c>
      <c r="D247" s="92">
        <v>3</v>
      </c>
      <c r="E247" s="92" t="s">
        <v>67</v>
      </c>
      <c r="F247" s="92">
        <v>85</v>
      </c>
      <c r="G247" s="92" t="s">
        <v>169</v>
      </c>
      <c r="H247" s="92"/>
      <c r="I247" s="92">
        <v>9291</v>
      </c>
      <c r="J247" s="92">
        <v>297310</v>
      </c>
      <c r="K247" s="92" t="s">
        <v>1061</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1023</v>
      </c>
      <c r="D248" s="92">
        <v>3</v>
      </c>
      <c r="E248" s="92" t="s">
        <v>67</v>
      </c>
      <c r="F248" s="92">
        <v>86</v>
      </c>
      <c r="G248" s="92" t="s">
        <v>195</v>
      </c>
      <c r="H248" s="92"/>
      <c r="I248" s="92">
        <v>5527307</v>
      </c>
      <c r="J248" s="92">
        <v>32921114</v>
      </c>
      <c r="K248" s="92" t="s">
        <v>1061</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1018</v>
      </c>
      <c r="D249" s="92">
        <v>3</v>
      </c>
      <c r="E249" s="92" t="s">
        <v>67</v>
      </c>
      <c r="F249" s="92">
        <v>87</v>
      </c>
      <c r="G249" s="92" t="s">
        <v>102</v>
      </c>
      <c r="H249" s="92"/>
      <c r="I249" s="92">
        <v>18185</v>
      </c>
      <c r="J249" s="92">
        <v>3956827</v>
      </c>
      <c r="K249" s="92" t="s">
        <v>1061</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1023</v>
      </c>
      <c r="D250" s="92">
        <v>3</v>
      </c>
      <c r="E250" s="92" t="s">
        <v>67</v>
      </c>
      <c r="F250" s="92">
        <v>88</v>
      </c>
      <c r="G250" s="92" t="s">
        <v>196</v>
      </c>
      <c r="H250" s="92"/>
      <c r="I250" s="92">
        <v>92703</v>
      </c>
      <c r="J250" s="92">
        <v>1834386</v>
      </c>
      <c r="K250" s="92" t="s">
        <v>1061</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1035</v>
      </c>
      <c r="D251" s="92">
        <v>3</v>
      </c>
      <c r="E251" s="92" t="s">
        <v>67</v>
      </c>
      <c r="F251" s="92">
        <v>90</v>
      </c>
      <c r="G251" s="92" t="s">
        <v>333</v>
      </c>
      <c r="H251" s="92"/>
      <c r="I251" s="92">
        <v>1956</v>
      </c>
      <c r="J251" s="92">
        <v>1711771</v>
      </c>
      <c r="K251" s="92" t="s">
        <v>1061</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1040</v>
      </c>
      <c r="D252" s="92">
        <v>3</v>
      </c>
      <c r="E252" s="92" t="s">
        <v>67</v>
      </c>
      <c r="F252" s="92">
        <v>91</v>
      </c>
      <c r="G252" s="92" t="s">
        <v>400</v>
      </c>
      <c r="H252" s="92"/>
      <c r="I252" s="92">
        <v>363742</v>
      </c>
      <c r="J252" s="92">
        <v>6638896</v>
      </c>
      <c r="K252" s="92" t="s">
        <v>1061</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1042</v>
      </c>
      <c r="D253" s="92">
        <v>3</v>
      </c>
      <c r="E253" s="92" t="s">
        <v>67</v>
      </c>
      <c r="F253" s="92">
        <v>92</v>
      </c>
      <c r="G253" s="92" t="s">
        <v>437</v>
      </c>
      <c r="H253" s="92"/>
      <c r="I253" s="92">
        <v>7</v>
      </c>
      <c r="J253" s="92">
        <v>1017813</v>
      </c>
      <c r="K253" s="92" t="s">
        <v>1061</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1038</v>
      </c>
      <c r="D254" s="92">
        <v>3</v>
      </c>
      <c r="E254" s="92" t="s">
        <v>67</v>
      </c>
      <c r="F254" s="92">
        <v>93</v>
      </c>
      <c r="G254" s="92" t="s">
        <v>460</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1044</v>
      </c>
      <c r="D255" s="92">
        <v>3</v>
      </c>
      <c r="E255" s="92" t="s">
        <v>67</v>
      </c>
      <c r="F255" s="92">
        <v>93</v>
      </c>
      <c r="G255" s="92" t="s">
        <v>460</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1051</v>
      </c>
      <c r="D256" s="92">
        <v>3</v>
      </c>
      <c r="E256" s="92" t="s">
        <v>67</v>
      </c>
      <c r="F256" s="92">
        <v>94</v>
      </c>
      <c r="G256" s="92" t="s">
        <v>532</v>
      </c>
      <c r="H256" s="92"/>
      <c r="I256" s="92">
        <v>0</v>
      </c>
      <c r="J256" s="92">
        <v>7695451</v>
      </c>
      <c r="K256" s="92" t="s">
        <v>1061</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1042</v>
      </c>
      <c r="D257" s="92">
        <v>3</v>
      </c>
      <c r="E257" s="92" t="s">
        <v>67</v>
      </c>
      <c r="F257" s="92">
        <v>95</v>
      </c>
      <c r="G257" s="92" t="s">
        <v>438</v>
      </c>
      <c r="H257" s="92"/>
      <c r="I257" s="92">
        <v>0</v>
      </c>
      <c r="J257" s="92">
        <v>680851</v>
      </c>
      <c r="K257" s="92" t="s">
        <v>1061</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1057</v>
      </c>
      <c r="D258" s="92">
        <v>3</v>
      </c>
      <c r="E258" s="92" t="s">
        <v>67</v>
      </c>
      <c r="F258" s="92">
        <v>96</v>
      </c>
      <c r="G258" s="92" t="s">
        <v>158</v>
      </c>
      <c r="H258" s="92"/>
      <c r="I258" s="92">
        <v>192829</v>
      </c>
      <c r="J258" s="92">
        <v>3535343</v>
      </c>
      <c r="K258" s="92" t="s">
        <v>1061</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1196</v>
      </c>
      <c r="D259" s="92">
        <v>3</v>
      </c>
      <c r="E259" s="92" t="s">
        <v>67</v>
      </c>
      <c r="F259" s="92">
        <v>97</v>
      </c>
      <c r="G259" s="92" t="s">
        <v>556</v>
      </c>
      <c r="H259" s="92"/>
      <c r="I259" s="92">
        <v>0</v>
      </c>
      <c r="J259" s="92">
        <v>3846346</v>
      </c>
      <c r="K259" s="92" t="s">
        <v>1061</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1038</v>
      </c>
      <c r="D260" s="92">
        <v>3</v>
      </c>
      <c r="E260" s="92" t="s">
        <v>67</v>
      </c>
      <c r="F260" s="92">
        <v>98</v>
      </c>
      <c r="G260" s="92" t="s">
        <v>365</v>
      </c>
      <c r="H260" s="92"/>
      <c r="I260" s="92">
        <v>0</v>
      </c>
      <c r="J260" s="92">
        <v>700983</v>
      </c>
      <c r="K260" s="92" t="s">
        <v>1061</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1022</v>
      </c>
      <c r="D261" s="92">
        <v>3</v>
      </c>
      <c r="E261" s="92" t="s">
        <v>67</v>
      </c>
      <c r="F261" s="92">
        <v>99</v>
      </c>
      <c r="G261" s="92" t="s">
        <v>182</v>
      </c>
      <c r="H261" s="92"/>
      <c r="I261" s="92">
        <v>0</v>
      </c>
      <c r="J261" s="92">
        <v>1763758</v>
      </c>
      <c r="K261" s="92" t="s">
        <v>1061</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1016</v>
      </c>
      <c r="D262" s="92">
        <v>3</v>
      </c>
      <c r="E262" s="92" t="s">
        <v>67</v>
      </c>
      <c r="F262" s="92">
        <v>100</v>
      </c>
      <c r="G262" s="92" t="s">
        <v>602</v>
      </c>
      <c r="H262" s="92"/>
      <c r="I262" s="92">
        <v>49798</v>
      </c>
      <c r="J262" s="92">
        <v>36868944</v>
      </c>
      <c r="K262" s="92" t="s">
        <v>1061</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1195</v>
      </c>
      <c r="D263" s="92">
        <v>3</v>
      </c>
      <c r="E263" s="92" t="s">
        <v>67</v>
      </c>
      <c r="F263" s="92">
        <v>101</v>
      </c>
      <c r="G263" s="92" t="s">
        <v>495</v>
      </c>
      <c r="H263" s="92"/>
      <c r="I263" s="92">
        <v>3105</v>
      </c>
      <c r="J263" s="92">
        <v>1148707</v>
      </c>
      <c r="K263" s="92" t="s">
        <v>1061</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1018</v>
      </c>
      <c r="D264" s="92">
        <v>3</v>
      </c>
      <c r="E264" s="92" t="s">
        <v>67</v>
      </c>
      <c r="F264" s="92">
        <v>102</v>
      </c>
      <c r="G264" s="92" t="s">
        <v>103</v>
      </c>
      <c r="H264" s="92"/>
      <c r="I264" s="92">
        <v>71387</v>
      </c>
      <c r="J264" s="92">
        <v>6895995</v>
      </c>
      <c r="K264" s="92" t="s">
        <v>1061</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1043</v>
      </c>
      <c r="D265" s="92">
        <v>3</v>
      </c>
      <c r="E265" s="92" t="s">
        <v>67</v>
      </c>
      <c r="F265" s="92">
        <v>103</v>
      </c>
      <c r="G265" s="92" t="s">
        <v>453</v>
      </c>
      <c r="H265" s="92"/>
      <c r="I265" s="92">
        <v>0</v>
      </c>
      <c r="J265" s="92">
        <v>115002</v>
      </c>
      <c r="K265" s="92" t="s">
        <v>1061</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1195</v>
      </c>
      <c r="D266" s="92">
        <v>3</v>
      </c>
      <c r="E266" s="92" t="s">
        <v>67</v>
      </c>
      <c r="F266" s="92">
        <v>104</v>
      </c>
      <c r="G266" s="92" t="s">
        <v>496</v>
      </c>
      <c r="H266" s="92"/>
      <c r="I266" s="92">
        <v>3490688</v>
      </c>
      <c r="J266" s="92">
        <v>46302303</v>
      </c>
      <c r="K266" s="92" t="s">
        <v>1061</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1039</v>
      </c>
      <c r="D267" s="92">
        <v>3</v>
      </c>
      <c r="E267" s="92" t="s">
        <v>67</v>
      </c>
      <c r="F267" s="92">
        <v>105</v>
      </c>
      <c r="G267" s="92" t="s">
        <v>390</v>
      </c>
      <c r="H267" s="92"/>
      <c r="I267" s="92">
        <v>41</v>
      </c>
      <c r="J267" s="92">
        <v>551383</v>
      </c>
      <c r="K267" s="92" t="s">
        <v>1061</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1032</v>
      </c>
      <c r="D268" s="92">
        <v>3</v>
      </c>
      <c r="E268" s="92" t="s">
        <v>67</v>
      </c>
      <c r="F268" s="92">
        <v>109</v>
      </c>
      <c r="G268" s="92" t="s">
        <v>300</v>
      </c>
      <c r="H268" s="92"/>
      <c r="I268" s="92">
        <v>0</v>
      </c>
      <c r="J268" s="92">
        <v>532740</v>
      </c>
      <c r="K268" s="92" t="s">
        <v>1061</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1048</v>
      </c>
      <c r="D269" s="92">
        <v>3</v>
      </c>
      <c r="E269" s="92" t="s">
        <v>67</v>
      </c>
      <c r="F269" s="92">
        <v>110</v>
      </c>
      <c r="G269" s="92" t="s">
        <v>503</v>
      </c>
      <c r="H269" s="92"/>
      <c r="I269" s="92">
        <v>0</v>
      </c>
      <c r="J269" s="92">
        <v>5620220</v>
      </c>
      <c r="K269" s="92" t="s">
        <v>1061</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1029</v>
      </c>
      <c r="D270" s="92">
        <v>3</v>
      </c>
      <c r="E270" s="92" t="s">
        <v>67</v>
      </c>
      <c r="F270" s="92">
        <v>111</v>
      </c>
      <c r="G270" s="92" t="s">
        <v>268</v>
      </c>
      <c r="H270" s="92"/>
      <c r="I270" s="92">
        <v>2135</v>
      </c>
      <c r="J270" s="92">
        <v>226984</v>
      </c>
      <c r="K270" s="92" t="s">
        <v>1061</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1049</v>
      </c>
      <c r="D271" s="92">
        <v>3</v>
      </c>
      <c r="E271" s="92" t="s">
        <v>67</v>
      </c>
      <c r="F271" s="92">
        <v>112</v>
      </c>
      <c r="G271" s="92" t="s">
        <v>512</v>
      </c>
      <c r="H271" s="92"/>
      <c r="I271" s="92">
        <v>0</v>
      </c>
      <c r="J271" s="92">
        <v>2070718</v>
      </c>
      <c r="K271" s="92" t="s">
        <v>1061</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1053</v>
      </c>
      <c r="D272" s="92">
        <v>3</v>
      </c>
      <c r="E272" s="92" t="s">
        <v>67</v>
      </c>
      <c r="F272" s="92">
        <v>107</v>
      </c>
      <c r="G272" s="92" t="s">
        <v>567</v>
      </c>
      <c r="H272" s="92"/>
      <c r="I272" s="92">
        <v>353060</v>
      </c>
      <c r="J272" s="92">
        <v>10554625</v>
      </c>
      <c r="K272" s="92" t="s">
        <v>1061</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1018</v>
      </c>
      <c r="D273" s="92">
        <v>3</v>
      </c>
      <c r="E273" s="92" t="s">
        <v>67</v>
      </c>
      <c r="F273" s="92">
        <v>108</v>
      </c>
      <c r="G273" s="92" t="s">
        <v>104</v>
      </c>
      <c r="H273" s="92"/>
      <c r="I273" s="92">
        <v>81498</v>
      </c>
      <c r="J273" s="92">
        <v>19828365</v>
      </c>
      <c r="K273" s="92" t="s">
        <v>1061</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1027</v>
      </c>
      <c r="D274" s="92">
        <v>3</v>
      </c>
      <c r="E274" s="92" t="s">
        <v>67</v>
      </c>
      <c r="F274" s="92">
        <v>113</v>
      </c>
      <c r="G274" s="92" t="s">
        <v>220</v>
      </c>
      <c r="H274" s="92"/>
      <c r="I274" s="92">
        <v>325</v>
      </c>
      <c r="J274" s="92">
        <v>287507</v>
      </c>
      <c r="K274" s="92" t="s">
        <v>1061</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1039</v>
      </c>
      <c r="D275" s="92">
        <v>3</v>
      </c>
      <c r="E275" s="92" t="s">
        <v>67</v>
      </c>
      <c r="F275" s="92">
        <v>114</v>
      </c>
      <c r="G275" s="92" t="s">
        <v>391</v>
      </c>
      <c r="H275" s="92"/>
      <c r="I275" s="92">
        <v>167</v>
      </c>
      <c r="J275" s="92">
        <v>1153035</v>
      </c>
      <c r="K275" s="92" t="s">
        <v>1061</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1016</v>
      </c>
      <c r="D276" s="92">
        <v>3</v>
      </c>
      <c r="E276" s="92" t="s">
        <v>67</v>
      </c>
      <c r="F276" s="92">
        <v>115</v>
      </c>
      <c r="G276" s="92" t="s">
        <v>603</v>
      </c>
      <c r="H276" s="92"/>
      <c r="I276" s="92">
        <v>4208116</v>
      </c>
      <c r="J276" s="92">
        <v>137023024</v>
      </c>
      <c r="K276" s="92" t="s">
        <v>1061</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1027</v>
      </c>
      <c r="D277" s="92">
        <v>3</v>
      </c>
      <c r="E277" s="92" t="s">
        <v>67</v>
      </c>
      <c r="F277" s="92">
        <v>116</v>
      </c>
      <c r="G277" s="92" t="s">
        <v>221</v>
      </c>
      <c r="H277" s="92"/>
      <c r="I277" s="92">
        <v>82</v>
      </c>
      <c r="J277" s="92">
        <v>8723917</v>
      </c>
      <c r="K277" s="92" t="s">
        <v>1061</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1054</v>
      </c>
      <c r="D278" s="92">
        <v>3</v>
      </c>
      <c r="E278" s="92" t="s">
        <v>67</v>
      </c>
      <c r="F278" s="92">
        <v>117</v>
      </c>
      <c r="G278" s="92" t="s">
        <v>576</v>
      </c>
      <c r="H278" s="92"/>
      <c r="I278" s="92">
        <v>0</v>
      </c>
      <c r="J278" s="92">
        <v>2892061</v>
      </c>
      <c r="K278" s="92" t="s">
        <v>1061</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1047</v>
      </c>
      <c r="D279" s="92">
        <v>3</v>
      </c>
      <c r="E279" s="92" t="s">
        <v>67</v>
      </c>
      <c r="F279" s="92">
        <v>118</v>
      </c>
      <c r="G279" s="92" t="s">
        <v>490</v>
      </c>
      <c r="H279" s="92"/>
      <c r="I279" s="92">
        <v>0</v>
      </c>
      <c r="J279" s="92">
        <v>1972347</v>
      </c>
      <c r="K279" s="92" t="s">
        <v>1061</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1194</v>
      </c>
      <c r="D280" s="92">
        <v>3</v>
      </c>
      <c r="E280" s="92" t="s">
        <v>67</v>
      </c>
      <c r="F280" s="92">
        <v>119</v>
      </c>
      <c r="G280" s="92" t="s">
        <v>116</v>
      </c>
      <c r="H280" s="92"/>
      <c r="I280" s="92">
        <v>8909</v>
      </c>
      <c r="J280" s="92">
        <v>6468383</v>
      </c>
      <c r="K280" s="92" t="s">
        <v>1061</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1025</v>
      </c>
      <c r="D281" s="92">
        <v>3</v>
      </c>
      <c r="E281" s="92" t="s">
        <v>67</v>
      </c>
      <c r="F281" s="92">
        <v>120</v>
      </c>
      <c r="G281" s="92" t="s">
        <v>213</v>
      </c>
      <c r="H281" s="92"/>
      <c r="I281" s="92">
        <v>0</v>
      </c>
      <c r="J281" s="92">
        <v>25171</v>
      </c>
      <c r="K281" s="92" t="s">
        <v>1061</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1042</v>
      </c>
      <c r="D282" s="92">
        <v>3</v>
      </c>
      <c r="E282" s="92" t="s">
        <v>67</v>
      </c>
      <c r="F282" s="92">
        <v>121</v>
      </c>
      <c r="G282" s="92" t="s">
        <v>439</v>
      </c>
      <c r="H282" s="92"/>
      <c r="I282" s="92">
        <v>15141</v>
      </c>
      <c r="J282" s="92">
        <v>14961289</v>
      </c>
      <c r="K282" s="92" t="s">
        <v>1061</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1033</v>
      </c>
      <c r="D283" s="92">
        <v>3</v>
      </c>
      <c r="E283" s="92" t="s">
        <v>67</v>
      </c>
      <c r="F283" s="92">
        <v>122</v>
      </c>
      <c r="G283" s="92" t="s">
        <v>308</v>
      </c>
      <c r="H283" s="92"/>
      <c r="I283" s="92">
        <v>0</v>
      </c>
      <c r="J283" s="92">
        <v>36985056</v>
      </c>
      <c r="K283" s="92" t="s">
        <v>1061</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1024</v>
      </c>
      <c r="D284" s="92">
        <v>3</v>
      </c>
      <c r="E284" s="92" t="s">
        <v>67</v>
      </c>
      <c r="F284" s="92">
        <v>123</v>
      </c>
      <c r="G284" s="92" t="s">
        <v>736</v>
      </c>
      <c r="H284" s="92"/>
      <c r="I284" s="92">
        <v>1742</v>
      </c>
      <c r="J284" s="92">
        <v>3564479</v>
      </c>
      <c r="K284" s="92" t="s">
        <v>1061</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1039</v>
      </c>
      <c r="D285" s="92">
        <v>3</v>
      </c>
      <c r="E285" s="92" t="s">
        <v>67</v>
      </c>
      <c r="F285" s="92">
        <v>124</v>
      </c>
      <c r="G285" s="92" t="s">
        <v>392</v>
      </c>
      <c r="H285" s="92"/>
      <c r="I285" s="92">
        <v>0</v>
      </c>
      <c r="J285" s="92">
        <v>366281</v>
      </c>
      <c r="K285" s="92" t="s">
        <v>1061</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1051</v>
      </c>
      <c r="D286" s="92">
        <v>3</v>
      </c>
      <c r="E286" s="92" t="s">
        <v>67</v>
      </c>
      <c r="F286" s="92">
        <v>125</v>
      </c>
      <c r="G286" s="92" t="s">
        <v>533</v>
      </c>
      <c r="H286" s="92"/>
      <c r="I286" s="92">
        <v>46</v>
      </c>
      <c r="J286" s="92">
        <v>1160533</v>
      </c>
      <c r="K286" s="92" t="s">
        <v>1061</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1196</v>
      </c>
      <c r="D287" s="92">
        <v>3</v>
      </c>
      <c r="E287" s="92" t="s">
        <v>67</v>
      </c>
      <c r="F287" s="92">
        <v>126</v>
      </c>
      <c r="G287" s="92" t="s">
        <v>557</v>
      </c>
      <c r="H287" s="92"/>
      <c r="I287" s="92">
        <v>846</v>
      </c>
      <c r="J287" s="92">
        <v>466091</v>
      </c>
      <c r="K287" s="92" t="s">
        <v>1061</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1027</v>
      </c>
      <c r="D288" s="92">
        <v>3</v>
      </c>
      <c r="E288" s="92" t="s">
        <v>67</v>
      </c>
      <c r="F288" s="92">
        <v>127</v>
      </c>
      <c r="G288" s="92" t="s">
        <v>222</v>
      </c>
      <c r="H288" s="92"/>
      <c r="I288" s="92">
        <v>2168190</v>
      </c>
      <c r="J288" s="92">
        <v>104427307</v>
      </c>
      <c r="K288" s="92" t="s">
        <v>1061</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1017</v>
      </c>
      <c r="D289" s="92">
        <v>3</v>
      </c>
      <c r="E289" s="92" t="s">
        <v>67</v>
      </c>
      <c r="F289" s="92">
        <v>129</v>
      </c>
      <c r="G289" s="92" t="s">
        <v>623</v>
      </c>
      <c r="H289" s="92"/>
      <c r="I289" s="92">
        <v>0</v>
      </c>
      <c r="J289" s="92">
        <v>683287</v>
      </c>
      <c r="K289" s="92" t="s">
        <v>1061</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1050</v>
      </c>
      <c r="D290" s="92">
        <v>3</v>
      </c>
      <c r="E290" s="92" t="s">
        <v>67</v>
      </c>
      <c r="F290" s="92">
        <v>130</v>
      </c>
      <c r="G290" s="92" t="s">
        <v>520</v>
      </c>
      <c r="H290" s="92"/>
      <c r="I290" s="92">
        <v>80648</v>
      </c>
      <c r="J290" s="92">
        <v>2440918</v>
      </c>
      <c r="K290" s="92" t="s">
        <v>1061</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1035</v>
      </c>
      <c r="D291" s="92">
        <v>3</v>
      </c>
      <c r="E291" s="92" t="s">
        <v>67</v>
      </c>
      <c r="F291" s="92">
        <v>128</v>
      </c>
      <c r="G291" s="92" t="s">
        <v>334</v>
      </c>
      <c r="H291" s="92"/>
      <c r="I291" s="92">
        <v>702</v>
      </c>
      <c r="J291" s="92">
        <v>127204</v>
      </c>
      <c r="K291" s="92" t="s">
        <v>1061</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1044</v>
      </c>
      <c r="D292" s="92">
        <v>3</v>
      </c>
      <c r="E292" s="92" t="s">
        <v>67</v>
      </c>
      <c r="F292" s="92">
        <v>131</v>
      </c>
      <c r="G292" s="92" t="s">
        <v>921</v>
      </c>
      <c r="H292" s="92"/>
      <c r="I292" s="92">
        <v>0</v>
      </c>
      <c r="J292" s="92">
        <v>483716</v>
      </c>
      <c r="K292" s="92" t="s">
        <v>1061</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1027</v>
      </c>
      <c r="D293" s="92">
        <v>3</v>
      </c>
      <c r="E293" s="92" t="s">
        <v>67</v>
      </c>
      <c r="F293" s="92">
        <v>132</v>
      </c>
      <c r="G293" s="92" t="s">
        <v>223</v>
      </c>
      <c r="H293" s="92"/>
      <c r="I293" s="92">
        <v>911</v>
      </c>
      <c r="J293" s="92">
        <v>3347676</v>
      </c>
      <c r="K293" s="92" t="s">
        <v>1061</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1029</v>
      </c>
      <c r="D294" s="92">
        <v>3</v>
      </c>
      <c r="E294" s="92" t="s">
        <v>67</v>
      </c>
      <c r="F294" s="92">
        <v>133</v>
      </c>
      <c r="G294" s="92" t="s">
        <v>269</v>
      </c>
      <c r="H294" s="92"/>
      <c r="I294" s="92">
        <v>764</v>
      </c>
      <c r="J294" s="92">
        <v>1164899</v>
      </c>
      <c r="K294" s="92" t="s">
        <v>1061</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1022</v>
      </c>
      <c r="D295" s="92">
        <v>3</v>
      </c>
      <c r="E295" s="92" t="s">
        <v>67</v>
      </c>
      <c r="F295" s="92">
        <v>134</v>
      </c>
      <c r="G295" s="92" t="s">
        <v>183</v>
      </c>
      <c r="H295" s="92"/>
      <c r="I295" s="92">
        <v>0</v>
      </c>
      <c r="J295" s="92">
        <v>1279725</v>
      </c>
      <c r="K295" s="92" t="s">
        <v>1061</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1031</v>
      </c>
      <c r="D296" s="92">
        <v>3</v>
      </c>
      <c r="E296" s="92" t="s">
        <v>67</v>
      </c>
      <c r="F296" s="92">
        <v>136</v>
      </c>
      <c r="G296" s="92" t="s">
        <v>286</v>
      </c>
      <c r="H296" s="92"/>
      <c r="I296" s="92">
        <v>0</v>
      </c>
      <c r="J296" s="92">
        <v>3223717</v>
      </c>
      <c r="K296" s="92" t="s">
        <v>1061</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1051</v>
      </c>
      <c r="D297" s="92">
        <v>3</v>
      </c>
      <c r="E297" s="92" t="s">
        <v>67</v>
      </c>
      <c r="F297" s="92">
        <v>137</v>
      </c>
      <c r="G297" s="92" t="s">
        <v>534</v>
      </c>
      <c r="H297" s="92"/>
      <c r="I297" s="92">
        <v>29546</v>
      </c>
      <c r="J297" s="92">
        <v>3687261</v>
      </c>
      <c r="K297" s="92" t="s">
        <v>1061</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1194</v>
      </c>
      <c r="D298" s="92">
        <v>3</v>
      </c>
      <c r="E298" s="92" t="s">
        <v>67</v>
      </c>
      <c r="F298" s="92">
        <v>139</v>
      </c>
      <c r="G298" s="92" t="s">
        <v>117</v>
      </c>
      <c r="H298" s="92"/>
      <c r="I298" s="92">
        <v>0</v>
      </c>
      <c r="J298" s="92">
        <v>540744</v>
      </c>
      <c r="K298" s="92" t="s">
        <v>1061</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1035</v>
      </c>
      <c r="D299" s="92">
        <v>3</v>
      </c>
      <c r="E299" s="92" t="s">
        <v>67</v>
      </c>
      <c r="F299" s="92">
        <v>140</v>
      </c>
      <c r="G299" s="92" t="s">
        <v>335</v>
      </c>
      <c r="H299" s="92"/>
      <c r="I299" s="92">
        <v>0</v>
      </c>
      <c r="J299" s="92">
        <v>344557</v>
      </c>
      <c r="K299" s="92" t="s">
        <v>1061</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1027</v>
      </c>
      <c r="D300" s="92">
        <v>3</v>
      </c>
      <c r="E300" s="92" t="s">
        <v>67</v>
      </c>
      <c r="F300" s="92">
        <v>141</v>
      </c>
      <c r="G300" s="92" t="s">
        <v>224</v>
      </c>
      <c r="H300" s="92"/>
      <c r="I300" s="92">
        <v>2779</v>
      </c>
      <c r="J300" s="92">
        <v>5562171</v>
      </c>
      <c r="K300" s="92" t="s">
        <v>1061</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1047</v>
      </c>
      <c r="D301" s="92">
        <v>3</v>
      </c>
      <c r="E301" s="92" t="s">
        <v>67</v>
      </c>
      <c r="F301" s="92">
        <v>142</v>
      </c>
      <c r="G301" s="92" t="s">
        <v>491</v>
      </c>
      <c r="H301" s="92"/>
      <c r="I301" s="92">
        <v>21</v>
      </c>
      <c r="J301" s="92">
        <v>969397</v>
      </c>
      <c r="K301" s="92" t="s">
        <v>1061</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1050</v>
      </c>
      <c r="D302" s="92">
        <v>3</v>
      </c>
      <c r="E302" s="92" t="s">
        <v>67</v>
      </c>
      <c r="F302" s="92">
        <v>143</v>
      </c>
      <c r="G302" s="92" t="s">
        <v>521</v>
      </c>
      <c r="H302" s="92"/>
      <c r="I302" s="92">
        <v>448598</v>
      </c>
      <c r="J302" s="92">
        <v>9322879</v>
      </c>
      <c r="K302" s="92" t="s">
        <v>1061</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1195</v>
      </c>
      <c r="D303" s="92">
        <v>3</v>
      </c>
      <c r="E303" s="92" t="s">
        <v>67</v>
      </c>
      <c r="F303" s="92">
        <v>144</v>
      </c>
      <c r="G303" s="92" t="s">
        <v>497</v>
      </c>
      <c r="H303" s="92"/>
      <c r="I303" s="92">
        <v>750</v>
      </c>
      <c r="J303" s="92">
        <v>547</v>
      </c>
      <c r="K303" s="92" t="s">
        <v>1061</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1031</v>
      </c>
      <c r="D304" s="92">
        <v>3</v>
      </c>
      <c r="E304" s="92" t="s">
        <v>67</v>
      </c>
      <c r="F304" s="92">
        <v>145</v>
      </c>
      <c r="G304" s="92" t="s">
        <v>287</v>
      </c>
      <c r="H304" s="92"/>
      <c r="I304" s="92">
        <v>0</v>
      </c>
      <c r="J304" s="92">
        <v>699030</v>
      </c>
      <c r="K304" s="92" t="s">
        <v>1061</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1051</v>
      </c>
      <c r="D305" s="92">
        <v>3</v>
      </c>
      <c r="E305" s="92" t="s">
        <v>67</v>
      </c>
      <c r="F305" s="92">
        <v>146</v>
      </c>
      <c r="G305" s="92" t="s">
        <v>535</v>
      </c>
      <c r="H305" s="92"/>
      <c r="I305" s="92">
        <v>0</v>
      </c>
      <c r="J305" s="92">
        <v>3345674</v>
      </c>
      <c r="K305" s="92" t="s">
        <v>1061</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1021</v>
      </c>
      <c r="D306" s="92">
        <v>3</v>
      </c>
      <c r="E306" s="92" t="s">
        <v>67</v>
      </c>
      <c r="F306" s="92">
        <v>147</v>
      </c>
      <c r="G306" s="92" t="s">
        <v>170</v>
      </c>
      <c r="H306" s="92"/>
      <c r="I306" s="92">
        <v>0</v>
      </c>
      <c r="J306" s="92">
        <v>98093</v>
      </c>
      <c r="K306" s="92" t="s">
        <v>1061</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1019</v>
      </c>
      <c r="D307" s="92">
        <v>3</v>
      </c>
      <c r="E307" s="92" t="s">
        <v>67</v>
      </c>
      <c r="F307" s="92">
        <v>148</v>
      </c>
      <c r="G307" s="92" t="s">
        <v>131</v>
      </c>
      <c r="H307" s="92"/>
      <c r="I307" s="92">
        <v>0</v>
      </c>
      <c r="J307" s="92">
        <v>214709</v>
      </c>
      <c r="K307" s="92" t="s">
        <v>1061</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1018</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1022</v>
      </c>
      <c r="D310" s="92">
        <v>3</v>
      </c>
      <c r="E310" s="92" t="s">
        <v>67</v>
      </c>
      <c r="F310" s="92">
        <v>150</v>
      </c>
      <c r="G310" s="92" t="s">
        <v>184</v>
      </c>
      <c r="H310" s="92"/>
      <c r="I310" s="92">
        <v>0</v>
      </c>
      <c r="J310" s="92">
        <v>11332131</v>
      </c>
      <c r="K310" s="92" t="s">
        <v>1061</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1041</v>
      </c>
      <c r="D311" s="92">
        <v>3</v>
      </c>
      <c r="E311" s="92" t="s">
        <v>67</v>
      </c>
      <c r="F311" s="92">
        <v>151</v>
      </c>
      <c r="G311" s="92" t="s">
        <v>414</v>
      </c>
      <c r="H311" s="92"/>
      <c r="I311" s="92">
        <v>2943335</v>
      </c>
      <c r="J311" s="92">
        <v>53076400</v>
      </c>
      <c r="K311" s="92" t="s">
        <v>1061</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1042</v>
      </c>
      <c r="D312" s="92">
        <v>3</v>
      </c>
      <c r="E312" s="92" t="s">
        <v>67</v>
      </c>
      <c r="F312" s="92">
        <v>152</v>
      </c>
      <c r="G312" s="92" t="s">
        <v>440</v>
      </c>
      <c r="H312" s="92"/>
      <c r="I312" s="92">
        <v>0</v>
      </c>
      <c r="J312" s="92">
        <v>665530</v>
      </c>
      <c r="K312" s="92" t="s">
        <v>1061</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1034</v>
      </c>
      <c r="D313" s="92">
        <v>3</v>
      </c>
      <c r="E313" s="92" t="s">
        <v>67</v>
      </c>
      <c r="F313" s="92">
        <v>153</v>
      </c>
      <c r="G313" s="92" t="s">
        <v>317</v>
      </c>
      <c r="H313" s="92"/>
      <c r="I313" s="92">
        <v>137383</v>
      </c>
      <c r="J313" s="92">
        <v>6985668</v>
      </c>
      <c r="K313" s="92" t="s">
        <v>1061</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1022</v>
      </c>
      <c r="D314" s="92">
        <v>3</v>
      </c>
      <c r="E314" s="92" t="s">
        <v>67</v>
      </c>
      <c r="F314" s="92">
        <v>154</v>
      </c>
      <c r="G314" s="92" t="s">
        <v>185</v>
      </c>
      <c r="H314" s="92"/>
      <c r="I314" s="92">
        <v>130</v>
      </c>
      <c r="J314" s="92">
        <v>2188104</v>
      </c>
      <c r="K314" s="92" t="s">
        <v>1061</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1041</v>
      </c>
      <c r="D315" s="92">
        <v>3</v>
      </c>
      <c r="E315" s="92" t="s">
        <v>67</v>
      </c>
      <c r="F315" s="92">
        <v>155</v>
      </c>
      <c r="G315" s="92" t="s">
        <v>415</v>
      </c>
      <c r="H315" s="92"/>
      <c r="I315" s="92">
        <v>570161</v>
      </c>
      <c r="J315" s="92">
        <v>132970595</v>
      </c>
      <c r="K315" s="92" t="s">
        <v>1061</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1044</v>
      </c>
      <c r="D316" s="92">
        <v>3</v>
      </c>
      <c r="E316" s="92" t="s">
        <v>67</v>
      </c>
      <c r="F316" s="92">
        <v>156</v>
      </c>
      <c r="G316" s="92" t="s">
        <v>461</v>
      </c>
      <c r="H316" s="92"/>
      <c r="I316" s="92">
        <v>1732</v>
      </c>
      <c r="J316" s="92">
        <v>124122</v>
      </c>
      <c r="K316" s="92" t="s">
        <v>1061</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1046</v>
      </c>
      <c r="D317" s="92">
        <v>3</v>
      </c>
      <c r="E317" s="92" t="s">
        <v>67</v>
      </c>
      <c r="F317" s="92">
        <v>157</v>
      </c>
      <c r="G317" s="92" t="s">
        <v>478</v>
      </c>
      <c r="H317" s="92"/>
      <c r="I317" s="92">
        <v>133</v>
      </c>
      <c r="J317" s="92">
        <v>12789196</v>
      </c>
      <c r="K317" s="92" t="s">
        <v>1061</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1045</v>
      </c>
      <c r="D318" s="92">
        <v>3</v>
      </c>
      <c r="E318" s="92" t="s">
        <v>67</v>
      </c>
      <c r="F318" s="92">
        <v>158</v>
      </c>
      <c r="G318" s="92" t="s">
        <v>467</v>
      </c>
      <c r="H318" s="92"/>
      <c r="I318" s="92">
        <v>3940</v>
      </c>
      <c r="J318" s="92">
        <v>245612</v>
      </c>
      <c r="K318" s="92" t="s">
        <v>1061</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1039</v>
      </c>
      <c r="D319" s="92">
        <v>3</v>
      </c>
      <c r="E319" s="92" t="s">
        <v>67</v>
      </c>
      <c r="F319" s="92">
        <v>159</v>
      </c>
      <c r="G319" s="92" t="s">
        <v>393</v>
      </c>
      <c r="H319" s="92"/>
      <c r="I319" s="92">
        <v>43225</v>
      </c>
      <c r="J319" s="92">
        <v>3431532</v>
      </c>
      <c r="K319" s="92" t="s">
        <v>1061</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1038</v>
      </c>
      <c r="D320" s="92">
        <v>3</v>
      </c>
      <c r="E320" s="92" t="s">
        <v>67</v>
      </c>
      <c r="F320" s="92">
        <v>160</v>
      </c>
      <c r="G320" s="92" t="s">
        <v>366</v>
      </c>
      <c r="H320" s="92"/>
      <c r="I320" s="92">
        <v>29433</v>
      </c>
      <c r="J320" s="92">
        <v>416884</v>
      </c>
      <c r="K320" s="92" t="s">
        <v>1061</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1023</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1039</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1039</v>
      </c>
      <c r="D323" s="92">
        <v>3</v>
      </c>
      <c r="E323" s="92" t="s">
        <v>67</v>
      </c>
      <c r="F323" s="92">
        <v>162</v>
      </c>
      <c r="G323" s="92" t="s">
        <v>394</v>
      </c>
      <c r="H323" s="92"/>
      <c r="I323" s="92">
        <v>0</v>
      </c>
      <c r="J323" s="92">
        <v>1660929</v>
      </c>
      <c r="K323" s="92" t="s">
        <v>1061</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527</v>
      </c>
      <c r="H324" s="92"/>
      <c r="I324" s="92">
        <v>0</v>
      </c>
      <c r="J324" s="92">
        <v>195462</v>
      </c>
      <c r="K324" s="92" t="s">
        <v>1061</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1047</v>
      </c>
      <c r="D325" s="92">
        <v>3</v>
      </c>
      <c r="E325" s="92" t="s">
        <v>67</v>
      </c>
      <c r="F325" s="92">
        <v>164</v>
      </c>
      <c r="G325" s="92" t="s">
        <v>492</v>
      </c>
      <c r="H325" s="92"/>
      <c r="I325" s="92">
        <v>32</v>
      </c>
      <c r="J325" s="92">
        <v>5263081</v>
      </c>
      <c r="K325" s="92" t="s">
        <v>1061</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1043</v>
      </c>
      <c r="D326" s="92">
        <v>3</v>
      </c>
      <c r="E326" s="92" t="s">
        <v>67</v>
      </c>
      <c r="F326" s="92">
        <v>168</v>
      </c>
      <c r="G326" s="92" t="s">
        <v>454</v>
      </c>
      <c r="H326" s="92"/>
      <c r="I326" s="92">
        <v>328670</v>
      </c>
      <c r="J326" s="92">
        <v>2929380</v>
      </c>
      <c r="K326" s="92" t="s">
        <v>1061</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1022</v>
      </c>
      <c r="D327" s="92">
        <v>3</v>
      </c>
      <c r="E327" s="92" t="s">
        <v>67</v>
      </c>
      <c r="F327" s="92">
        <v>169</v>
      </c>
      <c r="G327" s="92" t="s">
        <v>186</v>
      </c>
      <c r="H327" s="92"/>
      <c r="I327" s="92">
        <v>294574</v>
      </c>
      <c r="J327" s="92">
        <v>18246193</v>
      </c>
      <c r="K327" s="92" t="s">
        <v>1061</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1020</v>
      </c>
      <c r="D328" s="92">
        <v>3</v>
      </c>
      <c r="E328" s="92" t="s">
        <v>67</v>
      </c>
      <c r="F328" s="92">
        <v>170</v>
      </c>
      <c r="G328" s="92" t="s">
        <v>138</v>
      </c>
      <c r="H328" s="92"/>
      <c r="I328" s="92">
        <v>109</v>
      </c>
      <c r="J328" s="92">
        <v>4885121</v>
      </c>
      <c r="K328" s="92" t="s">
        <v>1061</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1045</v>
      </c>
      <c r="D329" s="92">
        <v>3</v>
      </c>
      <c r="E329" s="92" t="s">
        <v>67</v>
      </c>
      <c r="F329" s="92">
        <v>171</v>
      </c>
      <c r="G329" s="92" t="s">
        <v>468</v>
      </c>
      <c r="H329" s="92"/>
      <c r="I329" s="92">
        <v>16712</v>
      </c>
      <c r="J329" s="92">
        <v>8151378</v>
      </c>
      <c r="K329" s="92" t="s">
        <v>1061</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1051</v>
      </c>
      <c r="D330" s="92">
        <v>3</v>
      </c>
      <c r="E330" s="92" t="s">
        <v>67</v>
      </c>
      <c r="F330" s="92">
        <v>172</v>
      </c>
      <c r="G330" s="92" t="s">
        <v>536</v>
      </c>
      <c r="H330" s="92"/>
      <c r="I330" s="92">
        <v>881</v>
      </c>
      <c r="J330" s="92">
        <v>1488748</v>
      </c>
      <c r="K330" s="92" t="s">
        <v>1061</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1028</v>
      </c>
      <c r="D331" s="92">
        <v>3</v>
      </c>
      <c r="E331" s="92" t="s">
        <v>67</v>
      </c>
      <c r="F331" s="92">
        <v>173</v>
      </c>
      <c r="G331" s="92" t="s">
        <v>255</v>
      </c>
      <c r="H331" s="92"/>
      <c r="I331" s="92">
        <v>0</v>
      </c>
      <c r="J331" s="92">
        <v>12897213</v>
      </c>
      <c r="K331" s="92" t="s">
        <v>1061</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1030</v>
      </c>
      <c r="D332" s="92">
        <v>3</v>
      </c>
      <c r="E332" s="92" t="s">
        <v>67</v>
      </c>
      <c r="F332" s="92">
        <v>174</v>
      </c>
      <c r="G332" s="92" t="s">
        <v>281</v>
      </c>
      <c r="H332" s="92"/>
      <c r="I332" s="92">
        <v>0</v>
      </c>
      <c r="J332" s="92">
        <v>591779</v>
      </c>
      <c r="K332" s="92" t="s">
        <v>1061</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1041</v>
      </c>
      <c r="D333" s="92">
        <v>3</v>
      </c>
      <c r="E333" s="92" t="s">
        <v>67</v>
      </c>
      <c r="F333" s="92">
        <v>175</v>
      </c>
      <c r="G333" s="92" t="s">
        <v>416</v>
      </c>
      <c r="H333" s="92"/>
      <c r="I333" s="92">
        <v>16983</v>
      </c>
      <c r="J333" s="92">
        <v>3651411</v>
      </c>
      <c r="K333" s="92" t="s">
        <v>1061</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1035</v>
      </c>
      <c r="D334" s="92">
        <v>3</v>
      </c>
      <c r="E334" s="92" t="s">
        <v>67</v>
      </c>
      <c r="F334" s="92">
        <v>165</v>
      </c>
      <c r="G334" s="92" t="s">
        <v>336</v>
      </c>
      <c r="H334" s="92"/>
      <c r="I334" s="92">
        <v>93132</v>
      </c>
      <c r="J334" s="92">
        <v>15716594</v>
      </c>
      <c r="K334" s="92" t="s">
        <v>1061</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1194</v>
      </c>
      <c r="D335" s="92">
        <v>3</v>
      </c>
      <c r="E335" s="92" t="s">
        <v>67</v>
      </c>
      <c r="F335" s="92">
        <v>166</v>
      </c>
      <c r="G335" s="92" t="s">
        <v>655</v>
      </c>
      <c r="H335" s="92"/>
      <c r="I335" s="92">
        <v>0</v>
      </c>
      <c r="J335" s="92">
        <v>389973</v>
      </c>
      <c r="K335" s="92" t="s">
        <v>1061</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1019</v>
      </c>
      <c r="D336" s="92">
        <v>3</v>
      </c>
      <c r="E336" s="92" t="s">
        <v>67</v>
      </c>
      <c r="F336" s="92">
        <v>167</v>
      </c>
      <c r="G336" s="92" t="s">
        <v>664</v>
      </c>
      <c r="H336" s="92"/>
      <c r="I336" s="92">
        <v>87939</v>
      </c>
      <c r="J336" s="92">
        <v>1541212</v>
      </c>
      <c r="K336" s="92" t="s">
        <v>1061</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1032</v>
      </c>
      <c r="D337" s="92">
        <v>3</v>
      </c>
      <c r="E337" s="92" t="s">
        <v>67</v>
      </c>
      <c r="F337" s="92">
        <v>176</v>
      </c>
      <c r="G337" s="92" t="s">
        <v>301</v>
      </c>
      <c r="H337" s="92"/>
      <c r="I337" s="92">
        <v>703</v>
      </c>
      <c r="J337" s="92">
        <v>207129</v>
      </c>
      <c r="K337" s="92" t="s">
        <v>1061</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1016</v>
      </c>
      <c r="D338" s="92">
        <v>3</v>
      </c>
      <c r="E338" s="92" t="s">
        <v>67</v>
      </c>
      <c r="F338" s="92">
        <v>203</v>
      </c>
      <c r="G338" s="92" t="s">
        <v>225</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1027</v>
      </c>
      <c r="D339" s="92">
        <v>3</v>
      </c>
      <c r="E339" s="92" t="s">
        <v>67</v>
      </c>
      <c r="F339" s="92">
        <v>203</v>
      </c>
      <c r="G339" s="92" t="s">
        <v>225</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1038</v>
      </c>
      <c r="D340" s="92">
        <v>3</v>
      </c>
      <c r="E340" s="92" t="s">
        <v>67</v>
      </c>
      <c r="F340" s="92">
        <v>178</v>
      </c>
      <c r="G340" s="92" t="s">
        <v>367</v>
      </c>
      <c r="H340" s="92"/>
      <c r="I340" s="92">
        <v>148</v>
      </c>
      <c r="J340" s="92">
        <v>561164</v>
      </c>
      <c r="K340" s="92" t="s">
        <v>1061</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1046</v>
      </c>
      <c r="D341" s="92">
        <v>3</v>
      </c>
      <c r="E341" s="92" t="s">
        <v>67</v>
      </c>
      <c r="F341" s="92">
        <v>179</v>
      </c>
      <c r="G341" s="92" t="s">
        <v>479</v>
      </c>
      <c r="H341" s="92"/>
      <c r="I341" s="92">
        <v>32929</v>
      </c>
      <c r="J341" s="92">
        <v>2076330</v>
      </c>
      <c r="K341" s="92" t="s">
        <v>1061</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1057</v>
      </c>
      <c r="D342" s="92">
        <v>3</v>
      </c>
      <c r="E342" s="92" t="s">
        <v>67</v>
      </c>
      <c r="F342" s="92">
        <v>180</v>
      </c>
      <c r="G342" s="92" t="s">
        <v>159</v>
      </c>
      <c r="H342" s="92"/>
      <c r="I342" s="92">
        <v>1338810</v>
      </c>
      <c r="J342" s="92">
        <v>5339242</v>
      </c>
      <c r="K342" s="92" t="s">
        <v>1061</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1023</v>
      </c>
      <c r="D343" s="92">
        <v>3</v>
      </c>
      <c r="E343" s="92" t="s">
        <v>67</v>
      </c>
      <c r="F343" s="92">
        <v>181</v>
      </c>
      <c r="G343" s="92" t="s">
        <v>198</v>
      </c>
      <c r="H343" s="92"/>
      <c r="I343" s="92">
        <v>0</v>
      </c>
      <c r="J343" s="92">
        <v>912342</v>
      </c>
      <c r="K343" s="92" t="s">
        <v>1061</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1019</v>
      </c>
      <c r="D344" s="92">
        <v>3</v>
      </c>
      <c r="E344" s="92" t="s">
        <v>67</v>
      </c>
      <c r="F344" s="92">
        <v>182</v>
      </c>
      <c r="G344" s="92" t="s">
        <v>132</v>
      </c>
      <c r="H344" s="92"/>
      <c r="I344" s="92">
        <v>434</v>
      </c>
      <c r="J344" s="92">
        <v>0</v>
      </c>
      <c r="K344" s="92" t="s">
        <v>1061</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1035</v>
      </c>
      <c r="D345" s="92">
        <v>3</v>
      </c>
      <c r="E345" s="92" t="s">
        <v>67</v>
      </c>
      <c r="F345" s="92">
        <v>183</v>
      </c>
      <c r="G345" s="92" t="s">
        <v>337</v>
      </c>
      <c r="H345" s="92"/>
      <c r="I345" s="92">
        <v>0</v>
      </c>
      <c r="J345" s="92">
        <v>312580</v>
      </c>
      <c r="K345" s="92" t="s">
        <v>1061</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1052</v>
      </c>
      <c r="D346" s="92">
        <v>3</v>
      </c>
      <c r="E346" s="92" t="s">
        <v>67</v>
      </c>
      <c r="F346" s="92">
        <v>184</v>
      </c>
      <c r="G346" s="92" t="s">
        <v>544</v>
      </c>
      <c r="H346" s="92"/>
      <c r="I346" s="92">
        <v>0</v>
      </c>
      <c r="J346" s="92">
        <v>187394</v>
      </c>
      <c r="K346" s="92" t="s">
        <v>1061</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1042</v>
      </c>
      <c r="D347" s="92">
        <v>3</v>
      </c>
      <c r="E347" s="92" t="s">
        <v>67</v>
      </c>
      <c r="F347" s="92">
        <v>185</v>
      </c>
      <c r="G347" s="92" t="s">
        <v>441</v>
      </c>
      <c r="H347" s="92"/>
      <c r="I347" s="92">
        <v>1582</v>
      </c>
      <c r="J347" s="92">
        <v>3466668</v>
      </c>
      <c r="K347" s="92" t="s">
        <v>1061</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1196</v>
      </c>
      <c r="D348" s="92">
        <v>3</v>
      </c>
      <c r="E348" s="92" t="s">
        <v>67</v>
      </c>
      <c r="F348" s="92">
        <v>186</v>
      </c>
      <c r="G348" s="92" t="s">
        <v>558</v>
      </c>
      <c r="H348" s="92"/>
      <c r="I348" s="92">
        <v>671491</v>
      </c>
      <c r="J348" s="92">
        <v>51449543</v>
      </c>
      <c r="K348" s="92" t="s">
        <v>1061</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1023</v>
      </c>
      <c r="D349" s="92">
        <v>3</v>
      </c>
      <c r="E349" s="92" t="s">
        <v>67</v>
      </c>
      <c r="F349" s="92">
        <v>187</v>
      </c>
      <c r="G349" s="92" t="s">
        <v>199</v>
      </c>
      <c r="H349" s="92"/>
      <c r="I349" s="92">
        <v>28418</v>
      </c>
      <c r="J349" s="92">
        <v>949557</v>
      </c>
      <c r="K349" s="92" t="s">
        <v>1061</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1052</v>
      </c>
      <c r="D350" s="92">
        <v>3</v>
      </c>
      <c r="E350" s="92" t="s">
        <v>67</v>
      </c>
      <c r="F350" s="92">
        <v>188</v>
      </c>
      <c r="G350" s="92" t="s">
        <v>545</v>
      </c>
      <c r="H350" s="92"/>
      <c r="I350" s="92">
        <v>0</v>
      </c>
      <c r="J350" s="92">
        <v>758101</v>
      </c>
      <c r="K350" s="92" t="s">
        <v>1061</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1051</v>
      </c>
      <c r="D351" s="92">
        <v>3</v>
      </c>
      <c r="E351" s="92" t="s">
        <v>67</v>
      </c>
      <c r="F351" s="92">
        <v>189</v>
      </c>
      <c r="G351" s="92" t="s">
        <v>537</v>
      </c>
      <c r="H351" s="92"/>
      <c r="I351" s="92">
        <v>2958</v>
      </c>
      <c r="J351" s="92">
        <v>1374019</v>
      </c>
      <c r="K351" s="92" t="s">
        <v>1061</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1051</v>
      </c>
      <c r="D352" s="92">
        <v>3</v>
      </c>
      <c r="E352" s="92" t="s">
        <v>67</v>
      </c>
      <c r="F352" s="92">
        <v>190</v>
      </c>
      <c r="G352" s="92" t="s">
        <v>538</v>
      </c>
      <c r="H352" s="92"/>
      <c r="I352" s="92">
        <v>0</v>
      </c>
      <c r="J352" s="92">
        <v>638724</v>
      </c>
      <c r="K352" s="92" t="s">
        <v>1061</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1031</v>
      </c>
      <c r="D353" s="92">
        <v>3</v>
      </c>
      <c r="E353" s="92" t="s">
        <v>67</v>
      </c>
      <c r="F353" s="92">
        <v>192</v>
      </c>
      <c r="G353" s="92" t="s">
        <v>288</v>
      </c>
      <c r="H353" s="92"/>
      <c r="I353" s="92">
        <v>548</v>
      </c>
      <c r="J353" s="92">
        <v>56523</v>
      </c>
      <c r="K353" s="92" t="s">
        <v>1061</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1054</v>
      </c>
      <c r="D354" s="92">
        <v>3</v>
      </c>
      <c r="E354" s="92" t="s">
        <v>67</v>
      </c>
      <c r="F354" s="92">
        <v>193</v>
      </c>
      <c r="G354" s="92" t="s">
        <v>577</v>
      </c>
      <c r="H354" s="92"/>
      <c r="I354" s="92">
        <v>14158</v>
      </c>
      <c r="J354" s="92">
        <v>6845965</v>
      </c>
      <c r="K354" s="92" t="s">
        <v>1061</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1037</v>
      </c>
      <c r="D355" s="92">
        <v>3</v>
      </c>
      <c r="E355" s="92" t="s">
        <v>67</v>
      </c>
      <c r="F355" s="92">
        <v>194</v>
      </c>
      <c r="G355" s="92" t="s">
        <v>348</v>
      </c>
      <c r="H355" s="92"/>
      <c r="I355" s="92">
        <v>0</v>
      </c>
      <c r="J355" s="92">
        <v>1768418</v>
      </c>
      <c r="K355" s="92" t="s">
        <v>1061</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1034</v>
      </c>
      <c r="D356" s="92">
        <v>3</v>
      </c>
      <c r="E356" s="92" t="s">
        <v>67</v>
      </c>
      <c r="F356" s="92">
        <v>195</v>
      </c>
      <c r="G356" s="92" t="s">
        <v>318</v>
      </c>
      <c r="H356" s="92"/>
      <c r="I356" s="92">
        <v>1362</v>
      </c>
      <c r="J356" s="92">
        <v>4742622</v>
      </c>
      <c r="K356" s="92" t="s">
        <v>1061</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1038</v>
      </c>
      <c r="D357" s="92">
        <v>3</v>
      </c>
      <c r="E357" s="92" t="s">
        <v>67</v>
      </c>
      <c r="F357" s="92">
        <v>196</v>
      </c>
      <c r="G357" s="92" t="s">
        <v>1320</v>
      </c>
      <c r="H357" s="92"/>
      <c r="I357" s="92">
        <v>1830</v>
      </c>
      <c r="J357" s="92">
        <v>71360</v>
      </c>
      <c r="K357" s="92" t="s">
        <v>1061</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1027</v>
      </c>
      <c r="D358" s="92">
        <v>3</v>
      </c>
      <c r="E358" s="92" t="s">
        <v>67</v>
      </c>
      <c r="F358" s="92">
        <v>197</v>
      </c>
      <c r="G358" s="92" t="s">
        <v>226</v>
      </c>
      <c r="H358" s="92"/>
      <c r="I358" s="92">
        <v>0</v>
      </c>
      <c r="J358" s="92">
        <v>2056664</v>
      </c>
      <c r="K358" s="92" t="s">
        <v>1061</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1044</v>
      </c>
      <c r="D359" s="92">
        <v>3</v>
      </c>
      <c r="E359" s="92" t="s">
        <v>67</v>
      </c>
      <c r="F359" s="92">
        <v>198</v>
      </c>
      <c r="G359" s="92" t="s">
        <v>462</v>
      </c>
      <c r="H359" s="92"/>
      <c r="I359" s="92">
        <v>22100</v>
      </c>
      <c r="J359" s="92">
        <v>220978</v>
      </c>
      <c r="K359" s="92" t="s">
        <v>1061</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1041</v>
      </c>
      <c r="D360" s="92">
        <v>3</v>
      </c>
      <c r="E360" s="92" t="s">
        <v>67</v>
      </c>
      <c r="F360" s="92">
        <v>199</v>
      </c>
      <c r="G360" s="92" t="s">
        <v>417</v>
      </c>
      <c r="H360" s="92"/>
      <c r="I360" s="92">
        <v>0</v>
      </c>
      <c r="J360" s="92">
        <v>945970</v>
      </c>
      <c r="K360" s="92" t="s">
        <v>1061</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1030</v>
      </c>
      <c r="D361" s="92">
        <v>2</v>
      </c>
      <c r="E361" s="92" t="s">
        <v>53</v>
      </c>
      <c r="F361" s="92">
        <v>17</v>
      </c>
      <c r="G361" s="92" t="s">
        <v>279</v>
      </c>
      <c r="H361" s="92"/>
      <c r="I361" s="92">
        <v>45396</v>
      </c>
      <c r="J361" s="92">
        <v>66274689</v>
      </c>
      <c r="K361" s="92" t="s">
        <v>1061</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1030</v>
      </c>
      <c r="D362" s="92">
        <v>7</v>
      </c>
      <c r="E362" s="92" t="s">
        <v>586</v>
      </c>
      <c r="F362" s="92">
        <v>21</v>
      </c>
      <c r="G362" s="92" t="s">
        <v>282</v>
      </c>
      <c r="H362" s="92"/>
      <c r="I362" s="92">
        <v>0</v>
      </c>
      <c r="J362" s="92">
        <v>66274689</v>
      </c>
      <c r="K362" s="92" t="s">
        <v>1061</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1030</v>
      </c>
      <c r="D363" s="92">
        <v>14</v>
      </c>
      <c r="E363" s="92" t="s">
        <v>571</v>
      </c>
      <c r="F363" s="92">
        <v>9</v>
      </c>
      <c r="G363" s="92" t="s">
        <v>283</v>
      </c>
      <c r="H363" s="92"/>
      <c r="I363" s="92">
        <v>1270</v>
      </c>
      <c r="J363" s="92">
        <v>66274689</v>
      </c>
      <c r="K363" s="92" t="s">
        <v>1061</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1030</v>
      </c>
      <c r="D364" s="92">
        <v>4</v>
      </c>
      <c r="E364" s="92" t="s">
        <v>66</v>
      </c>
      <c r="F364" s="92">
        <v>63</v>
      </c>
      <c r="G364" s="92" t="s">
        <v>784</v>
      </c>
      <c r="H364" s="92"/>
      <c r="I364" s="92">
        <v>0</v>
      </c>
      <c r="J364" s="92">
        <v>66274689</v>
      </c>
      <c r="K364" s="92" t="s">
        <v>1061</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1051</v>
      </c>
      <c r="D365" s="92">
        <v>14</v>
      </c>
      <c r="E365" s="92" t="s">
        <v>571</v>
      </c>
      <c r="F365" s="92">
        <v>10</v>
      </c>
      <c r="G365" s="92" t="s">
        <v>978</v>
      </c>
      <c r="H365" s="92"/>
      <c r="I365" s="92">
        <v>0</v>
      </c>
      <c r="J365" s="92">
        <v>376659</v>
      </c>
      <c r="K365" s="92" t="s">
        <v>1061</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1051</v>
      </c>
      <c r="D366" s="92">
        <v>11</v>
      </c>
      <c r="E366" s="92" t="s">
        <v>1062</v>
      </c>
      <c r="F366" s="92">
        <v>6</v>
      </c>
      <c r="G366" s="92" t="s">
        <v>977</v>
      </c>
      <c r="H366" s="92"/>
      <c r="I366" s="92">
        <v>0</v>
      </c>
      <c r="J366" s="92">
        <v>376659</v>
      </c>
      <c r="K366" s="92" t="s">
        <v>1061</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1031</v>
      </c>
      <c r="D367" s="92">
        <v>5</v>
      </c>
      <c r="E367" s="92" t="s">
        <v>200</v>
      </c>
      <c r="F367" s="92">
        <v>16</v>
      </c>
      <c r="G367" s="92" t="s">
        <v>789</v>
      </c>
      <c r="H367" s="92"/>
      <c r="I367" s="92">
        <v>0</v>
      </c>
      <c r="J367" s="92">
        <v>19016828</v>
      </c>
      <c r="K367" s="92" t="s">
        <v>1061</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182">
        <f>169274+300000</f>
        <v>469274</v>
      </c>
      <c r="AE367" s="92">
        <v>0</v>
      </c>
      <c r="AF367" s="92">
        <v>0</v>
      </c>
      <c r="AG367" s="92">
        <v>0</v>
      </c>
      <c r="AI367" s="255">
        <v>3.96067E-4</v>
      </c>
    </row>
    <row r="368" spans="1:35" x14ac:dyDescent="0.25">
      <c r="A368" t="str">
        <f t="shared" si="9"/>
        <v>25-7-22</v>
      </c>
      <c r="B368">
        <v>25</v>
      </c>
      <c r="C368" s="92" t="s">
        <v>1038</v>
      </c>
      <c r="D368" s="92">
        <v>7</v>
      </c>
      <c r="E368" s="92" t="s">
        <v>586</v>
      </c>
      <c r="F368" s="92">
        <v>22</v>
      </c>
      <c r="G368" s="92" t="s">
        <v>368</v>
      </c>
      <c r="H368" s="92"/>
      <c r="I368" s="92">
        <v>0</v>
      </c>
      <c r="J368" s="92">
        <v>41712</v>
      </c>
      <c r="K368" s="92" t="s">
        <v>1061</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1031</v>
      </c>
      <c r="D369" s="92">
        <v>2</v>
      </c>
      <c r="E369" s="92" t="s">
        <v>53</v>
      </c>
      <c r="F369" s="92">
        <v>18</v>
      </c>
      <c r="G369" s="92" t="s">
        <v>284</v>
      </c>
      <c r="H369" s="92"/>
      <c r="I369" s="92">
        <v>0</v>
      </c>
      <c r="J369" s="92">
        <v>19016828</v>
      </c>
      <c r="K369" s="92" t="s">
        <v>1061</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1031</v>
      </c>
      <c r="D370" s="92">
        <v>14</v>
      </c>
      <c r="E370" s="92" t="s">
        <v>571</v>
      </c>
      <c r="F370" s="92">
        <v>11</v>
      </c>
      <c r="G370" s="92" t="s">
        <v>804</v>
      </c>
      <c r="H370" s="92"/>
      <c r="I370" s="92">
        <v>19784</v>
      </c>
      <c r="J370" s="92">
        <v>14264989</v>
      </c>
      <c r="K370" s="92" t="s">
        <v>1061</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1031</v>
      </c>
      <c r="D371" s="92">
        <v>11</v>
      </c>
      <c r="E371" s="92" t="s">
        <v>1062</v>
      </c>
      <c r="F371" s="92">
        <v>7</v>
      </c>
      <c r="G371" s="92" t="s">
        <v>803</v>
      </c>
      <c r="H371" s="92"/>
      <c r="I371" s="92">
        <v>40</v>
      </c>
      <c r="J371" s="92">
        <v>7053147</v>
      </c>
      <c r="K371" s="92" t="s">
        <v>1061</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1038</v>
      </c>
      <c r="D372" s="92">
        <v>4</v>
      </c>
      <c r="E372" s="92" t="s">
        <v>66</v>
      </c>
      <c r="F372" s="92">
        <v>204</v>
      </c>
      <c r="G372" s="92" t="s">
        <v>1389</v>
      </c>
      <c r="H372" s="92"/>
      <c r="I372" s="92">
        <v>0</v>
      </c>
      <c r="J372" s="92">
        <v>11605182</v>
      </c>
      <c r="K372" s="92" t="s">
        <v>1061</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1031</v>
      </c>
      <c r="D373" s="92">
        <v>17</v>
      </c>
      <c r="E373" s="92" t="s">
        <v>593</v>
      </c>
      <c r="F373" s="92">
        <v>3</v>
      </c>
      <c r="G373" s="92" t="s">
        <v>806</v>
      </c>
      <c r="H373" s="92"/>
      <c r="I373" s="92">
        <v>178</v>
      </c>
      <c r="J373" s="92">
        <v>1814666</v>
      </c>
      <c r="K373" s="92" t="s">
        <v>1061</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1041</v>
      </c>
      <c r="D374" s="92">
        <v>19</v>
      </c>
      <c r="E374" s="92" t="s">
        <v>1063</v>
      </c>
      <c r="F374" s="92">
        <v>6</v>
      </c>
      <c r="G374" s="92" t="s">
        <v>429</v>
      </c>
      <c r="H374" s="92"/>
      <c r="I374" s="92">
        <v>345</v>
      </c>
      <c r="J374" s="92">
        <v>165</v>
      </c>
      <c r="K374" s="92" t="s">
        <v>1061</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1034</v>
      </c>
      <c r="D375" s="92">
        <v>7</v>
      </c>
      <c r="E375" s="92" t="s">
        <v>586</v>
      </c>
      <c r="F375" s="92">
        <v>23</v>
      </c>
      <c r="G375" s="92" t="s">
        <v>319</v>
      </c>
      <c r="H375" s="92"/>
      <c r="I375" s="92">
        <v>0</v>
      </c>
      <c r="J375" s="92">
        <v>5199839</v>
      </c>
      <c r="K375" s="92" t="s">
        <v>1061</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1034</v>
      </c>
      <c r="D376" s="92">
        <v>7</v>
      </c>
      <c r="E376" s="92" t="s">
        <v>586</v>
      </c>
      <c r="F376" s="92">
        <v>24</v>
      </c>
      <c r="G376" s="92" t="s">
        <v>320</v>
      </c>
      <c r="H376" s="92"/>
      <c r="I376" s="92">
        <v>523</v>
      </c>
      <c r="J376" s="92">
        <v>36090972</v>
      </c>
      <c r="K376" s="92" t="s">
        <v>1061</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1041</v>
      </c>
      <c r="D377" s="92">
        <v>4</v>
      </c>
      <c r="E377" s="92" t="s">
        <v>66</v>
      </c>
      <c r="F377" s="92">
        <v>104</v>
      </c>
      <c r="G377" s="92" t="s">
        <v>887</v>
      </c>
      <c r="H377" s="92"/>
      <c r="I377" s="92">
        <v>0</v>
      </c>
      <c r="J377" s="92">
        <v>133435813</v>
      </c>
      <c r="K377" s="92" t="s">
        <v>1061</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1023</v>
      </c>
      <c r="D378" s="92">
        <v>13</v>
      </c>
      <c r="E378" s="92" t="s">
        <v>209</v>
      </c>
      <c r="F378" s="92">
        <v>6</v>
      </c>
      <c r="G378" s="92" t="s">
        <v>733</v>
      </c>
      <c r="H378" s="92"/>
      <c r="I378" s="92">
        <v>0</v>
      </c>
      <c r="J378" s="92">
        <v>148341627</v>
      </c>
      <c r="K378" s="92" t="s">
        <v>1061</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1016</v>
      </c>
      <c r="D379" s="92">
        <v>13</v>
      </c>
      <c r="E379" s="92" t="s">
        <v>209</v>
      </c>
      <c r="F379" s="92">
        <v>5</v>
      </c>
      <c r="G379" s="92" t="s">
        <v>615</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1027</v>
      </c>
      <c r="D380" s="92">
        <v>13</v>
      </c>
      <c r="E380" s="92" t="s">
        <v>209</v>
      </c>
      <c r="F380" s="92">
        <v>5</v>
      </c>
      <c r="G380" s="92" t="s">
        <v>615</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1041</v>
      </c>
      <c r="D381" s="92">
        <v>14</v>
      </c>
      <c r="E381" s="92" t="s">
        <v>571</v>
      </c>
      <c r="F381" s="92">
        <v>20</v>
      </c>
      <c r="G381" s="92" t="s">
        <v>895</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1051</v>
      </c>
      <c r="D382" s="92">
        <v>14</v>
      </c>
      <c r="E382" s="92" t="s">
        <v>571</v>
      </c>
      <c r="F382" s="92">
        <v>20</v>
      </c>
      <c r="G382" s="92" t="s">
        <v>895</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1022</v>
      </c>
      <c r="D383" s="92">
        <v>9</v>
      </c>
      <c r="E383" s="92" t="s">
        <v>588</v>
      </c>
      <c r="F383" s="92">
        <v>129</v>
      </c>
      <c r="G383" s="92" t="s">
        <v>714</v>
      </c>
      <c r="H383" s="92"/>
      <c r="I383" s="92">
        <v>0</v>
      </c>
      <c r="J383" s="92">
        <v>0</v>
      </c>
      <c r="K383" s="92" t="s">
        <v>1061</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1038</v>
      </c>
      <c r="D384" s="92">
        <v>7</v>
      </c>
      <c r="E384" s="92" t="s">
        <v>586</v>
      </c>
      <c r="F384" s="92">
        <v>25</v>
      </c>
      <c r="G384" s="92" t="s">
        <v>369</v>
      </c>
      <c r="H384" s="92"/>
      <c r="I384" s="92">
        <v>0</v>
      </c>
      <c r="J384" s="92">
        <v>3861861</v>
      </c>
      <c r="K384" s="92" t="s">
        <v>1061</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1038</v>
      </c>
      <c r="D385" s="92">
        <v>9</v>
      </c>
      <c r="E385" s="92" t="s">
        <v>588</v>
      </c>
      <c r="F385" s="92">
        <v>12</v>
      </c>
      <c r="G385" s="92" t="s">
        <v>379</v>
      </c>
      <c r="H385" s="92"/>
      <c r="I385" s="92">
        <v>0</v>
      </c>
      <c r="J385" s="92">
        <v>4010084</v>
      </c>
      <c r="K385" s="92" t="s">
        <v>1061</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1038</v>
      </c>
      <c r="D386" s="92">
        <v>11</v>
      </c>
      <c r="E386" s="92" t="s">
        <v>1062</v>
      </c>
      <c r="F386" s="92">
        <v>8</v>
      </c>
      <c r="G386" s="92" t="s">
        <v>384</v>
      </c>
      <c r="H386" s="92"/>
      <c r="I386" s="92">
        <v>10759</v>
      </c>
      <c r="J386" s="92">
        <v>2893503</v>
      </c>
      <c r="K386" s="92" t="s">
        <v>1061</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1038</v>
      </c>
      <c r="D387" s="92">
        <v>4</v>
      </c>
      <c r="E387" s="92" t="s">
        <v>66</v>
      </c>
      <c r="F387" s="92">
        <v>94</v>
      </c>
      <c r="G387" s="92" t="s">
        <v>860</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1044</v>
      </c>
      <c r="D388" s="92">
        <v>4</v>
      </c>
      <c r="E388" s="92" t="s">
        <v>66</v>
      </c>
      <c r="F388" s="92">
        <v>94</v>
      </c>
      <c r="G388" s="92" t="s">
        <v>860</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1017</v>
      </c>
      <c r="D389" s="92">
        <v>4</v>
      </c>
      <c r="E389" s="92" t="s">
        <v>66</v>
      </c>
      <c r="F389" s="92">
        <v>9</v>
      </c>
      <c r="G389" s="92" t="s">
        <v>625</v>
      </c>
      <c r="H389" s="92"/>
      <c r="I389" s="92">
        <v>0</v>
      </c>
      <c r="J389" s="92">
        <v>66805292</v>
      </c>
      <c r="K389" s="92" t="s">
        <v>1061</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1017</v>
      </c>
      <c r="D390" s="92">
        <v>5</v>
      </c>
      <c r="E390" s="92" t="s">
        <v>200</v>
      </c>
      <c r="F390" s="92">
        <v>19</v>
      </c>
      <c r="G390" s="92" t="s">
        <v>629</v>
      </c>
      <c r="H390" s="92"/>
      <c r="I390" s="92">
        <v>7595</v>
      </c>
      <c r="J390" s="92">
        <v>73539037</v>
      </c>
      <c r="K390" s="92" t="s">
        <v>1061</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c r="AI390">
        <v>2.0907400000000001E-4</v>
      </c>
    </row>
    <row r="391" spans="1:35" x14ac:dyDescent="0.25">
      <c r="A391" t="str">
        <f t="shared" si="9"/>
        <v>2-7-26</v>
      </c>
      <c r="B391">
        <v>2</v>
      </c>
      <c r="C391" s="92" t="s">
        <v>1017</v>
      </c>
      <c r="D391" s="92">
        <v>7</v>
      </c>
      <c r="E391" s="92" t="s">
        <v>586</v>
      </c>
      <c r="F391" s="92">
        <v>26</v>
      </c>
      <c r="G391" s="92" t="s">
        <v>631</v>
      </c>
      <c r="H391" s="92"/>
      <c r="I391" s="92">
        <v>1646</v>
      </c>
      <c r="J391" s="92">
        <v>40336923</v>
      </c>
      <c r="K391" s="92" t="s">
        <v>1061</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1017</v>
      </c>
      <c r="D392" s="92">
        <v>9</v>
      </c>
      <c r="E392" s="92" t="s">
        <v>588</v>
      </c>
      <c r="F392" s="92">
        <v>13</v>
      </c>
      <c r="G392" s="92" t="s">
        <v>634</v>
      </c>
      <c r="H392" s="92"/>
      <c r="I392" s="92">
        <v>4221</v>
      </c>
      <c r="J392" s="92">
        <v>0</v>
      </c>
      <c r="K392" s="92" t="s">
        <v>1061</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1017</v>
      </c>
      <c r="D393" s="92">
        <v>14</v>
      </c>
      <c r="E393" s="92" t="s">
        <v>571</v>
      </c>
      <c r="F393" s="92">
        <v>12</v>
      </c>
      <c r="G393" s="92" t="s">
        <v>97</v>
      </c>
      <c r="H393" s="92"/>
      <c r="I393" s="92">
        <v>16807</v>
      </c>
      <c r="J393" s="92">
        <v>40336923</v>
      </c>
      <c r="K393" s="92" t="s">
        <v>1061</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1044</v>
      </c>
      <c r="D394" s="92">
        <v>4</v>
      </c>
      <c r="E394" s="92" t="s">
        <v>66</v>
      </c>
      <c r="F394" s="92">
        <v>140</v>
      </c>
      <c r="G394" s="92" t="s">
        <v>922</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1195</v>
      </c>
      <c r="D395" s="92">
        <v>4</v>
      </c>
      <c r="E395" s="92" t="s">
        <v>66</v>
      </c>
      <c r="F395" s="92">
        <v>140</v>
      </c>
      <c r="G395" s="92" t="s">
        <v>922</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1032</v>
      </c>
      <c r="D396" s="92">
        <v>2</v>
      </c>
      <c r="E396" s="92" t="s">
        <v>53</v>
      </c>
      <c r="F396" s="92">
        <v>19</v>
      </c>
      <c r="G396" s="92" t="s">
        <v>298</v>
      </c>
      <c r="H396" s="92"/>
      <c r="I396" s="92">
        <v>0</v>
      </c>
      <c r="J396" s="92">
        <v>19802948</v>
      </c>
      <c r="K396" s="92" t="s">
        <v>1061</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1034</v>
      </c>
      <c r="D397" s="92">
        <v>7</v>
      </c>
      <c r="E397" s="92" t="s">
        <v>586</v>
      </c>
      <c r="F397" s="92">
        <v>27</v>
      </c>
      <c r="G397" s="92" t="s">
        <v>321</v>
      </c>
      <c r="H397" s="92"/>
      <c r="I397" s="92">
        <v>10</v>
      </c>
      <c r="J397" s="92">
        <v>34487955</v>
      </c>
      <c r="K397" s="92" t="s">
        <v>1061</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1042</v>
      </c>
      <c r="D398" s="92">
        <v>9</v>
      </c>
      <c r="E398" s="92" t="s">
        <v>588</v>
      </c>
      <c r="F398" s="92">
        <v>14</v>
      </c>
      <c r="G398" s="92" t="s">
        <v>905</v>
      </c>
      <c r="H398" s="92"/>
      <c r="I398" s="92">
        <v>1528</v>
      </c>
      <c r="J398" s="92">
        <v>5732098</v>
      </c>
      <c r="K398" s="92" t="s">
        <v>1061</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1042</v>
      </c>
      <c r="D399" s="92">
        <v>17</v>
      </c>
      <c r="E399" s="92" t="s">
        <v>593</v>
      </c>
      <c r="F399" s="92">
        <v>32</v>
      </c>
      <c r="G399" s="92" t="s">
        <v>448</v>
      </c>
      <c r="H399" s="92"/>
      <c r="I399" s="92">
        <v>2609</v>
      </c>
      <c r="J399" s="92">
        <v>6232003</v>
      </c>
      <c r="K399" s="92" t="s">
        <v>1061</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1042</v>
      </c>
      <c r="D400" s="92">
        <v>7</v>
      </c>
      <c r="E400" s="92" t="s">
        <v>586</v>
      </c>
      <c r="F400" s="92">
        <v>28</v>
      </c>
      <c r="G400" s="92" t="s">
        <v>902</v>
      </c>
      <c r="H400" s="92"/>
      <c r="I400" s="92">
        <v>707</v>
      </c>
      <c r="J400" s="92">
        <v>8182873</v>
      </c>
      <c r="K400" s="92" t="s">
        <v>1061</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1029</v>
      </c>
      <c r="D401" s="92">
        <v>7</v>
      </c>
      <c r="E401" s="92" t="s">
        <v>586</v>
      </c>
      <c r="F401" s="92">
        <v>29</v>
      </c>
      <c r="G401" s="92" t="s">
        <v>271</v>
      </c>
      <c r="H401" s="92"/>
      <c r="I401" s="92">
        <v>0</v>
      </c>
      <c r="J401" s="92">
        <v>6019057</v>
      </c>
      <c r="K401" s="92" t="s">
        <v>1061</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1045</v>
      </c>
      <c r="D402" s="92">
        <v>7</v>
      </c>
      <c r="E402" s="92" t="s">
        <v>586</v>
      </c>
      <c r="F402" s="92">
        <v>204</v>
      </c>
      <c r="G402" s="92" t="s">
        <v>470</v>
      </c>
      <c r="H402" s="92"/>
      <c r="I402" s="92">
        <v>0</v>
      </c>
      <c r="J402" s="92">
        <v>58022370</v>
      </c>
      <c r="K402" s="92" t="s">
        <v>1061</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1045</v>
      </c>
      <c r="D403" s="92">
        <v>9</v>
      </c>
      <c r="E403" s="92" t="s">
        <v>588</v>
      </c>
      <c r="F403" s="92">
        <v>160</v>
      </c>
      <c r="G403" s="92" t="s">
        <v>936</v>
      </c>
      <c r="H403" s="92"/>
      <c r="I403" s="92">
        <v>0</v>
      </c>
      <c r="J403" s="92">
        <v>1411000</v>
      </c>
      <c r="K403" s="92" t="s">
        <v>1061</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1045</v>
      </c>
      <c r="D404" s="92">
        <v>11</v>
      </c>
      <c r="E404" s="92" t="s">
        <v>1062</v>
      </c>
      <c r="F404" s="92">
        <v>10</v>
      </c>
      <c r="G404" s="92" t="s">
        <v>472</v>
      </c>
      <c r="H404" s="92"/>
      <c r="I404" s="92">
        <v>0</v>
      </c>
      <c r="J404" s="92">
        <v>49703803</v>
      </c>
      <c r="K404" s="92" t="s">
        <v>1061</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1045</v>
      </c>
      <c r="D405" s="92">
        <v>4</v>
      </c>
      <c r="E405" s="92" t="s">
        <v>66</v>
      </c>
      <c r="F405" s="92">
        <v>130</v>
      </c>
      <c r="G405" s="92" t="s">
        <v>931</v>
      </c>
      <c r="H405" s="92"/>
      <c r="I405" s="92">
        <v>0</v>
      </c>
      <c r="J405" s="92">
        <v>40177600</v>
      </c>
      <c r="K405" s="92" t="s">
        <v>1061</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1194</v>
      </c>
      <c r="D406" s="92">
        <v>7</v>
      </c>
      <c r="E406" s="92" t="s">
        <v>586</v>
      </c>
      <c r="F406" s="92">
        <v>31</v>
      </c>
      <c r="G406" s="92" t="s">
        <v>121</v>
      </c>
      <c r="H406" s="92"/>
      <c r="I406" s="92">
        <v>0</v>
      </c>
      <c r="J406" s="92">
        <v>22066796</v>
      </c>
      <c r="K406" s="92" t="s">
        <v>1061</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1053</v>
      </c>
      <c r="D407" s="92">
        <v>9</v>
      </c>
      <c r="E407" s="92" t="s">
        <v>588</v>
      </c>
      <c r="F407" s="92">
        <v>177</v>
      </c>
      <c r="G407" s="92" t="s">
        <v>1003</v>
      </c>
      <c r="H407" s="92"/>
      <c r="I407" s="92">
        <v>0</v>
      </c>
      <c r="J407" s="92">
        <v>0</v>
      </c>
      <c r="K407" s="92" t="s">
        <v>1061</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1053</v>
      </c>
      <c r="D408" s="92">
        <v>14</v>
      </c>
      <c r="E408" s="92" t="s">
        <v>571</v>
      </c>
      <c r="F408" s="92">
        <v>64</v>
      </c>
      <c r="G408" s="92" t="s">
        <v>572</v>
      </c>
      <c r="H408" s="92"/>
      <c r="I408" s="92">
        <v>0</v>
      </c>
      <c r="J408" s="92">
        <v>14590314</v>
      </c>
      <c r="K408" s="92" t="s">
        <v>1061</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1018</v>
      </c>
      <c r="D409" s="92">
        <v>9</v>
      </c>
      <c r="E409" s="92" t="s">
        <v>588</v>
      </c>
      <c r="F409" s="92">
        <v>130</v>
      </c>
      <c r="G409" s="92" t="s">
        <v>647</v>
      </c>
      <c r="H409" s="92"/>
      <c r="I409" s="92">
        <v>1511</v>
      </c>
      <c r="J409" s="92">
        <v>0</v>
      </c>
      <c r="K409" s="92" t="s">
        <v>1061</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1018</v>
      </c>
      <c r="D410" s="92">
        <v>11</v>
      </c>
      <c r="E410" s="92" t="s">
        <v>1062</v>
      </c>
      <c r="F410" s="92">
        <v>12</v>
      </c>
      <c r="G410" s="92" t="s">
        <v>651</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1034</v>
      </c>
      <c r="D411" s="92">
        <v>11</v>
      </c>
      <c r="E411" s="92" t="s">
        <v>1062</v>
      </c>
      <c r="F411" s="92">
        <v>12</v>
      </c>
      <c r="G411" s="92" t="s">
        <v>651</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1052</v>
      </c>
      <c r="D412" s="92">
        <v>7</v>
      </c>
      <c r="E412" s="92" t="s">
        <v>586</v>
      </c>
      <c r="F412" s="92">
        <v>32</v>
      </c>
      <c r="G412" s="92" t="s">
        <v>982</v>
      </c>
      <c r="H412" s="92"/>
      <c r="I412" s="92">
        <v>3161</v>
      </c>
      <c r="J412" s="92">
        <v>3235631</v>
      </c>
      <c r="K412" s="92" t="s">
        <v>1061</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1016</v>
      </c>
      <c r="D413" s="92">
        <v>7</v>
      </c>
      <c r="E413" s="92" t="s">
        <v>586</v>
      </c>
      <c r="F413" s="92">
        <v>33</v>
      </c>
      <c r="G413" s="92" t="s">
        <v>83</v>
      </c>
      <c r="H413" s="92"/>
      <c r="I413" s="92">
        <v>0</v>
      </c>
      <c r="J413" s="92">
        <v>108333156</v>
      </c>
      <c r="K413" s="92" t="s">
        <v>1061</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1031</v>
      </c>
      <c r="D414" s="92">
        <v>17</v>
      </c>
      <c r="E414" s="92" t="s">
        <v>593</v>
      </c>
      <c r="F414" s="92">
        <v>2</v>
      </c>
      <c r="G414" s="92" t="s">
        <v>805</v>
      </c>
      <c r="H414" s="92"/>
      <c r="I414" s="92">
        <v>8694</v>
      </c>
      <c r="J414" s="92">
        <v>6834494</v>
      </c>
      <c r="K414" s="92" t="s">
        <v>1061</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1031</v>
      </c>
      <c r="D415" s="92">
        <v>4</v>
      </c>
      <c r="E415" s="92" t="s">
        <v>66</v>
      </c>
      <c r="F415" s="92">
        <v>201</v>
      </c>
      <c r="G415" s="92" t="s">
        <v>788</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1042</v>
      </c>
      <c r="D416" s="92">
        <v>4</v>
      </c>
      <c r="E416" s="92" t="s">
        <v>66</v>
      </c>
      <c r="F416" s="92">
        <v>201</v>
      </c>
      <c r="G416" s="92" t="s">
        <v>788</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1016</v>
      </c>
      <c r="D417" s="92">
        <v>9</v>
      </c>
      <c r="E417" s="92" t="s">
        <v>588</v>
      </c>
      <c r="F417" s="92">
        <v>15</v>
      </c>
      <c r="G417" s="92" t="s">
        <v>342</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1021</v>
      </c>
      <c r="D418" s="92">
        <v>9</v>
      </c>
      <c r="E418" s="92" t="s">
        <v>588</v>
      </c>
      <c r="F418" s="92">
        <v>15</v>
      </c>
      <c r="G418" s="92" t="s">
        <v>342</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1036</v>
      </c>
      <c r="D419" s="92">
        <v>9</v>
      </c>
      <c r="E419" s="92" t="s">
        <v>588</v>
      </c>
      <c r="F419" s="92">
        <v>15</v>
      </c>
      <c r="G419" s="92" t="s">
        <v>342</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1016</v>
      </c>
      <c r="D420" s="92">
        <v>20</v>
      </c>
      <c r="E420" s="92" t="s">
        <v>153</v>
      </c>
      <c r="F420" s="92">
        <v>6</v>
      </c>
      <c r="G420" s="92" t="s">
        <v>617</v>
      </c>
      <c r="H420" s="92"/>
      <c r="I420" s="92">
        <v>42110</v>
      </c>
      <c r="J420" s="92">
        <v>60460404</v>
      </c>
      <c r="K420" s="92" t="s">
        <v>1061</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1022</v>
      </c>
      <c r="D421" s="92">
        <v>14</v>
      </c>
      <c r="E421" s="92" t="s">
        <v>571</v>
      </c>
      <c r="F421" s="92">
        <v>13</v>
      </c>
      <c r="G421" s="92" t="s">
        <v>189</v>
      </c>
      <c r="H421" s="92"/>
      <c r="I421" s="92">
        <v>487248</v>
      </c>
      <c r="J421" s="92">
        <v>459950852</v>
      </c>
      <c r="K421" s="92" t="s">
        <v>1061</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1021</v>
      </c>
      <c r="D422" s="92">
        <v>5</v>
      </c>
      <c r="E422" s="92" t="s">
        <v>200</v>
      </c>
      <c r="F422" s="92">
        <v>35</v>
      </c>
      <c r="G422" s="92" t="s">
        <v>1343</v>
      </c>
      <c r="H422" s="92"/>
      <c r="I422" s="92">
        <v>0</v>
      </c>
      <c r="J422" s="92">
        <v>9923369</v>
      </c>
      <c r="K422" s="92" t="s">
        <v>1061</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c r="AI422">
        <v>3.9674799999999999E-4</v>
      </c>
    </row>
    <row r="423" spans="1:35" x14ac:dyDescent="0.25">
      <c r="A423" t="str">
        <f t="shared" si="10"/>
        <v>9-9-191</v>
      </c>
      <c r="B423">
        <v>9</v>
      </c>
      <c r="C423" s="92" t="s">
        <v>1022</v>
      </c>
      <c r="D423" s="92">
        <v>9</v>
      </c>
      <c r="E423" s="92" t="s">
        <v>588</v>
      </c>
      <c r="F423" s="92">
        <v>191</v>
      </c>
      <c r="G423" s="92" t="s">
        <v>719</v>
      </c>
      <c r="H423" s="92"/>
      <c r="I423" s="92">
        <v>0</v>
      </c>
      <c r="J423" s="92">
        <v>0</v>
      </c>
      <c r="K423" s="92" t="s">
        <v>1061</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1041</v>
      </c>
      <c r="D424" s="92">
        <v>11</v>
      </c>
      <c r="E424" s="92" t="s">
        <v>1062</v>
      </c>
      <c r="F424" s="92">
        <v>14</v>
      </c>
      <c r="G424" s="92" t="s">
        <v>894</v>
      </c>
      <c r="H424" s="92"/>
      <c r="I424" s="92">
        <v>48219</v>
      </c>
      <c r="J424" s="92">
        <v>103865761</v>
      </c>
      <c r="K424" s="92" t="s">
        <v>1061</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1033</v>
      </c>
      <c r="D425" s="92">
        <v>17</v>
      </c>
      <c r="E425" s="92" t="s">
        <v>593</v>
      </c>
      <c r="F425" s="92">
        <v>18</v>
      </c>
      <c r="G425" s="92" t="s">
        <v>831</v>
      </c>
      <c r="H425" s="92"/>
      <c r="I425" s="92">
        <v>3103</v>
      </c>
      <c r="J425" s="92">
        <v>269663975</v>
      </c>
      <c r="K425" s="92" t="s">
        <v>1061</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1049</v>
      </c>
      <c r="D426" s="92">
        <v>14</v>
      </c>
      <c r="E426" s="92" t="s">
        <v>571</v>
      </c>
      <c r="F426" s="92">
        <v>14</v>
      </c>
      <c r="G426" s="92" t="s">
        <v>517</v>
      </c>
      <c r="H426" s="92"/>
      <c r="I426" s="92">
        <v>0</v>
      </c>
      <c r="J426" s="92">
        <v>46555787</v>
      </c>
      <c r="K426" s="92" t="s">
        <v>1061</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588</v>
      </c>
      <c r="F427" s="92">
        <v>16</v>
      </c>
      <c r="G427" s="92" t="s">
        <v>969</v>
      </c>
      <c r="H427" s="92"/>
      <c r="I427" s="92">
        <v>9630</v>
      </c>
      <c r="J427" s="92">
        <v>0</v>
      </c>
      <c r="K427" s="92" t="s">
        <v>1061</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1041</v>
      </c>
      <c r="D428" s="92">
        <v>9</v>
      </c>
      <c r="E428" s="92" t="s">
        <v>588</v>
      </c>
      <c r="F428" s="92">
        <v>153</v>
      </c>
      <c r="G428" s="92" t="s">
        <v>418</v>
      </c>
      <c r="H428" s="92"/>
      <c r="I428" s="92">
        <v>65153</v>
      </c>
      <c r="J428" s="92">
        <v>9549455</v>
      </c>
      <c r="K428" s="92" t="s">
        <v>1061</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1053</v>
      </c>
      <c r="D429" s="92">
        <v>15</v>
      </c>
      <c r="E429" s="92" t="s">
        <v>152</v>
      </c>
      <c r="F429" s="92">
        <v>10</v>
      </c>
      <c r="G429" s="92" t="s">
        <v>573</v>
      </c>
      <c r="H429" s="92"/>
      <c r="I429" s="92">
        <v>18569</v>
      </c>
      <c r="J429" s="92">
        <v>5927802</v>
      </c>
      <c r="K429" s="92" t="s">
        <v>1061</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1029</v>
      </c>
      <c r="D430" s="92">
        <v>11</v>
      </c>
      <c r="E430" s="92" t="s">
        <v>1062</v>
      </c>
      <c r="F430" s="92">
        <v>15</v>
      </c>
      <c r="G430" s="92" t="s">
        <v>779</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1043</v>
      </c>
      <c r="D431" s="92">
        <v>9</v>
      </c>
      <c r="E431" s="92" t="s">
        <v>588</v>
      </c>
      <c r="F431" s="92">
        <v>105</v>
      </c>
      <c r="G431" s="92" t="s">
        <v>917</v>
      </c>
      <c r="H431" s="92"/>
      <c r="I431" s="92">
        <v>34</v>
      </c>
      <c r="J431" s="92">
        <v>0</v>
      </c>
      <c r="K431" s="92" t="s">
        <v>1061</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1043</v>
      </c>
      <c r="D432" s="92">
        <v>19</v>
      </c>
      <c r="E432" s="92" t="s">
        <v>1063</v>
      </c>
      <c r="F432" s="92">
        <v>24</v>
      </c>
      <c r="G432" s="92" t="s">
        <v>455</v>
      </c>
      <c r="H432" s="92"/>
      <c r="I432" s="92">
        <v>1</v>
      </c>
      <c r="J432" s="92">
        <v>215953</v>
      </c>
      <c r="K432" s="92" t="s">
        <v>1061</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1031</v>
      </c>
      <c r="D433" s="92">
        <v>7</v>
      </c>
      <c r="E433" s="92" t="s">
        <v>586</v>
      </c>
      <c r="F433" s="92">
        <v>34</v>
      </c>
      <c r="G433" s="92" t="s">
        <v>790</v>
      </c>
      <c r="H433" s="92"/>
      <c r="I433" s="92">
        <v>6</v>
      </c>
      <c r="J433" s="92">
        <v>1756499</v>
      </c>
      <c r="K433" s="92" t="s">
        <v>1061</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1031</v>
      </c>
      <c r="D434" s="92">
        <v>14</v>
      </c>
      <c r="E434" s="92" t="s">
        <v>571</v>
      </c>
      <c r="F434" s="92">
        <v>46</v>
      </c>
      <c r="G434" s="92" t="s">
        <v>296</v>
      </c>
      <c r="H434" s="92"/>
      <c r="I434" s="92">
        <v>12445</v>
      </c>
      <c r="J434" s="92">
        <v>1756499</v>
      </c>
      <c r="K434" s="92" t="s">
        <v>1061</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1031</v>
      </c>
      <c r="D435" s="92">
        <v>17</v>
      </c>
      <c r="E435" s="92" t="s">
        <v>593</v>
      </c>
      <c r="F435" s="92">
        <v>4</v>
      </c>
      <c r="G435" s="92" t="s">
        <v>807</v>
      </c>
      <c r="H435" s="92"/>
      <c r="I435" s="92">
        <v>0</v>
      </c>
      <c r="J435" s="92">
        <v>1756499</v>
      </c>
      <c r="K435" s="92" t="s">
        <v>1061</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1022</v>
      </c>
      <c r="D436" s="92">
        <v>19</v>
      </c>
      <c r="E436" s="92" t="s">
        <v>1063</v>
      </c>
      <c r="F436" s="92">
        <v>33</v>
      </c>
      <c r="G436" s="92" t="s">
        <v>1101</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1033</v>
      </c>
      <c r="D437" s="92">
        <v>2</v>
      </c>
      <c r="E437" s="92" t="s">
        <v>53</v>
      </c>
      <c r="F437" s="92">
        <v>20</v>
      </c>
      <c r="G437" s="92" t="s">
        <v>306</v>
      </c>
      <c r="H437" s="92"/>
      <c r="I437" s="92">
        <v>0</v>
      </c>
      <c r="J437" s="92">
        <v>583514064</v>
      </c>
      <c r="K437" s="92" t="s">
        <v>1061</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1033</v>
      </c>
      <c r="D438" s="92">
        <v>15</v>
      </c>
      <c r="E438" s="92" t="s">
        <v>152</v>
      </c>
      <c r="F438" s="92">
        <v>24</v>
      </c>
      <c r="G438" s="92" t="s">
        <v>1231</v>
      </c>
      <c r="H438" s="92"/>
      <c r="I438" s="92">
        <v>0</v>
      </c>
      <c r="J438" s="92">
        <v>583514064</v>
      </c>
      <c r="K438" s="92" t="s">
        <v>1061</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1033</v>
      </c>
      <c r="D439" s="92">
        <v>5</v>
      </c>
      <c r="E439" s="92" t="s">
        <v>200</v>
      </c>
      <c r="F439" s="92">
        <v>25</v>
      </c>
      <c r="G439" s="92" t="s">
        <v>309</v>
      </c>
      <c r="H439" s="92"/>
      <c r="I439" s="92">
        <v>0</v>
      </c>
      <c r="J439" s="92">
        <v>583514064</v>
      </c>
      <c r="K439" s="92" t="s">
        <v>1061</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c r="AI439">
        <v>1.6737100000000001E-4</v>
      </c>
    </row>
    <row r="440" spans="1:35" x14ac:dyDescent="0.25">
      <c r="A440" t="str">
        <f t="shared" si="10"/>
        <v>20-12-19</v>
      </c>
      <c r="B440">
        <v>20</v>
      </c>
      <c r="C440" s="92" t="s">
        <v>1033</v>
      </c>
      <c r="D440" s="92">
        <v>12</v>
      </c>
      <c r="E440" s="92" t="s">
        <v>71</v>
      </c>
      <c r="F440" s="92">
        <v>19</v>
      </c>
      <c r="G440" s="92" t="s">
        <v>311</v>
      </c>
      <c r="H440" s="92"/>
      <c r="I440" s="92">
        <v>60494</v>
      </c>
      <c r="J440" s="92">
        <v>583514064</v>
      </c>
      <c r="K440" s="92" t="s">
        <v>1061</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1019</v>
      </c>
      <c r="D441" s="92">
        <v>9</v>
      </c>
      <c r="E441" s="92" t="s">
        <v>588</v>
      </c>
      <c r="F441" s="92">
        <v>184</v>
      </c>
      <c r="G441" s="92" t="s">
        <v>670</v>
      </c>
      <c r="H441" s="92"/>
      <c r="I441" s="92">
        <v>8152</v>
      </c>
      <c r="J441" s="92">
        <v>0</v>
      </c>
      <c r="K441" s="92" t="s">
        <v>1061</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1021</v>
      </c>
      <c r="D442" s="92">
        <v>4</v>
      </c>
      <c r="E442" s="92" t="s">
        <v>66</v>
      </c>
      <c r="F442" s="92">
        <v>82</v>
      </c>
      <c r="G442" s="92" t="s">
        <v>701</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1036</v>
      </c>
      <c r="D443" s="92">
        <v>4</v>
      </c>
      <c r="E443" s="92" t="s">
        <v>66</v>
      </c>
      <c r="F443" s="92">
        <v>82</v>
      </c>
      <c r="G443" s="92" t="s">
        <v>701</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1031</v>
      </c>
      <c r="D444" s="92">
        <v>9</v>
      </c>
      <c r="E444" s="92" t="s">
        <v>588</v>
      </c>
      <c r="F444" s="92">
        <v>118</v>
      </c>
      <c r="G444" s="92" t="s">
        <v>795</v>
      </c>
      <c r="H444" s="92"/>
      <c r="I444" s="92">
        <v>1239</v>
      </c>
      <c r="J444" s="92">
        <v>0</v>
      </c>
      <c r="K444" s="92" t="s">
        <v>1061</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1044</v>
      </c>
      <c r="D445" s="92">
        <v>11</v>
      </c>
      <c r="E445" s="92" t="s">
        <v>1062</v>
      </c>
      <c r="F445" s="92">
        <v>16</v>
      </c>
      <c r="G445" s="92" t="s">
        <v>927</v>
      </c>
      <c r="H445" s="92"/>
      <c r="I445" s="92">
        <v>27937</v>
      </c>
      <c r="J445" s="92">
        <v>1574839</v>
      </c>
      <c r="K445" s="92" t="s">
        <v>1061</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1016</v>
      </c>
      <c r="D446" s="92">
        <v>7</v>
      </c>
      <c r="E446" s="92" t="s">
        <v>586</v>
      </c>
      <c r="F446" s="92">
        <v>35</v>
      </c>
      <c r="G446" s="92" t="s">
        <v>607</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1027</v>
      </c>
      <c r="D447" s="92">
        <v>7</v>
      </c>
      <c r="E447" s="92" t="s">
        <v>586</v>
      </c>
      <c r="F447" s="92">
        <v>35</v>
      </c>
      <c r="G447" s="92" t="s">
        <v>607</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1028</v>
      </c>
      <c r="D448" s="92">
        <v>7</v>
      </c>
      <c r="E448" s="92" t="s">
        <v>586</v>
      </c>
      <c r="F448" s="92">
        <v>37</v>
      </c>
      <c r="G448" s="92" t="s">
        <v>763</v>
      </c>
      <c r="H448" s="92"/>
      <c r="I448" s="92">
        <v>4533</v>
      </c>
      <c r="J448" s="92">
        <v>109393018</v>
      </c>
      <c r="K448" s="92" t="s">
        <v>1061</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1034</v>
      </c>
      <c r="D449" s="92">
        <v>7</v>
      </c>
      <c r="E449" s="92" t="s">
        <v>586</v>
      </c>
      <c r="F449" s="92">
        <v>198</v>
      </c>
      <c r="G449" s="92" t="s">
        <v>832</v>
      </c>
      <c r="H449" s="92"/>
      <c r="I449" s="92">
        <v>0</v>
      </c>
      <c r="J449" s="92">
        <v>2587252</v>
      </c>
      <c r="K449" s="92" t="s">
        <v>1061</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586</v>
      </c>
      <c r="F450" s="92">
        <v>39</v>
      </c>
      <c r="G450" s="92" t="s">
        <v>528</v>
      </c>
      <c r="H450" s="92"/>
      <c r="I450" s="92">
        <v>0</v>
      </c>
      <c r="J450" s="92">
        <v>106354099</v>
      </c>
      <c r="K450" s="92" t="s">
        <v>1061</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1038</v>
      </c>
      <c r="D451" s="92">
        <v>7</v>
      </c>
      <c r="E451" s="92" t="s">
        <v>586</v>
      </c>
      <c r="F451" s="92">
        <v>41</v>
      </c>
      <c r="G451" s="92" t="s">
        <v>370</v>
      </c>
      <c r="H451" s="92"/>
      <c r="I451" s="92">
        <v>234</v>
      </c>
      <c r="J451" s="92">
        <v>1146024</v>
      </c>
      <c r="K451" s="92" t="s">
        <v>1061</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1038</v>
      </c>
      <c r="D452" s="92">
        <v>11</v>
      </c>
      <c r="E452" s="92" t="s">
        <v>1062</v>
      </c>
      <c r="F452" s="92">
        <v>18</v>
      </c>
      <c r="G452" s="92" t="s">
        <v>385</v>
      </c>
      <c r="H452" s="92"/>
      <c r="I452" s="92">
        <v>1944</v>
      </c>
      <c r="J452" s="92">
        <v>1136302</v>
      </c>
      <c r="K452" s="92" t="s">
        <v>1061</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1019</v>
      </c>
      <c r="D453" s="92">
        <v>9</v>
      </c>
      <c r="E453" s="92" t="s">
        <v>588</v>
      </c>
      <c r="F453" s="92">
        <v>152</v>
      </c>
      <c r="G453" s="92" t="s">
        <v>539</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1051</v>
      </c>
      <c r="D454" s="92">
        <v>9</v>
      </c>
      <c r="E454" s="92" t="s">
        <v>588</v>
      </c>
      <c r="F454" s="92">
        <v>152</v>
      </c>
      <c r="G454" s="92" t="s">
        <v>539</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1019</v>
      </c>
      <c r="D455" s="92">
        <v>20</v>
      </c>
      <c r="E455" s="92" t="s">
        <v>153</v>
      </c>
      <c r="F455" s="92">
        <v>66</v>
      </c>
      <c r="G455" s="92" t="s">
        <v>674</v>
      </c>
      <c r="H455" s="92"/>
      <c r="I455" s="92">
        <v>2281</v>
      </c>
      <c r="J455" s="92">
        <v>52969</v>
      </c>
      <c r="K455" s="92" t="s">
        <v>1061</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1196</v>
      </c>
      <c r="D456" s="92">
        <v>7</v>
      </c>
      <c r="E456" s="92" t="s">
        <v>586</v>
      </c>
      <c r="F456" s="92">
        <v>206</v>
      </c>
      <c r="G456" s="92" t="s">
        <v>991</v>
      </c>
      <c r="H456" s="92"/>
      <c r="I456" s="92">
        <v>4004</v>
      </c>
      <c r="J456" s="92">
        <v>72483682</v>
      </c>
      <c r="K456" s="92" t="s">
        <v>1061</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1196</v>
      </c>
      <c r="D457" s="92">
        <v>11</v>
      </c>
      <c r="E457" s="92" t="s">
        <v>1062</v>
      </c>
      <c r="F457" s="92">
        <v>19</v>
      </c>
      <c r="G457" s="92" t="s">
        <v>998</v>
      </c>
      <c r="H457" s="92"/>
      <c r="I457" s="92">
        <v>9546</v>
      </c>
      <c r="J457" s="92">
        <v>37870046</v>
      </c>
      <c r="K457" s="92" t="s">
        <v>1061</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1196</v>
      </c>
      <c r="D458" s="92">
        <v>17</v>
      </c>
      <c r="E458" s="92" t="s">
        <v>593</v>
      </c>
      <c r="F458" s="92">
        <v>10</v>
      </c>
      <c r="G458" s="92" t="s">
        <v>562</v>
      </c>
      <c r="H458" s="92"/>
      <c r="I458" s="92">
        <v>0</v>
      </c>
      <c r="J458" s="92">
        <v>37870046</v>
      </c>
      <c r="K458" s="92" t="s">
        <v>1061</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1196</v>
      </c>
      <c r="D459" s="92">
        <v>9</v>
      </c>
      <c r="E459" s="92" t="s">
        <v>588</v>
      </c>
      <c r="F459" s="92">
        <v>147</v>
      </c>
      <c r="G459" s="92" t="s">
        <v>996</v>
      </c>
      <c r="H459" s="92"/>
      <c r="I459" s="92">
        <v>0</v>
      </c>
      <c r="J459" s="92">
        <v>2644805</v>
      </c>
      <c r="K459" s="92" t="s">
        <v>1061</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1196</v>
      </c>
      <c r="D460" s="92">
        <v>4</v>
      </c>
      <c r="E460" s="92" t="s">
        <v>66</v>
      </c>
      <c r="F460" s="92">
        <v>168</v>
      </c>
      <c r="G460" s="92" t="s">
        <v>987</v>
      </c>
      <c r="H460" s="92"/>
      <c r="I460" s="92">
        <v>0</v>
      </c>
      <c r="J460" s="92">
        <v>72483682</v>
      </c>
      <c r="K460" s="92" t="s">
        <v>1061</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1040</v>
      </c>
      <c r="D461" s="92">
        <v>9</v>
      </c>
      <c r="E461" s="92" t="s">
        <v>588</v>
      </c>
      <c r="F461" s="92">
        <v>24</v>
      </c>
      <c r="G461" s="92" t="s">
        <v>1091</v>
      </c>
      <c r="H461" s="92"/>
      <c r="I461" s="92">
        <v>3556</v>
      </c>
      <c r="J461" s="92">
        <v>15755695</v>
      </c>
      <c r="K461" s="92" t="s">
        <v>1061</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1020</v>
      </c>
      <c r="D462" s="92">
        <v>4</v>
      </c>
      <c r="E462" s="92" t="s">
        <v>66</v>
      </c>
      <c r="F462" s="92">
        <v>21</v>
      </c>
      <c r="G462" s="92" t="s">
        <v>678</v>
      </c>
      <c r="H462" s="92"/>
      <c r="I462" s="92">
        <v>0</v>
      </c>
      <c r="J462" s="92">
        <v>36353320</v>
      </c>
      <c r="K462" s="92" t="s">
        <v>1061</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1194</v>
      </c>
      <c r="D463" s="92">
        <v>15</v>
      </c>
      <c r="E463" s="92" t="s">
        <v>152</v>
      </c>
      <c r="F463" s="92">
        <v>14</v>
      </c>
      <c r="G463" s="92" t="s">
        <v>662</v>
      </c>
      <c r="H463" s="92"/>
      <c r="I463" s="92">
        <v>68670</v>
      </c>
      <c r="J463" s="92">
        <v>2872983</v>
      </c>
      <c r="K463" s="92" t="s">
        <v>1061</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1194</v>
      </c>
      <c r="D464" s="92">
        <v>7</v>
      </c>
      <c r="E464" s="92" t="s">
        <v>586</v>
      </c>
      <c r="F464" s="92">
        <v>42</v>
      </c>
      <c r="G464" s="92" t="s">
        <v>122</v>
      </c>
      <c r="H464" s="92"/>
      <c r="I464" s="92">
        <v>0</v>
      </c>
      <c r="J464" s="92">
        <v>3426019</v>
      </c>
      <c r="K464" s="92" t="s">
        <v>1061</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1194</v>
      </c>
      <c r="D465" s="92">
        <v>19</v>
      </c>
      <c r="E465" s="92" t="s">
        <v>1063</v>
      </c>
      <c r="F465" s="92">
        <v>28</v>
      </c>
      <c r="G465" s="92" t="s">
        <v>663</v>
      </c>
      <c r="H465" s="92"/>
      <c r="I465" s="92">
        <v>108</v>
      </c>
      <c r="J465" s="92">
        <v>2989250</v>
      </c>
      <c r="K465" s="92" t="s">
        <v>1061</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1020</v>
      </c>
      <c r="D466" s="92">
        <v>10</v>
      </c>
      <c r="E466" s="92" t="s">
        <v>589</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1023</v>
      </c>
      <c r="D467" s="92">
        <v>10</v>
      </c>
      <c r="E467" s="92" t="s">
        <v>589</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1039</v>
      </c>
      <c r="D468" s="92">
        <v>10</v>
      </c>
      <c r="E468" s="92" t="s">
        <v>589</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1046</v>
      </c>
      <c r="D469" s="92">
        <v>10</v>
      </c>
      <c r="E469" s="92" t="s">
        <v>589</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1016</v>
      </c>
      <c r="D470" s="92">
        <v>10</v>
      </c>
      <c r="E470" s="92" t="s">
        <v>589</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1027</v>
      </c>
      <c r="D471" s="92">
        <v>10</v>
      </c>
      <c r="E471" s="92" t="s">
        <v>589</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1027</v>
      </c>
      <c r="D472" s="92">
        <v>10</v>
      </c>
      <c r="E472" s="92" t="s">
        <v>589</v>
      </c>
      <c r="F472" s="92">
        <v>15</v>
      </c>
      <c r="G472" s="92" t="s">
        <v>244</v>
      </c>
      <c r="H472" s="92"/>
      <c r="I472" s="92">
        <v>0</v>
      </c>
      <c r="J472" s="92">
        <v>0</v>
      </c>
      <c r="K472" s="92" t="s">
        <v>1061</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1017</v>
      </c>
      <c r="D473" s="92">
        <v>10</v>
      </c>
      <c r="E473" s="92" t="s">
        <v>589</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1054</v>
      </c>
      <c r="D474" s="92">
        <v>10</v>
      </c>
      <c r="E474" s="92" t="s">
        <v>589</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1039</v>
      </c>
      <c r="D475" s="92">
        <v>10</v>
      </c>
      <c r="E475" s="92" t="s">
        <v>589</v>
      </c>
      <c r="F475" s="92">
        <v>8</v>
      </c>
      <c r="G475" s="92" t="s">
        <v>396</v>
      </c>
      <c r="H475" s="92"/>
      <c r="I475" s="92">
        <v>8</v>
      </c>
      <c r="J475" s="92">
        <v>0</v>
      </c>
      <c r="K475" s="92" t="s">
        <v>1061</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1038</v>
      </c>
      <c r="D476" s="92">
        <v>10</v>
      </c>
      <c r="E476" s="92" t="s">
        <v>589</v>
      </c>
      <c r="F476" s="92">
        <v>9</v>
      </c>
      <c r="G476" s="92" t="s">
        <v>383</v>
      </c>
      <c r="H476" s="92"/>
      <c r="I476" s="92">
        <v>0</v>
      </c>
      <c r="J476" s="92">
        <v>0</v>
      </c>
      <c r="K476" s="92" t="s">
        <v>1061</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1020</v>
      </c>
      <c r="D477" s="92">
        <v>10</v>
      </c>
      <c r="E477" s="92" t="s">
        <v>589</v>
      </c>
      <c r="F477" s="92">
        <v>10</v>
      </c>
      <c r="G477" s="92" t="s">
        <v>149</v>
      </c>
      <c r="H477" s="92"/>
      <c r="I477" s="92">
        <v>0</v>
      </c>
      <c r="J477" s="92">
        <v>0</v>
      </c>
      <c r="K477" s="92" t="s">
        <v>1061</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1035</v>
      </c>
      <c r="D478" s="92">
        <v>15</v>
      </c>
      <c r="E478" s="92" t="s">
        <v>152</v>
      </c>
      <c r="F478" s="92">
        <v>13</v>
      </c>
      <c r="G478" s="92" t="s">
        <v>847</v>
      </c>
      <c r="H478" s="92"/>
      <c r="I478" s="92">
        <v>10590</v>
      </c>
      <c r="J478" s="92">
        <v>2193986</v>
      </c>
      <c r="K478" s="92" t="s">
        <v>1061</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1034</v>
      </c>
      <c r="D479" s="92">
        <v>15</v>
      </c>
      <c r="E479" s="92" t="s">
        <v>152</v>
      </c>
      <c r="F479" s="92">
        <v>22</v>
      </c>
      <c r="G479" s="92" t="s">
        <v>836</v>
      </c>
      <c r="H479" s="92"/>
      <c r="I479" s="92">
        <v>23387</v>
      </c>
      <c r="J479" s="92">
        <v>165928439</v>
      </c>
      <c r="K479" s="92" t="s">
        <v>1061</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1034</v>
      </c>
      <c r="D480" s="92">
        <v>7</v>
      </c>
      <c r="E480" s="92" t="s">
        <v>586</v>
      </c>
      <c r="F480" s="92">
        <v>43</v>
      </c>
      <c r="G480" s="92" t="s">
        <v>322</v>
      </c>
      <c r="H480" s="92"/>
      <c r="I480" s="92">
        <v>0</v>
      </c>
      <c r="J480" s="92">
        <v>6634057</v>
      </c>
      <c r="K480" s="92" t="s">
        <v>1061</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1034</v>
      </c>
      <c r="D481" s="92">
        <v>11</v>
      </c>
      <c r="E481" s="92" t="s">
        <v>1062</v>
      </c>
      <c r="F481" s="92">
        <v>87</v>
      </c>
      <c r="G481" s="92" t="s">
        <v>834</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1034</v>
      </c>
      <c r="D482" s="92">
        <v>9</v>
      </c>
      <c r="E482" s="92" t="s">
        <v>588</v>
      </c>
      <c r="F482" s="92">
        <v>171</v>
      </c>
      <c r="G482" s="92" t="s">
        <v>833</v>
      </c>
      <c r="H482" s="92"/>
      <c r="I482" s="92">
        <v>178702</v>
      </c>
      <c r="J482" s="92">
        <v>1589000</v>
      </c>
      <c r="K482" s="92" t="s">
        <v>1061</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1034</v>
      </c>
      <c r="D483" s="92">
        <v>14</v>
      </c>
      <c r="E483" s="92" t="s">
        <v>571</v>
      </c>
      <c r="F483" s="92">
        <v>16</v>
      </c>
      <c r="G483" s="92" t="s">
        <v>835</v>
      </c>
      <c r="H483" s="92"/>
      <c r="I483" s="92">
        <v>0</v>
      </c>
      <c r="J483" s="92">
        <v>165928439</v>
      </c>
      <c r="K483" s="92" t="s">
        <v>1061</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1034</v>
      </c>
      <c r="D484" s="92">
        <v>2</v>
      </c>
      <c r="E484" s="92" t="s">
        <v>53</v>
      </c>
      <c r="F484" s="92">
        <v>21</v>
      </c>
      <c r="G484" s="92" t="s">
        <v>313</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1121</v>
      </c>
    </row>
    <row r="485" spans="1:35" x14ac:dyDescent="0.25">
      <c r="A485" t="str">
        <f t="shared" si="11"/>
        <v>18-7-44</v>
      </c>
      <c r="B485">
        <v>18</v>
      </c>
      <c r="C485" s="92" t="s">
        <v>1031</v>
      </c>
      <c r="D485" s="92">
        <v>7</v>
      </c>
      <c r="E485" s="92" t="s">
        <v>586</v>
      </c>
      <c r="F485" s="92">
        <v>44</v>
      </c>
      <c r="G485" s="92" t="s">
        <v>290</v>
      </c>
      <c r="H485" s="92"/>
      <c r="I485" s="92">
        <v>679</v>
      </c>
      <c r="J485" s="92">
        <v>1270232</v>
      </c>
      <c r="K485" s="92" t="s">
        <v>1061</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1031</v>
      </c>
      <c r="D486" s="92">
        <v>6</v>
      </c>
      <c r="E486" s="92" t="s">
        <v>592</v>
      </c>
      <c r="F486" s="92">
        <v>3</v>
      </c>
      <c r="G486" s="92" t="s">
        <v>289</v>
      </c>
      <c r="H486" s="92"/>
      <c r="I486" s="92">
        <v>800</v>
      </c>
      <c r="J486" s="92">
        <v>714404</v>
      </c>
      <c r="K486" s="92" t="s">
        <v>1061</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1023</v>
      </c>
      <c r="D487" s="92">
        <v>7</v>
      </c>
      <c r="E487" s="92" t="s">
        <v>586</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1028</v>
      </c>
      <c r="D488" s="92">
        <v>7</v>
      </c>
      <c r="E488" s="92" t="s">
        <v>586</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1028</v>
      </c>
      <c r="D489" s="92">
        <v>9</v>
      </c>
      <c r="E489" s="92" t="s">
        <v>588</v>
      </c>
      <c r="F489" s="92">
        <v>134</v>
      </c>
      <c r="G489" s="92" t="s">
        <v>764</v>
      </c>
      <c r="H489" s="92"/>
      <c r="I489" s="92">
        <v>0</v>
      </c>
      <c r="J489" s="92">
        <v>0</v>
      </c>
      <c r="K489" s="92" t="s">
        <v>1061</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1042</v>
      </c>
      <c r="D490" s="92">
        <v>7</v>
      </c>
      <c r="E490" s="92" t="s">
        <v>586</v>
      </c>
      <c r="F490" s="92">
        <v>47</v>
      </c>
      <c r="G490" s="92" t="s">
        <v>442</v>
      </c>
      <c r="H490" s="92"/>
      <c r="I490" s="92">
        <v>319</v>
      </c>
      <c r="J490" s="92">
        <v>3335889</v>
      </c>
      <c r="K490" s="92" t="s">
        <v>1061</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1035</v>
      </c>
      <c r="D491" s="92">
        <v>2</v>
      </c>
      <c r="E491" s="92" t="s">
        <v>53</v>
      </c>
      <c r="F491" s="92">
        <v>22</v>
      </c>
      <c r="G491" s="92" t="s">
        <v>330</v>
      </c>
      <c r="H491" s="92"/>
      <c r="I491" s="92">
        <v>2</v>
      </c>
      <c r="J491" s="92">
        <v>64560412</v>
      </c>
      <c r="K491" s="92" t="s">
        <v>1061</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1035</v>
      </c>
      <c r="D492" s="92">
        <v>5</v>
      </c>
      <c r="E492" s="92" t="s">
        <v>200</v>
      </c>
      <c r="F492" s="92">
        <v>17</v>
      </c>
      <c r="G492" s="92" t="s">
        <v>1234</v>
      </c>
      <c r="H492" s="92"/>
      <c r="I492" s="92">
        <v>1</v>
      </c>
      <c r="J492" s="92">
        <v>64560412</v>
      </c>
      <c r="K492" s="92" t="s">
        <v>1061</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c r="AI492">
        <v>1.09042E-4</v>
      </c>
    </row>
    <row r="493" spans="1:35" x14ac:dyDescent="0.25">
      <c r="A493" t="str">
        <f t="shared" si="11"/>
        <v>22-14-15</v>
      </c>
      <c r="B493">
        <v>22</v>
      </c>
      <c r="C493" s="92" t="s">
        <v>1035</v>
      </c>
      <c r="D493" s="92">
        <v>14</v>
      </c>
      <c r="E493" s="92" t="s">
        <v>571</v>
      </c>
      <c r="F493" s="92">
        <v>15</v>
      </c>
      <c r="G493" s="92" t="s">
        <v>1235</v>
      </c>
      <c r="H493" s="92"/>
      <c r="I493" s="92">
        <v>5474</v>
      </c>
      <c r="J493" s="92">
        <v>60223536</v>
      </c>
      <c r="K493" s="92" t="s">
        <v>1061</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1035</v>
      </c>
      <c r="D494" s="92">
        <v>11</v>
      </c>
      <c r="E494" s="92" t="s">
        <v>1062</v>
      </c>
      <c r="F494" s="92">
        <v>88</v>
      </c>
      <c r="G494" s="92" t="s">
        <v>1233</v>
      </c>
      <c r="H494" s="92">
        <v>1</v>
      </c>
      <c r="I494" s="92">
        <v>0</v>
      </c>
      <c r="J494" s="92">
        <v>64560412</v>
      </c>
      <c r="K494" s="92" t="s">
        <v>1061</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1035</v>
      </c>
      <c r="D495" s="92">
        <v>4</v>
      </c>
      <c r="E495" s="92" t="s">
        <v>66</v>
      </c>
      <c r="F495" s="92">
        <v>80</v>
      </c>
      <c r="G495" s="92" t="s">
        <v>837</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1046</v>
      </c>
      <c r="D496" s="92">
        <v>4</v>
      </c>
      <c r="E496" s="92" t="s">
        <v>66</v>
      </c>
      <c r="F496" s="92">
        <v>80</v>
      </c>
      <c r="G496" s="92" t="s">
        <v>837</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1050</v>
      </c>
      <c r="D497" s="92">
        <v>4</v>
      </c>
      <c r="E497" s="92" t="s">
        <v>66</v>
      </c>
      <c r="F497" s="92">
        <v>154</v>
      </c>
      <c r="G497" s="92" t="s">
        <v>963</v>
      </c>
      <c r="H497" s="92"/>
      <c r="I497" s="92">
        <v>0</v>
      </c>
      <c r="J497" s="92">
        <v>40628446</v>
      </c>
      <c r="K497" s="92" t="s">
        <v>1061</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1021</v>
      </c>
      <c r="D498" s="92">
        <v>9</v>
      </c>
      <c r="E498" s="92" t="s">
        <v>588</v>
      </c>
      <c r="F498" s="92">
        <v>173</v>
      </c>
      <c r="G498" s="92" t="s">
        <v>704</v>
      </c>
      <c r="H498" s="92"/>
      <c r="I498" s="92">
        <v>2380</v>
      </c>
      <c r="J498" s="92">
        <v>0</v>
      </c>
      <c r="K498" s="92" t="s">
        <v>1061</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1021</v>
      </c>
      <c r="D499" s="92">
        <v>12</v>
      </c>
      <c r="E499" s="92" t="s">
        <v>71</v>
      </c>
      <c r="F499" s="92">
        <v>18</v>
      </c>
      <c r="G499" s="92" t="s">
        <v>172</v>
      </c>
      <c r="H499" s="92"/>
      <c r="I499" s="92">
        <v>8630</v>
      </c>
      <c r="J499" s="92">
        <v>9930907</v>
      </c>
      <c r="K499" s="92" t="s">
        <v>1061</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1021</v>
      </c>
      <c r="D500" s="92">
        <v>14</v>
      </c>
      <c r="E500" s="92" t="s">
        <v>571</v>
      </c>
      <c r="F500" s="92">
        <v>45</v>
      </c>
      <c r="G500" s="92" t="s">
        <v>175</v>
      </c>
      <c r="H500" s="92"/>
      <c r="I500" s="92">
        <v>0</v>
      </c>
      <c r="J500" s="92">
        <v>7433779</v>
      </c>
      <c r="K500" s="92" t="s">
        <v>1061</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1021</v>
      </c>
      <c r="D501" s="92">
        <v>4</v>
      </c>
      <c r="E501" s="92" t="s">
        <v>66</v>
      </c>
      <c r="F501" s="92">
        <v>25</v>
      </c>
      <c r="G501" s="92" t="s">
        <v>698</v>
      </c>
      <c r="H501" s="92"/>
      <c r="I501" s="92">
        <v>0</v>
      </c>
      <c r="J501" s="92">
        <v>9930907</v>
      </c>
      <c r="K501" s="92" t="s">
        <v>1061</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1019</v>
      </c>
      <c r="D502" s="92">
        <v>9</v>
      </c>
      <c r="E502" s="92" t="s">
        <v>588</v>
      </c>
      <c r="F502" s="92">
        <v>25</v>
      </c>
      <c r="G502" s="92" t="s">
        <v>668</v>
      </c>
      <c r="H502" s="92"/>
      <c r="I502" s="92">
        <v>0</v>
      </c>
      <c r="J502" s="92">
        <v>7451289</v>
      </c>
      <c r="K502" s="92" t="s">
        <v>1061</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1036</v>
      </c>
      <c r="D503" s="92">
        <v>11</v>
      </c>
      <c r="E503" s="92" t="s">
        <v>1062</v>
      </c>
      <c r="F503" s="92">
        <v>89</v>
      </c>
      <c r="G503" s="92" t="s">
        <v>850</v>
      </c>
      <c r="H503" s="92">
        <v>1</v>
      </c>
      <c r="I503" s="92">
        <v>0</v>
      </c>
      <c r="J503" s="92">
        <v>39151760</v>
      </c>
      <c r="K503" s="92" t="s">
        <v>1061</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1036</v>
      </c>
      <c r="D504" s="92">
        <v>2</v>
      </c>
      <c r="E504" s="92" t="s">
        <v>53</v>
      </c>
      <c r="F504" s="92">
        <v>23</v>
      </c>
      <c r="G504" s="92" t="s">
        <v>338</v>
      </c>
      <c r="H504" s="92"/>
      <c r="I504" s="92">
        <v>0</v>
      </c>
      <c r="J504" s="92">
        <v>39151760</v>
      </c>
      <c r="K504" s="92" t="s">
        <v>1061</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1036</v>
      </c>
      <c r="D505" s="92">
        <v>15</v>
      </c>
      <c r="E505" s="92" t="s">
        <v>152</v>
      </c>
      <c r="F505" s="92">
        <v>3</v>
      </c>
      <c r="G505" s="92" t="s">
        <v>851</v>
      </c>
      <c r="H505" s="92"/>
      <c r="I505" s="92">
        <v>0</v>
      </c>
      <c r="J505" s="92">
        <v>21890727</v>
      </c>
      <c r="K505" s="92" t="s">
        <v>1061</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1036</v>
      </c>
      <c r="D506" s="92">
        <v>9</v>
      </c>
      <c r="E506" s="92" t="s">
        <v>588</v>
      </c>
      <c r="F506" s="92">
        <v>17</v>
      </c>
      <c r="G506" s="92" t="s">
        <v>848</v>
      </c>
      <c r="H506" s="92"/>
      <c r="I506" s="92">
        <v>3205</v>
      </c>
      <c r="J506" s="92">
        <v>0</v>
      </c>
      <c r="K506" s="92" t="s">
        <v>1061</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1036</v>
      </c>
      <c r="D507" s="92">
        <v>9</v>
      </c>
      <c r="E507" s="92" t="s">
        <v>588</v>
      </c>
      <c r="F507" s="92">
        <v>22</v>
      </c>
      <c r="G507" s="92" t="s">
        <v>849</v>
      </c>
      <c r="H507" s="92"/>
      <c r="I507" s="92">
        <v>0</v>
      </c>
      <c r="J507" s="92">
        <v>0</v>
      </c>
      <c r="K507" s="92" t="s">
        <v>1061</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1049</v>
      </c>
      <c r="D508" s="92">
        <v>11</v>
      </c>
      <c r="E508" s="92" t="s">
        <v>1062</v>
      </c>
      <c r="F508" s="92">
        <v>20</v>
      </c>
      <c r="G508" s="92" t="s">
        <v>957</v>
      </c>
      <c r="H508" s="92"/>
      <c r="I508" s="92">
        <v>0</v>
      </c>
      <c r="J508" s="92">
        <v>19612554</v>
      </c>
      <c r="K508" s="92" t="s">
        <v>1061</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1042</v>
      </c>
      <c r="D509" s="92">
        <v>7</v>
      </c>
      <c r="E509" s="92" t="s">
        <v>586</v>
      </c>
      <c r="F509" s="92">
        <v>48</v>
      </c>
      <c r="G509" s="92" t="s">
        <v>443</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1195</v>
      </c>
      <c r="D510" s="92">
        <v>7</v>
      </c>
      <c r="E510" s="92" t="s">
        <v>586</v>
      </c>
      <c r="F510" s="92">
        <v>48</v>
      </c>
      <c r="G510" s="92" t="s">
        <v>443</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1042</v>
      </c>
      <c r="D511" s="92">
        <v>9</v>
      </c>
      <c r="E511" s="92" t="s">
        <v>588</v>
      </c>
      <c r="F511" s="92">
        <v>26</v>
      </c>
      <c r="G511" s="92" t="s">
        <v>906</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1195</v>
      </c>
      <c r="D512" s="92">
        <v>9</v>
      </c>
      <c r="E512" s="92" t="s">
        <v>588</v>
      </c>
      <c r="F512" s="92">
        <v>26</v>
      </c>
      <c r="G512" s="92" t="s">
        <v>906</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1042</v>
      </c>
      <c r="D513" s="92">
        <v>17</v>
      </c>
      <c r="E513" s="92" t="s">
        <v>593</v>
      </c>
      <c r="F513" s="92">
        <v>35</v>
      </c>
      <c r="G513" s="92" t="s">
        <v>449</v>
      </c>
      <c r="H513" s="92"/>
      <c r="I513" s="92">
        <v>1909</v>
      </c>
      <c r="J513" s="92">
        <v>7141210</v>
      </c>
      <c r="K513" s="92" t="s">
        <v>1061</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1042</v>
      </c>
      <c r="D514" s="92">
        <v>4</v>
      </c>
      <c r="E514" s="92" t="s">
        <v>66</v>
      </c>
      <c r="F514" s="92">
        <v>111</v>
      </c>
      <c r="G514" s="92" t="s">
        <v>899</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1195</v>
      </c>
      <c r="D515" s="92">
        <v>4</v>
      </c>
      <c r="E515" s="92" t="s">
        <v>66</v>
      </c>
      <c r="F515" s="92">
        <v>111</v>
      </c>
      <c r="G515" s="92" t="s">
        <v>899</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1194</v>
      </c>
      <c r="D516" s="92">
        <v>7</v>
      </c>
      <c r="E516" s="92" t="s">
        <v>586</v>
      </c>
      <c r="F516" s="92">
        <v>193</v>
      </c>
      <c r="G516" s="92" t="s">
        <v>123</v>
      </c>
      <c r="H516" s="92"/>
      <c r="I516" s="92">
        <v>0</v>
      </c>
      <c r="J516" s="92">
        <v>1287988</v>
      </c>
      <c r="K516" s="92" t="s">
        <v>1061</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1195</v>
      </c>
      <c r="D517" s="92">
        <v>7</v>
      </c>
      <c r="E517" s="92" t="s">
        <v>586</v>
      </c>
      <c r="F517" s="92">
        <v>50</v>
      </c>
      <c r="G517" s="92" t="s">
        <v>498</v>
      </c>
      <c r="H517" s="92"/>
      <c r="I517" s="92">
        <v>1112</v>
      </c>
      <c r="J517" s="92">
        <v>595320</v>
      </c>
      <c r="K517" s="92" t="s">
        <v>1061</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1031</v>
      </c>
      <c r="D518" s="92">
        <v>7</v>
      </c>
      <c r="E518" s="92" t="s">
        <v>586</v>
      </c>
      <c r="F518" s="92">
        <v>51</v>
      </c>
      <c r="G518" s="92" t="s">
        <v>291</v>
      </c>
      <c r="H518" s="92"/>
      <c r="I518" s="92">
        <v>420</v>
      </c>
      <c r="J518" s="92">
        <v>341235</v>
      </c>
      <c r="K518" s="92" t="s">
        <v>1061</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1033</v>
      </c>
      <c r="D519" s="92">
        <v>11</v>
      </c>
      <c r="E519" s="92" t="s">
        <v>1062</v>
      </c>
      <c r="F519" s="92">
        <v>21</v>
      </c>
      <c r="G519" s="92" t="s">
        <v>830</v>
      </c>
      <c r="H519" s="92"/>
      <c r="I519" s="92">
        <v>0</v>
      </c>
      <c r="J519" s="92">
        <v>326101078</v>
      </c>
      <c r="K519" s="92" t="s">
        <v>1061</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1033</v>
      </c>
      <c r="D520" s="92">
        <v>4</v>
      </c>
      <c r="E520" s="92" t="s">
        <v>66</v>
      </c>
      <c r="F520" s="92">
        <v>73</v>
      </c>
      <c r="G520" s="92" t="s">
        <v>821</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1049</v>
      </c>
      <c r="D521" s="92">
        <v>4</v>
      </c>
      <c r="E521" s="92" t="s">
        <v>66</v>
      </c>
      <c r="F521" s="92">
        <v>73</v>
      </c>
      <c r="G521" s="92" t="s">
        <v>821</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1027</v>
      </c>
      <c r="D522" s="92">
        <v>11</v>
      </c>
      <c r="E522" s="92" t="s">
        <v>1062</v>
      </c>
      <c r="F522" s="92">
        <v>22</v>
      </c>
      <c r="G522" s="92" t="s">
        <v>245</v>
      </c>
      <c r="H522" s="92"/>
      <c r="I522" s="92">
        <v>11414</v>
      </c>
      <c r="J522" s="92">
        <v>27064694</v>
      </c>
      <c r="K522" s="92" t="s">
        <v>1061</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1037</v>
      </c>
      <c r="D523" s="92">
        <v>7</v>
      </c>
      <c r="E523" s="92" t="s">
        <v>586</v>
      </c>
      <c r="F523" s="92">
        <v>52</v>
      </c>
      <c r="G523" s="92" t="s">
        <v>350</v>
      </c>
      <c r="H523" s="92"/>
      <c r="I523" s="92">
        <v>36</v>
      </c>
      <c r="J523" s="92">
        <v>107376750</v>
      </c>
      <c r="K523" s="92" t="s">
        <v>1061</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1037</v>
      </c>
      <c r="D524" s="92">
        <v>2</v>
      </c>
      <c r="E524" s="92" t="s">
        <v>53</v>
      </c>
      <c r="F524" s="92">
        <v>24</v>
      </c>
      <c r="G524" s="92" t="s">
        <v>344</v>
      </c>
      <c r="H524" s="92"/>
      <c r="I524" s="92">
        <v>0</v>
      </c>
      <c r="J524" s="92">
        <v>241934122</v>
      </c>
      <c r="K524" s="92" t="s">
        <v>1061</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1037</v>
      </c>
      <c r="D525" s="92">
        <v>5</v>
      </c>
      <c r="E525" s="92" t="s">
        <v>200</v>
      </c>
      <c r="F525" s="92">
        <v>26</v>
      </c>
      <c r="G525" s="92" t="s">
        <v>349</v>
      </c>
      <c r="H525" s="92"/>
      <c r="I525" s="92">
        <v>0</v>
      </c>
      <c r="J525" s="92">
        <v>241934122</v>
      </c>
      <c r="K525" s="92" t="s">
        <v>1061</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c r="AI525">
        <v>2.1398700000000001E-4</v>
      </c>
    </row>
    <row r="526" spans="1:35" x14ac:dyDescent="0.25">
      <c r="A526" t="str">
        <f t="shared" si="11"/>
        <v>24-9-28</v>
      </c>
      <c r="B526">
        <v>24</v>
      </c>
      <c r="C526" s="92" t="s">
        <v>1037</v>
      </c>
      <c r="D526" s="92">
        <v>9</v>
      </c>
      <c r="E526" s="92" t="s">
        <v>588</v>
      </c>
      <c r="F526" s="92">
        <v>28</v>
      </c>
      <c r="G526" s="92" t="s">
        <v>857</v>
      </c>
      <c r="H526" s="92"/>
      <c r="I526" s="92">
        <v>336</v>
      </c>
      <c r="J526" s="92">
        <v>2614120</v>
      </c>
      <c r="K526" s="92" t="s">
        <v>1061</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1037</v>
      </c>
      <c r="D527" s="92">
        <v>11</v>
      </c>
      <c r="E527" s="92" t="s">
        <v>1062</v>
      </c>
      <c r="F527" s="92">
        <v>23</v>
      </c>
      <c r="G527" s="92" t="s">
        <v>354</v>
      </c>
      <c r="H527" s="92"/>
      <c r="I527" s="92">
        <v>418</v>
      </c>
      <c r="J527" s="92">
        <v>76660645</v>
      </c>
      <c r="K527" s="92" t="s">
        <v>1061</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1037</v>
      </c>
      <c r="D528" s="92">
        <v>14</v>
      </c>
      <c r="E528" s="92" t="s">
        <v>571</v>
      </c>
      <c r="F528" s="92">
        <v>65</v>
      </c>
      <c r="G528" s="92" t="s">
        <v>358</v>
      </c>
      <c r="H528" s="92"/>
      <c r="I528" s="92">
        <v>0</v>
      </c>
      <c r="J528" s="92">
        <v>77568936</v>
      </c>
      <c r="K528" s="92" t="s">
        <v>1061</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1037</v>
      </c>
      <c r="D529" s="92">
        <v>17</v>
      </c>
      <c r="E529" s="92" t="s">
        <v>593</v>
      </c>
      <c r="F529" s="92">
        <v>20</v>
      </c>
      <c r="G529" s="92" t="s">
        <v>359</v>
      </c>
      <c r="H529" s="92"/>
      <c r="I529" s="92">
        <v>76</v>
      </c>
      <c r="J529" s="92">
        <v>96379381</v>
      </c>
      <c r="K529" s="92" t="s">
        <v>1061</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1037</v>
      </c>
      <c r="D530" s="92">
        <v>4</v>
      </c>
      <c r="E530" s="92" t="s">
        <v>66</v>
      </c>
      <c r="F530" s="92">
        <v>84</v>
      </c>
      <c r="G530" s="92" t="s">
        <v>852</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1045</v>
      </c>
      <c r="D531" s="92">
        <v>4</v>
      </c>
      <c r="E531" s="92" t="s">
        <v>66</v>
      </c>
      <c r="F531" s="92">
        <v>84</v>
      </c>
      <c r="G531" s="92" t="s">
        <v>852</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1029</v>
      </c>
      <c r="D532" s="92">
        <v>10</v>
      </c>
      <c r="E532" s="92" t="s">
        <v>589</v>
      </c>
      <c r="F532" s="92">
        <v>18</v>
      </c>
      <c r="G532" s="92" t="s">
        <v>276</v>
      </c>
      <c r="H532" s="92"/>
      <c r="I532" s="92">
        <v>1964</v>
      </c>
      <c r="J532" s="92">
        <v>0</v>
      </c>
      <c r="K532" s="92" t="s">
        <v>1061</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1028</v>
      </c>
      <c r="D533" s="92">
        <v>7</v>
      </c>
      <c r="E533" s="92" t="s">
        <v>586</v>
      </c>
      <c r="F533" s="92">
        <v>53</v>
      </c>
      <c r="G533" s="92" t="s">
        <v>258</v>
      </c>
      <c r="H533" s="92"/>
      <c r="I533" s="92">
        <v>0</v>
      </c>
      <c r="J533" s="92">
        <v>12939061</v>
      </c>
      <c r="K533" s="92" t="s">
        <v>1061</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1028</v>
      </c>
      <c r="D534" s="92">
        <v>14</v>
      </c>
      <c r="E534" s="92" t="s">
        <v>571</v>
      </c>
      <c r="F534" s="92">
        <v>17</v>
      </c>
      <c r="G534" s="92" t="s">
        <v>263</v>
      </c>
      <c r="H534" s="92"/>
      <c r="I534" s="92">
        <v>417</v>
      </c>
      <c r="J534" s="92">
        <v>33894306</v>
      </c>
      <c r="K534" s="92" t="s">
        <v>1061</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1018</v>
      </c>
      <c r="D535" s="92">
        <v>4</v>
      </c>
      <c r="E535" s="92" t="s">
        <v>66</v>
      </c>
      <c r="F535" s="92">
        <v>50</v>
      </c>
      <c r="G535" s="92" t="s">
        <v>640</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1028</v>
      </c>
      <c r="D536" s="92">
        <v>4</v>
      </c>
      <c r="E536" s="92" t="s">
        <v>66</v>
      </c>
      <c r="F536" s="92">
        <v>50</v>
      </c>
      <c r="G536" s="92" t="s">
        <v>640</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1034</v>
      </c>
      <c r="D537" s="92">
        <v>4</v>
      </c>
      <c r="E537" s="92" t="s">
        <v>66</v>
      </c>
      <c r="F537" s="92">
        <v>50</v>
      </c>
      <c r="G537" s="92" t="s">
        <v>640</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1033</v>
      </c>
      <c r="D538" s="92">
        <v>9</v>
      </c>
      <c r="E538" s="92" t="s">
        <v>588</v>
      </c>
      <c r="F538" s="92">
        <v>29</v>
      </c>
      <c r="G538" s="92" t="s">
        <v>825</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1049</v>
      </c>
      <c r="D539" s="92">
        <v>9</v>
      </c>
      <c r="E539" s="92" t="s">
        <v>588</v>
      </c>
      <c r="F539" s="92">
        <v>29</v>
      </c>
      <c r="G539" s="92" t="s">
        <v>825</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1031</v>
      </c>
      <c r="D540" s="92">
        <v>9</v>
      </c>
      <c r="E540" s="92" t="s">
        <v>588</v>
      </c>
      <c r="F540" s="92">
        <v>149</v>
      </c>
      <c r="G540" s="92" t="s">
        <v>797</v>
      </c>
      <c r="H540" s="92"/>
      <c r="I540" s="92">
        <v>1410</v>
      </c>
      <c r="J540" s="92">
        <v>0</v>
      </c>
      <c r="K540" s="92" t="s">
        <v>1061</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1038</v>
      </c>
      <c r="D541" s="92">
        <v>7</v>
      </c>
      <c r="E541" s="92" t="s">
        <v>586</v>
      </c>
      <c r="F541" s="92">
        <v>54</v>
      </c>
      <c r="G541" s="92" t="s">
        <v>371</v>
      </c>
      <c r="H541" s="92"/>
      <c r="I541" s="92">
        <v>41121</v>
      </c>
      <c r="J541" s="92">
        <v>11923702</v>
      </c>
      <c r="K541" s="92" t="s">
        <v>1061</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1038</v>
      </c>
      <c r="D542" s="92">
        <v>9</v>
      </c>
      <c r="E542" s="92" t="s">
        <v>588</v>
      </c>
      <c r="F542" s="92">
        <v>31</v>
      </c>
      <c r="G542" s="92" t="s">
        <v>380</v>
      </c>
      <c r="H542" s="92"/>
      <c r="I542" s="92">
        <v>4885</v>
      </c>
      <c r="J542" s="92">
        <v>4838867</v>
      </c>
      <c r="K542" s="92" t="s">
        <v>1061</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1038</v>
      </c>
      <c r="D543" s="92">
        <v>11</v>
      </c>
      <c r="E543" s="92" t="s">
        <v>1062</v>
      </c>
      <c r="F543" s="92">
        <v>24</v>
      </c>
      <c r="G543" s="92" t="s">
        <v>386</v>
      </c>
      <c r="H543" s="92"/>
      <c r="I543" s="92">
        <v>3283</v>
      </c>
      <c r="J543" s="92">
        <v>8789833</v>
      </c>
      <c r="K543" s="92" t="s">
        <v>1061</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1038</v>
      </c>
      <c r="D544" s="92">
        <v>4</v>
      </c>
      <c r="E544" s="92" t="s">
        <v>66</v>
      </c>
      <c r="F544" s="92">
        <v>205</v>
      </c>
      <c r="G544" s="92" t="s">
        <v>1390</v>
      </c>
      <c r="H544" s="92"/>
      <c r="I544" s="92">
        <v>0</v>
      </c>
      <c r="J544" s="92">
        <v>14397914</v>
      </c>
      <c r="K544" s="92" t="s">
        <v>1061</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1022</v>
      </c>
      <c r="D545" s="92">
        <v>20</v>
      </c>
      <c r="E545" s="92" t="s">
        <v>153</v>
      </c>
      <c r="F545" s="92">
        <v>8</v>
      </c>
      <c r="G545" s="92" t="s">
        <v>723</v>
      </c>
      <c r="H545" s="92"/>
      <c r="I545" s="92">
        <v>5</v>
      </c>
      <c r="J545" s="92">
        <v>1388</v>
      </c>
      <c r="K545" s="92" t="s">
        <v>1061</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1023</v>
      </c>
      <c r="D546" s="92">
        <v>9</v>
      </c>
      <c r="E546" s="92" t="s">
        <v>588</v>
      </c>
      <c r="F546" s="92">
        <v>32</v>
      </c>
      <c r="G546" s="92" t="s">
        <v>730</v>
      </c>
      <c r="H546" s="92"/>
      <c r="I546" s="92">
        <v>7209</v>
      </c>
      <c r="J546" s="92">
        <v>0</v>
      </c>
      <c r="K546" s="92" t="s">
        <v>1061</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1041</v>
      </c>
      <c r="D547" s="92">
        <v>20</v>
      </c>
      <c r="E547" s="92" t="s">
        <v>153</v>
      </c>
      <c r="F547" s="92">
        <v>9</v>
      </c>
      <c r="G547" s="92" t="s">
        <v>1151</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1038</v>
      </c>
      <c r="D548" s="92">
        <v>11</v>
      </c>
      <c r="E548" s="92" t="s">
        <v>1062</v>
      </c>
      <c r="F548" s="92">
        <v>25</v>
      </c>
      <c r="G548" s="92" t="s">
        <v>387</v>
      </c>
      <c r="H548" s="92"/>
      <c r="I548" s="92">
        <v>0</v>
      </c>
      <c r="J548" s="92">
        <v>1143861</v>
      </c>
      <c r="K548" s="92" t="s">
        <v>1061</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1027</v>
      </c>
      <c r="D549" s="92">
        <v>7</v>
      </c>
      <c r="E549" s="92" t="s">
        <v>586</v>
      </c>
      <c r="F549" s="92">
        <v>55</v>
      </c>
      <c r="G549" s="92" t="s">
        <v>228</v>
      </c>
      <c r="H549" s="92"/>
      <c r="I549" s="92">
        <v>0</v>
      </c>
      <c r="J549" s="92">
        <v>4313427</v>
      </c>
      <c r="K549" s="92" t="s">
        <v>1061</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1031</v>
      </c>
      <c r="D550" s="92">
        <v>9</v>
      </c>
      <c r="E550" s="92" t="s">
        <v>588</v>
      </c>
      <c r="F550" s="92">
        <v>168</v>
      </c>
      <c r="G550" s="92" t="s">
        <v>801</v>
      </c>
      <c r="H550" s="92"/>
      <c r="I550" s="92">
        <v>2310</v>
      </c>
      <c r="J550" s="92">
        <v>0</v>
      </c>
      <c r="K550" s="92" t="s">
        <v>1061</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1020</v>
      </c>
      <c r="D551" s="92">
        <v>7</v>
      </c>
      <c r="E551" s="92" t="s">
        <v>586</v>
      </c>
      <c r="F551" s="92">
        <v>56</v>
      </c>
      <c r="G551" s="92" t="s">
        <v>141</v>
      </c>
      <c r="H551" s="92"/>
      <c r="I551" s="92">
        <v>0</v>
      </c>
      <c r="J551" s="92">
        <v>5270136</v>
      </c>
      <c r="K551" s="92" t="s">
        <v>1061</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1052</v>
      </c>
      <c r="D552" s="92">
        <v>7</v>
      </c>
      <c r="E552" s="92" t="s">
        <v>586</v>
      </c>
      <c r="F552" s="92">
        <v>57</v>
      </c>
      <c r="G552" s="92" t="s">
        <v>547</v>
      </c>
      <c r="H552" s="92"/>
      <c r="I552" s="92">
        <v>808</v>
      </c>
      <c r="J552" s="92">
        <v>636556</v>
      </c>
      <c r="K552" s="92" t="s">
        <v>1061</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1037</v>
      </c>
      <c r="D553" s="92">
        <v>7</v>
      </c>
      <c r="E553" s="92" t="s">
        <v>586</v>
      </c>
      <c r="F553" s="92">
        <v>58</v>
      </c>
      <c r="G553" s="92" t="s">
        <v>351</v>
      </c>
      <c r="H553" s="92"/>
      <c r="I553" s="92">
        <v>1145</v>
      </c>
      <c r="J553" s="92">
        <v>76141513</v>
      </c>
      <c r="K553" s="92" t="s">
        <v>1061</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1037</v>
      </c>
      <c r="D554" s="92">
        <v>9</v>
      </c>
      <c r="E554" s="92" t="s">
        <v>588</v>
      </c>
      <c r="F554" s="92">
        <v>33</v>
      </c>
      <c r="G554" s="92" t="s">
        <v>858</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1196</v>
      </c>
      <c r="D555" s="92">
        <v>9</v>
      </c>
      <c r="E555" s="92" t="s">
        <v>588</v>
      </c>
      <c r="F555" s="92">
        <v>33</v>
      </c>
      <c r="G555" s="92" t="s">
        <v>858</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1037</v>
      </c>
      <c r="D556" s="92">
        <v>11</v>
      </c>
      <c r="E556" s="92" t="s">
        <v>1062</v>
      </c>
      <c r="F556" s="92">
        <v>26</v>
      </c>
      <c r="G556" s="92" t="s">
        <v>355</v>
      </c>
      <c r="H556" s="92"/>
      <c r="I556" s="92">
        <v>823</v>
      </c>
      <c r="J556" s="92">
        <v>22151831</v>
      </c>
      <c r="K556" s="92" t="s">
        <v>1061</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1037</v>
      </c>
      <c r="D557" s="92">
        <v>4</v>
      </c>
      <c r="E557" s="92" t="s">
        <v>66</v>
      </c>
      <c r="F557" s="92">
        <v>87</v>
      </c>
      <c r="G557" s="92" t="s">
        <v>854</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1196</v>
      </c>
      <c r="D558" s="92">
        <v>4</v>
      </c>
      <c r="E558" s="92" t="s">
        <v>66</v>
      </c>
      <c r="F558" s="92">
        <v>87</v>
      </c>
      <c r="G558" s="92" t="s">
        <v>854</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1057</v>
      </c>
      <c r="D559" s="92">
        <v>7</v>
      </c>
      <c r="E559" s="92" t="s">
        <v>586</v>
      </c>
      <c r="F559" s="92">
        <v>59</v>
      </c>
      <c r="G559" s="92" t="s">
        <v>163</v>
      </c>
      <c r="H559" s="92"/>
      <c r="I559" s="92">
        <v>0</v>
      </c>
      <c r="J559" s="92">
        <v>16219953</v>
      </c>
      <c r="K559" s="92" t="s">
        <v>1061</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1035</v>
      </c>
      <c r="D560" s="92">
        <v>9</v>
      </c>
      <c r="E560" s="92" t="s">
        <v>588</v>
      </c>
      <c r="F560" s="92">
        <v>34</v>
      </c>
      <c r="G560" s="92" t="s">
        <v>843</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1039</v>
      </c>
      <c r="D561" s="92">
        <v>9</v>
      </c>
      <c r="E561" s="92" t="s">
        <v>588</v>
      </c>
      <c r="F561" s="92">
        <v>34</v>
      </c>
      <c r="G561" s="92" t="s">
        <v>843</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1196</v>
      </c>
      <c r="D562" s="92">
        <v>14</v>
      </c>
      <c r="E562" s="92" t="s">
        <v>571</v>
      </c>
      <c r="F562" s="92">
        <v>53</v>
      </c>
      <c r="G562" s="92" t="s">
        <v>561</v>
      </c>
      <c r="H562" s="92"/>
      <c r="I562" s="92">
        <v>74</v>
      </c>
      <c r="J562" s="92">
        <v>28068587</v>
      </c>
      <c r="K562" s="92" t="s">
        <v>1061</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1196</v>
      </c>
      <c r="D563" s="92">
        <v>4</v>
      </c>
      <c r="E563" s="92" t="s">
        <v>66</v>
      </c>
      <c r="F563" s="92">
        <v>170</v>
      </c>
      <c r="G563" s="92" t="s">
        <v>989</v>
      </c>
      <c r="H563" s="92"/>
      <c r="I563" s="92">
        <v>0</v>
      </c>
      <c r="J563" s="92">
        <v>28068587</v>
      </c>
      <c r="K563" s="92" t="s">
        <v>1061</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1038</v>
      </c>
      <c r="D564" s="92">
        <v>9</v>
      </c>
      <c r="E564" s="92" t="s">
        <v>588</v>
      </c>
      <c r="F564" s="92">
        <v>181</v>
      </c>
      <c r="G564" s="92" t="s">
        <v>381</v>
      </c>
      <c r="H564" s="92"/>
      <c r="I564" s="92">
        <v>252</v>
      </c>
      <c r="J564" s="92">
        <v>0</v>
      </c>
      <c r="K564" s="92" t="s">
        <v>1061</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1016</v>
      </c>
      <c r="D565" s="92">
        <v>30</v>
      </c>
      <c r="E565" s="92" t="s">
        <v>590</v>
      </c>
      <c r="F565" s="92">
        <v>1</v>
      </c>
      <c r="G565" s="92" t="s">
        <v>619</v>
      </c>
      <c r="H565" s="92"/>
      <c r="I565" s="92">
        <v>2413</v>
      </c>
      <c r="J565" s="92">
        <v>0</v>
      </c>
      <c r="K565" s="92" t="s">
        <v>1061</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1041</v>
      </c>
      <c r="D566" s="92">
        <v>9</v>
      </c>
      <c r="E566" s="92" t="s">
        <v>588</v>
      </c>
      <c r="F566" s="92">
        <v>38</v>
      </c>
      <c r="G566" s="92" t="s">
        <v>419</v>
      </c>
      <c r="H566" s="92"/>
      <c r="I566" s="92">
        <v>0</v>
      </c>
      <c r="J566" s="92">
        <v>1476450</v>
      </c>
      <c r="K566" s="92" t="s">
        <v>1061</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1041</v>
      </c>
      <c r="D567" s="92">
        <v>19</v>
      </c>
      <c r="E567" s="92" t="s">
        <v>1063</v>
      </c>
      <c r="F567" s="92">
        <v>42</v>
      </c>
      <c r="G567" s="92" t="s">
        <v>1088</v>
      </c>
      <c r="H567" s="92"/>
      <c r="I567" s="92">
        <v>17238</v>
      </c>
      <c r="J567" s="92">
        <v>7765502</v>
      </c>
      <c r="K567" s="92" t="s">
        <v>1061</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1041</v>
      </c>
      <c r="D568" s="92">
        <v>22</v>
      </c>
      <c r="E568" s="92" t="s">
        <v>595</v>
      </c>
      <c r="F568" s="92">
        <v>2</v>
      </c>
      <c r="G568" s="92" t="s">
        <v>897</v>
      </c>
      <c r="H568" s="92"/>
      <c r="I568" s="92">
        <v>31191</v>
      </c>
      <c r="J568" s="92">
        <v>0</v>
      </c>
      <c r="K568" s="92" t="s">
        <v>1061</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1040</v>
      </c>
      <c r="D569" s="92">
        <v>7</v>
      </c>
      <c r="E569" s="92" t="s">
        <v>586</v>
      </c>
      <c r="F569" s="92">
        <v>60</v>
      </c>
      <c r="G569" s="92" t="s">
        <v>402</v>
      </c>
      <c r="H569" s="92"/>
      <c r="I569" s="92">
        <v>3322</v>
      </c>
      <c r="J569" s="92">
        <v>77557169</v>
      </c>
      <c r="K569" s="92" t="s">
        <v>1061</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1047</v>
      </c>
      <c r="D570" s="92">
        <v>7</v>
      </c>
      <c r="E570" s="92" t="s">
        <v>586</v>
      </c>
      <c r="F570" s="92">
        <v>61</v>
      </c>
      <c r="G570" s="92" t="s">
        <v>939</v>
      </c>
      <c r="H570" s="92"/>
      <c r="I570" s="92">
        <v>0</v>
      </c>
      <c r="J570" s="92">
        <v>7477276</v>
      </c>
      <c r="K570" s="92" t="s">
        <v>1061</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1038</v>
      </c>
      <c r="D571" s="92">
        <v>4</v>
      </c>
      <c r="E571" s="92" t="s">
        <v>66</v>
      </c>
      <c r="F571" s="92">
        <v>125</v>
      </c>
      <c r="G571" s="92" t="s">
        <v>862</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1044</v>
      </c>
      <c r="D572" s="92">
        <v>4</v>
      </c>
      <c r="E572" s="92" t="s">
        <v>66</v>
      </c>
      <c r="F572" s="92">
        <v>125</v>
      </c>
      <c r="G572" s="92" t="s">
        <v>862</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1195</v>
      </c>
      <c r="D573" s="92">
        <v>4</v>
      </c>
      <c r="E573" s="92" t="s">
        <v>66</v>
      </c>
      <c r="F573" s="92">
        <v>125</v>
      </c>
      <c r="G573" s="92" t="s">
        <v>862</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1050</v>
      </c>
      <c r="D574" s="92">
        <v>11</v>
      </c>
      <c r="E574" s="92" t="s">
        <v>1062</v>
      </c>
      <c r="F574" s="92">
        <v>28</v>
      </c>
      <c r="G574" s="92" t="s">
        <v>1089</v>
      </c>
      <c r="H574" s="92"/>
      <c r="I574" s="92">
        <v>0</v>
      </c>
      <c r="J574" s="92">
        <v>47132427</v>
      </c>
      <c r="K574" s="92" t="s">
        <v>1061</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1027</v>
      </c>
      <c r="D575" s="92">
        <v>11</v>
      </c>
      <c r="E575" s="92" t="s">
        <v>1062</v>
      </c>
      <c r="F575" s="92">
        <v>81</v>
      </c>
      <c r="G575" s="176" t="s">
        <v>1271</v>
      </c>
      <c r="H575" s="176"/>
      <c r="I575" s="92">
        <v>0</v>
      </c>
      <c r="J575" s="92">
        <v>142713677</v>
      </c>
      <c r="K575" s="92" t="s">
        <v>1061</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1054</v>
      </c>
      <c r="D576" s="92">
        <v>7</v>
      </c>
      <c r="E576" s="92" t="s">
        <v>586</v>
      </c>
      <c r="F576" s="92">
        <v>202</v>
      </c>
      <c r="G576" s="92" t="s">
        <v>579</v>
      </c>
      <c r="H576" s="92"/>
      <c r="I576" s="92">
        <v>36364</v>
      </c>
      <c r="J576" s="92">
        <v>125373038</v>
      </c>
      <c r="K576" s="92" t="s">
        <v>1061</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1040</v>
      </c>
      <c r="D577" s="92">
        <v>11</v>
      </c>
      <c r="E577" s="92" t="s">
        <v>1062</v>
      </c>
      <c r="F577" s="92">
        <v>30</v>
      </c>
      <c r="G577" s="92" t="s">
        <v>886</v>
      </c>
      <c r="H577" s="92"/>
      <c r="I577" s="92">
        <v>25771</v>
      </c>
      <c r="J577" s="92">
        <v>69519273</v>
      </c>
      <c r="K577" s="92" t="s">
        <v>1061</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1048</v>
      </c>
      <c r="D578" s="92">
        <v>7</v>
      </c>
      <c r="E578" s="92" t="s">
        <v>586</v>
      </c>
      <c r="F578" s="92">
        <v>62</v>
      </c>
      <c r="G578" s="92" t="s">
        <v>504</v>
      </c>
      <c r="H578" s="92"/>
      <c r="I578" s="92">
        <v>0</v>
      </c>
      <c r="J578" s="92">
        <v>10521374</v>
      </c>
      <c r="K578" s="92" t="s">
        <v>1061</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1048</v>
      </c>
      <c r="D579" s="92">
        <v>17</v>
      </c>
      <c r="E579" s="92" t="s">
        <v>593</v>
      </c>
      <c r="F579" s="92">
        <v>15</v>
      </c>
      <c r="G579" s="92" t="s">
        <v>507</v>
      </c>
      <c r="H579" s="92"/>
      <c r="I579" s="92">
        <v>0</v>
      </c>
      <c r="J579" s="92">
        <v>9722153</v>
      </c>
      <c r="K579" s="92" t="s">
        <v>1061</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1027</v>
      </c>
      <c r="D580" s="92">
        <v>9</v>
      </c>
      <c r="E580" s="92" t="s">
        <v>588</v>
      </c>
      <c r="F580" s="92">
        <v>36</v>
      </c>
      <c r="G580" s="92" t="s">
        <v>236</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1049</v>
      </c>
      <c r="D581" s="92">
        <v>9</v>
      </c>
      <c r="E581" s="92" t="s">
        <v>588</v>
      </c>
      <c r="F581" s="92">
        <v>36</v>
      </c>
      <c r="G581" s="92" t="s">
        <v>236</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1049</v>
      </c>
      <c r="D582" s="92">
        <v>11</v>
      </c>
      <c r="E582" s="92" t="s">
        <v>1062</v>
      </c>
      <c r="F582" s="92">
        <v>31</v>
      </c>
      <c r="G582" s="92" t="s">
        <v>958</v>
      </c>
      <c r="H582" s="92"/>
      <c r="I582" s="92">
        <v>0</v>
      </c>
      <c r="J582" s="92">
        <v>21900698</v>
      </c>
      <c r="K582" s="92" t="s">
        <v>1061</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1027</v>
      </c>
      <c r="D583" s="92">
        <v>14</v>
      </c>
      <c r="E583" s="92" t="s">
        <v>571</v>
      </c>
      <c r="F583" s="92">
        <v>66</v>
      </c>
      <c r="G583" s="92" t="s">
        <v>1148</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1049</v>
      </c>
      <c r="D584" s="92">
        <v>14</v>
      </c>
      <c r="E584" s="92" t="s">
        <v>571</v>
      </c>
      <c r="F584" s="92">
        <v>66</v>
      </c>
      <c r="G584" s="92" t="s">
        <v>1148</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1027</v>
      </c>
      <c r="D585" s="92">
        <v>4</v>
      </c>
      <c r="E585" s="92" t="s">
        <v>66</v>
      </c>
      <c r="F585" s="92">
        <v>149</v>
      </c>
      <c r="G585" s="92" t="s">
        <v>758</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1049</v>
      </c>
      <c r="D586" s="92">
        <v>4</v>
      </c>
      <c r="E586" s="92" t="s">
        <v>66</v>
      </c>
      <c r="F586" s="92">
        <v>149</v>
      </c>
      <c r="G586" s="92" t="s">
        <v>758</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1021</v>
      </c>
      <c r="D587" s="92">
        <v>12</v>
      </c>
      <c r="E587" s="92" t="s">
        <v>71</v>
      </c>
      <c r="F587" s="92">
        <v>23</v>
      </c>
      <c r="G587" s="92" t="s">
        <v>173</v>
      </c>
      <c r="H587" s="92"/>
      <c r="I587" s="92">
        <v>3036</v>
      </c>
      <c r="J587" s="92">
        <v>11594031</v>
      </c>
      <c r="K587" s="92" t="s">
        <v>1061</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1021</v>
      </c>
      <c r="D588" s="92">
        <v>14</v>
      </c>
      <c r="E588" s="92" t="s">
        <v>571</v>
      </c>
      <c r="F588" s="92">
        <v>19</v>
      </c>
      <c r="G588" s="92" t="s">
        <v>176</v>
      </c>
      <c r="H588" s="92"/>
      <c r="I588" s="92">
        <v>14643</v>
      </c>
      <c r="J588" s="92">
        <v>10952777</v>
      </c>
      <c r="K588" s="92" t="s">
        <v>1061</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1021</v>
      </c>
      <c r="D589" s="92">
        <v>4</v>
      </c>
      <c r="E589" s="92" t="s">
        <v>66</v>
      </c>
      <c r="F589" s="92">
        <v>27</v>
      </c>
      <c r="G589" s="92" t="s">
        <v>700</v>
      </c>
      <c r="H589" s="92"/>
      <c r="I589" s="92">
        <v>0</v>
      </c>
      <c r="J589" s="92">
        <v>11594031</v>
      </c>
      <c r="K589" s="92" t="s">
        <v>1061</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1021</v>
      </c>
      <c r="D590" s="92">
        <v>9</v>
      </c>
      <c r="E590" s="92" t="s">
        <v>588</v>
      </c>
      <c r="F590" s="92">
        <v>165</v>
      </c>
      <c r="G590" s="92" t="s">
        <v>703</v>
      </c>
      <c r="H590" s="92"/>
      <c r="I590" s="92">
        <v>16239</v>
      </c>
      <c r="J590" s="92">
        <v>5673000</v>
      </c>
      <c r="K590" s="92" t="s">
        <v>1061</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1021</v>
      </c>
      <c r="D591" s="92">
        <v>9</v>
      </c>
      <c r="E591" s="92" t="s">
        <v>588</v>
      </c>
      <c r="F591" s="92">
        <v>189</v>
      </c>
      <c r="G591" s="92" t="s">
        <v>1166</v>
      </c>
      <c r="H591" s="92"/>
      <c r="I591" s="92">
        <v>30700</v>
      </c>
      <c r="J591" s="92">
        <v>0</v>
      </c>
      <c r="K591" s="92" t="s">
        <v>1061</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1038</v>
      </c>
      <c r="D592" s="92">
        <v>2</v>
      </c>
      <c r="E592" s="92" t="s">
        <v>53</v>
      </c>
      <c r="F592" s="92">
        <v>25</v>
      </c>
      <c r="G592" s="92" t="s">
        <v>361</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1121</v>
      </c>
    </row>
    <row r="593" spans="1:35" x14ac:dyDescent="0.25">
      <c r="A593" t="str">
        <f t="shared" si="12"/>
        <v>25-11-91</v>
      </c>
      <c r="B593">
        <v>25</v>
      </c>
      <c r="C593" s="92" t="s">
        <v>1038</v>
      </c>
      <c r="D593" s="92">
        <v>11</v>
      </c>
      <c r="E593" s="92" t="s">
        <v>1062</v>
      </c>
      <c r="F593" s="92">
        <v>91</v>
      </c>
      <c r="G593" s="92" t="s">
        <v>1236</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1023</v>
      </c>
      <c r="D594" s="92">
        <v>4</v>
      </c>
      <c r="E594" s="92" t="s">
        <v>66</v>
      </c>
      <c r="F594" s="92">
        <v>29</v>
      </c>
      <c r="G594" s="92" t="s">
        <v>725</v>
      </c>
      <c r="H594" s="92"/>
      <c r="I594" s="92">
        <v>0</v>
      </c>
      <c r="J594" s="92">
        <v>70114138</v>
      </c>
      <c r="K594" s="92" t="s">
        <v>1061</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1017</v>
      </c>
      <c r="D595" s="92">
        <v>7</v>
      </c>
      <c r="E595" s="92" t="s">
        <v>586</v>
      </c>
      <c r="F595" s="92">
        <v>64</v>
      </c>
      <c r="G595" s="92" t="s">
        <v>632</v>
      </c>
      <c r="H595" s="92"/>
      <c r="I595" s="92">
        <v>4</v>
      </c>
      <c r="J595" s="92">
        <v>5160822</v>
      </c>
      <c r="K595" s="92" t="s">
        <v>1061</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1017</v>
      </c>
      <c r="D596" s="92">
        <v>9</v>
      </c>
      <c r="E596" s="92" t="s">
        <v>588</v>
      </c>
      <c r="F596" s="92">
        <v>123</v>
      </c>
      <c r="G596" s="92" t="s">
        <v>636</v>
      </c>
      <c r="H596" s="92"/>
      <c r="I596" s="92">
        <v>0</v>
      </c>
      <c r="J596" s="92">
        <v>0</v>
      </c>
      <c r="K596" s="92" t="s">
        <v>1061</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1018</v>
      </c>
      <c r="D597" s="92">
        <v>7</v>
      </c>
      <c r="E597" s="92" t="s">
        <v>586</v>
      </c>
      <c r="F597" s="92">
        <v>65</v>
      </c>
      <c r="G597" s="92" t="s">
        <v>107</v>
      </c>
      <c r="H597" s="92"/>
      <c r="I597" s="92">
        <v>817</v>
      </c>
      <c r="J597" s="92">
        <v>45432647</v>
      </c>
      <c r="K597" s="92" t="s">
        <v>1061</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1023</v>
      </c>
      <c r="D598" s="92">
        <v>7</v>
      </c>
      <c r="E598" s="92" t="s">
        <v>586</v>
      </c>
      <c r="F598" s="92">
        <v>66</v>
      </c>
      <c r="G598" s="92" t="s">
        <v>203</v>
      </c>
      <c r="H598" s="92"/>
      <c r="I598" s="92">
        <v>0</v>
      </c>
      <c r="J598" s="92">
        <v>15123342</v>
      </c>
      <c r="K598" s="92" t="s">
        <v>1061</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1035</v>
      </c>
      <c r="D599" s="92">
        <v>9</v>
      </c>
      <c r="E599" s="92" t="s">
        <v>588</v>
      </c>
      <c r="F599" s="92">
        <v>110</v>
      </c>
      <c r="G599" s="92" t="s">
        <v>845</v>
      </c>
      <c r="H599" s="92"/>
      <c r="I599" s="92">
        <v>5703</v>
      </c>
      <c r="J599" s="92">
        <v>0</v>
      </c>
      <c r="K599" s="92" t="s">
        <v>1061</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1042</v>
      </c>
      <c r="D600" s="92">
        <v>17</v>
      </c>
      <c r="E600" s="92" t="s">
        <v>593</v>
      </c>
      <c r="F600" s="92">
        <v>5</v>
      </c>
      <c r="G600" s="92" t="s">
        <v>914</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1195</v>
      </c>
      <c r="D601" s="92">
        <v>17</v>
      </c>
      <c r="E601" s="92" t="s">
        <v>593</v>
      </c>
      <c r="F601" s="92">
        <v>5</v>
      </c>
      <c r="G601" s="92" t="s">
        <v>914</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1018</v>
      </c>
      <c r="D602" s="92">
        <v>9</v>
      </c>
      <c r="E602" s="92" t="s">
        <v>588</v>
      </c>
      <c r="F602" s="92">
        <v>131</v>
      </c>
      <c r="G602" s="92" t="s">
        <v>648</v>
      </c>
      <c r="H602" s="92"/>
      <c r="I602" s="92">
        <v>3902</v>
      </c>
      <c r="J602" s="92">
        <v>0</v>
      </c>
      <c r="K602" s="92" t="s">
        <v>1061</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1023</v>
      </c>
      <c r="D603" s="92">
        <v>15</v>
      </c>
      <c r="E603" s="92" t="s">
        <v>152</v>
      </c>
      <c r="F603" s="92">
        <v>7</v>
      </c>
      <c r="G603" s="92" t="s">
        <v>734</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1039</v>
      </c>
      <c r="D604" s="92">
        <v>15</v>
      </c>
      <c r="E604" s="92" t="s">
        <v>152</v>
      </c>
      <c r="F604" s="92">
        <v>7</v>
      </c>
      <c r="G604" s="92" t="s">
        <v>734</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1023</v>
      </c>
      <c r="D605" s="92">
        <v>9</v>
      </c>
      <c r="E605" s="92" t="s">
        <v>588</v>
      </c>
      <c r="F605" s="92">
        <v>114</v>
      </c>
      <c r="G605" s="92" t="s">
        <v>731</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1039</v>
      </c>
      <c r="D606" s="92">
        <v>9</v>
      </c>
      <c r="E606" s="92" t="s">
        <v>588</v>
      </c>
      <c r="F606" s="92">
        <v>114</v>
      </c>
      <c r="G606" s="92" t="s">
        <v>731</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1046</v>
      </c>
      <c r="D607" s="92">
        <v>9</v>
      </c>
      <c r="E607" s="92" t="s">
        <v>588</v>
      </c>
      <c r="F607" s="92">
        <v>114</v>
      </c>
      <c r="G607" s="92" t="s">
        <v>731</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1039</v>
      </c>
      <c r="D608" s="92">
        <v>2</v>
      </c>
      <c r="E608" s="92" t="s">
        <v>53</v>
      </c>
      <c r="F608" s="92">
        <v>26</v>
      </c>
      <c r="G608" s="92" t="s">
        <v>389</v>
      </c>
      <c r="H608" s="92"/>
      <c r="I608" s="92">
        <v>228830</v>
      </c>
      <c r="J608" s="92">
        <v>118822362</v>
      </c>
      <c r="K608" s="92" t="s">
        <v>1061</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1039</v>
      </c>
      <c r="D609" s="92">
        <v>11</v>
      </c>
      <c r="E609" s="92" t="s">
        <v>1062</v>
      </c>
      <c r="F609" s="92">
        <v>92</v>
      </c>
      <c r="G609" s="92" t="s">
        <v>1237</v>
      </c>
      <c r="H609" s="92">
        <v>1</v>
      </c>
      <c r="I609" s="92">
        <v>0</v>
      </c>
      <c r="J609" s="92">
        <v>118822362</v>
      </c>
      <c r="K609" s="92" t="s">
        <v>1061</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1039</v>
      </c>
      <c r="D610" s="92">
        <v>4</v>
      </c>
      <c r="E610" s="92" t="s">
        <v>66</v>
      </c>
      <c r="F610" s="92">
        <v>96</v>
      </c>
      <c r="G610" s="92" t="s">
        <v>868</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1046</v>
      </c>
      <c r="D611" s="92">
        <v>4</v>
      </c>
      <c r="E611" s="92" t="s">
        <v>66</v>
      </c>
      <c r="F611" s="92">
        <v>96</v>
      </c>
      <c r="G611" s="92" t="s">
        <v>868</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1040</v>
      </c>
      <c r="D612" s="92">
        <v>9</v>
      </c>
      <c r="E612" s="92" t="s">
        <v>588</v>
      </c>
      <c r="F612" s="92">
        <v>39</v>
      </c>
      <c r="G612" s="92" t="s">
        <v>884</v>
      </c>
      <c r="H612" s="92"/>
      <c r="I612" s="92">
        <v>377</v>
      </c>
      <c r="J612" s="92">
        <v>910644</v>
      </c>
      <c r="K612" s="92" t="s">
        <v>1061</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1040</v>
      </c>
      <c r="D613" s="92">
        <v>2</v>
      </c>
      <c r="E613" s="92" t="s">
        <v>53</v>
      </c>
      <c r="F613" s="92">
        <v>27</v>
      </c>
      <c r="G613" s="92" t="s">
        <v>397</v>
      </c>
      <c r="H613" s="92"/>
      <c r="I613" s="92">
        <v>254806</v>
      </c>
      <c r="J613" s="92">
        <v>147899680</v>
      </c>
      <c r="K613" s="92" t="s">
        <v>1061</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1040</v>
      </c>
      <c r="D614" s="92">
        <v>7</v>
      </c>
      <c r="E614" s="92" t="s">
        <v>586</v>
      </c>
      <c r="F614" s="92">
        <v>205</v>
      </c>
      <c r="G614" s="92" t="s">
        <v>883</v>
      </c>
      <c r="H614" s="92"/>
      <c r="I614" s="92">
        <v>66453</v>
      </c>
      <c r="J614" s="92">
        <v>70342511</v>
      </c>
      <c r="K614" s="92" t="s">
        <v>1061</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1040</v>
      </c>
      <c r="D615" s="92">
        <v>17</v>
      </c>
      <c r="E615" s="92" t="s">
        <v>593</v>
      </c>
      <c r="F615" s="92">
        <v>13</v>
      </c>
      <c r="G615" s="92" t="s">
        <v>1239</v>
      </c>
      <c r="H615" s="92"/>
      <c r="I615" s="92">
        <v>20180</v>
      </c>
      <c r="J615" s="92">
        <v>77967952</v>
      </c>
      <c r="K615" s="92" t="s">
        <v>1061</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1040</v>
      </c>
      <c r="D616" s="92">
        <v>11</v>
      </c>
      <c r="E616" s="92" t="s">
        <v>1062</v>
      </c>
      <c r="F616" s="92">
        <v>32</v>
      </c>
      <c r="G616" s="92" t="s">
        <v>1238</v>
      </c>
      <c r="H616" s="92"/>
      <c r="I616" s="92">
        <v>0</v>
      </c>
      <c r="J616" s="92">
        <v>78380408</v>
      </c>
      <c r="K616" s="92" t="s">
        <v>1061</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1037</v>
      </c>
      <c r="D617" s="92">
        <v>4</v>
      </c>
      <c r="E617" s="92" t="s">
        <v>66</v>
      </c>
      <c r="F617" s="92">
        <v>100</v>
      </c>
      <c r="G617" s="92" t="s">
        <v>855</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1040</v>
      </c>
      <c r="D618" s="92">
        <v>4</v>
      </c>
      <c r="E618" s="92" t="s">
        <v>66</v>
      </c>
      <c r="F618" s="92">
        <v>100</v>
      </c>
      <c r="G618" s="92" t="s">
        <v>855</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1045</v>
      </c>
      <c r="D619" s="92">
        <v>4</v>
      </c>
      <c r="E619" s="92" t="s">
        <v>66</v>
      </c>
      <c r="F619" s="92">
        <v>100</v>
      </c>
      <c r="G619" s="92" t="s">
        <v>855</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1016</v>
      </c>
      <c r="D620" s="92">
        <v>7</v>
      </c>
      <c r="E620" s="92" t="s">
        <v>586</v>
      </c>
      <c r="F620" s="92">
        <v>67</v>
      </c>
      <c r="G620" s="92" t="s">
        <v>84</v>
      </c>
      <c r="H620" s="92"/>
      <c r="I620" s="92">
        <v>689</v>
      </c>
      <c r="J620" s="92">
        <v>107457129</v>
      </c>
      <c r="K620" s="92" t="s">
        <v>1061</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1031</v>
      </c>
      <c r="D621" s="92">
        <v>20</v>
      </c>
      <c r="E621" s="92" t="s">
        <v>153</v>
      </c>
      <c r="F621" s="92">
        <v>12</v>
      </c>
      <c r="G621" s="92" t="s">
        <v>810</v>
      </c>
      <c r="H621" s="92"/>
      <c r="I621" s="92">
        <v>105</v>
      </c>
      <c r="J621" s="92">
        <v>53280</v>
      </c>
      <c r="K621" s="92" t="s">
        <v>1061</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1038</v>
      </c>
      <c r="D622" s="92">
        <v>7</v>
      </c>
      <c r="E622" s="92" t="s">
        <v>586</v>
      </c>
      <c r="F622" s="92">
        <v>68</v>
      </c>
      <c r="G622" s="92" t="s">
        <v>372</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1044</v>
      </c>
      <c r="D623" s="92">
        <v>7</v>
      </c>
      <c r="E623" s="92" t="s">
        <v>586</v>
      </c>
      <c r="F623" s="92">
        <v>68</v>
      </c>
      <c r="G623" s="92" t="s">
        <v>372</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1038</v>
      </c>
      <c r="D624" s="92">
        <v>9</v>
      </c>
      <c r="E624" s="92" t="s">
        <v>588</v>
      </c>
      <c r="F624" s="92">
        <v>41</v>
      </c>
      <c r="G624" s="92" t="s">
        <v>382</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1044</v>
      </c>
      <c r="D625" s="92">
        <v>9</v>
      </c>
      <c r="E625" s="92" t="s">
        <v>588</v>
      </c>
      <c r="F625" s="92">
        <v>41</v>
      </c>
      <c r="G625" s="92" t="s">
        <v>382</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1044</v>
      </c>
      <c r="D626" s="92">
        <v>11</v>
      </c>
      <c r="E626" s="92" t="s">
        <v>1062</v>
      </c>
      <c r="F626" s="92">
        <v>33</v>
      </c>
      <c r="G626" s="92" t="s">
        <v>928</v>
      </c>
      <c r="H626" s="92"/>
      <c r="I626" s="92">
        <v>24041</v>
      </c>
      <c r="J626" s="92">
        <v>2573919</v>
      </c>
      <c r="K626" s="92" t="s">
        <v>1061</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1038</v>
      </c>
      <c r="D627" s="92">
        <v>4</v>
      </c>
      <c r="E627" s="92" t="s">
        <v>66</v>
      </c>
      <c r="F627" s="92">
        <v>123</v>
      </c>
      <c r="G627" s="92" t="s">
        <v>861</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1044</v>
      </c>
      <c r="D628" s="92">
        <v>4</v>
      </c>
      <c r="E628" s="92" t="s">
        <v>66</v>
      </c>
      <c r="F628" s="92">
        <v>123</v>
      </c>
      <c r="G628" s="92" t="s">
        <v>861</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1041</v>
      </c>
      <c r="D629" s="92">
        <v>4</v>
      </c>
      <c r="E629" s="92" t="s">
        <v>66</v>
      </c>
      <c r="F629" s="92">
        <v>159</v>
      </c>
      <c r="G629" s="92" t="s">
        <v>889</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1051</v>
      </c>
      <c r="D630" s="92">
        <v>4</v>
      </c>
      <c r="E630" s="92" t="s">
        <v>66</v>
      </c>
      <c r="F630" s="92">
        <v>159</v>
      </c>
      <c r="G630" s="92" t="s">
        <v>889</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1031</v>
      </c>
      <c r="D631" s="92">
        <v>4</v>
      </c>
      <c r="E631" s="92" t="s">
        <v>66</v>
      </c>
      <c r="F631" s="92">
        <v>113</v>
      </c>
      <c r="G631" s="92" t="s">
        <v>786</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1042</v>
      </c>
      <c r="D632" s="92">
        <v>4</v>
      </c>
      <c r="E632" s="92" t="s">
        <v>66</v>
      </c>
      <c r="F632" s="92">
        <v>113</v>
      </c>
      <c r="G632" s="92" t="s">
        <v>786</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1195</v>
      </c>
      <c r="D633" s="92">
        <v>4</v>
      </c>
      <c r="E633" s="92" t="s">
        <v>66</v>
      </c>
      <c r="F633" s="92">
        <v>113</v>
      </c>
      <c r="G633" s="92" t="s">
        <v>786</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1057</v>
      </c>
      <c r="D634" s="92">
        <v>7</v>
      </c>
      <c r="E634" s="92" t="s">
        <v>586</v>
      </c>
      <c r="F634" s="92">
        <v>70</v>
      </c>
      <c r="G634" s="92" t="s">
        <v>164</v>
      </c>
      <c r="H634" s="92"/>
      <c r="I634" s="92">
        <v>9</v>
      </c>
      <c r="J634" s="92">
        <v>11624306</v>
      </c>
      <c r="K634" s="92" t="s">
        <v>1061</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1057</v>
      </c>
      <c r="D635" s="92">
        <v>9</v>
      </c>
      <c r="E635" s="92" t="s">
        <v>588</v>
      </c>
      <c r="F635" s="92">
        <v>194</v>
      </c>
      <c r="G635" s="92" t="s">
        <v>1345</v>
      </c>
      <c r="H635" s="92"/>
      <c r="I635" s="92">
        <v>0</v>
      </c>
      <c r="J635" s="92">
        <v>0</v>
      </c>
      <c r="K635" s="92" t="s">
        <v>1061</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1038</v>
      </c>
      <c r="D636" s="92">
        <v>7</v>
      </c>
      <c r="E636" s="92" t="s">
        <v>586</v>
      </c>
      <c r="F636" s="92">
        <v>71</v>
      </c>
      <c r="G636" s="92" t="s">
        <v>373</v>
      </c>
      <c r="H636" s="92"/>
      <c r="I636" s="92">
        <v>0</v>
      </c>
      <c r="J636" s="92">
        <v>171627</v>
      </c>
      <c r="K636" s="92" t="s">
        <v>1061</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1038</v>
      </c>
      <c r="D637" s="92">
        <v>11</v>
      </c>
      <c r="E637" s="92" t="s">
        <v>1062</v>
      </c>
      <c r="F637" s="92">
        <v>34</v>
      </c>
      <c r="G637" s="92" t="s">
        <v>864</v>
      </c>
      <c r="H637" s="92"/>
      <c r="I637" s="92">
        <v>900</v>
      </c>
      <c r="J637" s="92">
        <v>873177</v>
      </c>
      <c r="K637" s="92" t="s">
        <v>1061</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1041</v>
      </c>
      <c r="D638" s="92">
        <v>19</v>
      </c>
      <c r="E638" s="92" t="s">
        <v>1063</v>
      </c>
      <c r="F638" s="92">
        <v>10</v>
      </c>
      <c r="G638" s="92" t="s">
        <v>896</v>
      </c>
      <c r="H638" s="92"/>
      <c r="I638" s="92">
        <v>1511</v>
      </c>
      <c r="J638" s="92">
        <v>507638</v>
      </c>
      <c r="K638" s="92" t="s">
        <v>1061</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1038</v>
      </c>
      <c r="D639" s="92">
        <v>11</v>
      </c>
      <c r="E639" s="92" t="s">
        <v>1062</v>
      </c>
      <c r="F639" s="92">
        <v>35</v>
      </c>
      <c r="G639" s="92" t="s">
        <v>865</v>
      </c>
      <c r="H639" s="92"/>
      <c r="I639" s="92">
        <v>330</v>
      </c>
      <c r="J639" s="92">
        <v>2905057</v>
      </c>
      <c r="K639" s="92" t="s">
        <v>1061</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1045</v>
      </c>
      <c r="D640" s="92">
        <v>11</v>
      </c>
      <c r="E640" s="92" t="s">
        <v>1062</v>
      </c>
      <c r="F640" s="92">
        <v>36</v>
      </c>
      <c r="G640" s="92" t="s">
        <v>473</v>
      </c>
      <c r="H640" s="92"/>
      <c r="I640" s="92">
        <v>1133</v>
      </c>
      <c r="J640" s="92">
        <v>43331484</v>
      </c>
      <c r="K640" s="92" t="s">
        <v>1061</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1196</v>
      </c>
      <c r="D641" s="92">
        <v>4</v>
      </c>
      <c r="E641" s="92" t="s">
        <v>66</v>
      </c>
      <c r="F641" s="92">
        <v>169</v>
      </c>
      <c r="G641" s="92" t="s">
        <v>988</v>
      </c>
      <c r="H641" s="92"/>
      <c r="I641" s="92">
        <v>0</v>
      </c>
      <c r="J641" s="92">
        <v>23168377</v>
      </c>
      <c r="K641" s="92" t="s">
        <v>1061</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1033</v>
      </c>
      <c r="D642" s="92">
        <v>9</v>
      </c>
      <c r="E642" s="92" t="s">
        <v>588</v>
      </c>
      <c r="F642" s="92">
        <v>104</v>
      </c>
      <c r="G642" s="92" t="s">
        <v>827</v>
      </c>
      <c r="H642" s="92"/>
      <c r="I642" s="92">
        <v>0</v>
      </c>
      <c r="J642" s="92">
        <v>0</v>
      </c>
      <c r="K642" s="92" t="s">
        <v>1061</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1041</v>
      </c>
      <c r="D643" s="92">
        <v>19</v>
      </c>
      <c r="E643" s="92" t="s">
        <v>1063</v>
      </c>
      <c r="F643" s="92">
        <v>11</v>
      </c>
      <c r="G643" s="92" t="s">
        <v>430</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1051</v>
      </c>
      <c r="D644" s="92">
        <v>19</v>
      </c>
      <c r="E644" s="92" t="s">
        <v>1063</v>
      </c>
      <c r="F644" s="92">
        <v>11</v>
      </c>
      <c r="G644" s="92" t="s">
        <v>430</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1051</v>
      </c>
      <c r="D645" s="92">
        <v>21</v>
      </c>
      <c r="E645" s="92" t="s">
        <v>594</v>
      </c>
      <c r="F645" s="92">
        <v>4</v>
      </c>
      <c r="G645" s="92" t="s">
        <v>979</v>
      </c>
      <c r="H645" s="92"/>
      <c r="I645" s="92">
        <v>0</v>
      </c>
      <c r="J645" s="92">
        <v>2140517</v>
      </c>
      <c r="K645" s="92" t="s">
        <v>1061</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1041</v>
      </c>
      <c r="D646" s="92">
        <v>2</v>
      </c>
      <c r="E646" s="92" t="s">
        <v>53</v>
      </c>
      <c r="F646" s="92">
        <v>28</v>
      </c>
      <c r="G646" s="92" t="s">
        <v>404</v>
      </c>
      <c r="H646" s="92"/>
      <c r="I646" s="92">
        <v>11441505</v>
      </c>
      <c r="J646" s="92">
        <v>810323318</v>
      </c>
      <c r="K646" s="92" t="s">
        <v>1061</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1041</v>
      </c>
      <c r="D647" s="92">
        <v>5</v>
      </c>
      <c r="E647" s="92" t="s">
        <v>200</v>
      </c>
      <c r="F647" s="92">
        <v>6</v>
      </c>
      <c r="G647" s="92" t="s">
        <v>1240</v>
      </c>
      <c r="H647" s="92"/>
      <c r="I647" s="92">
        <v>180647</v>
      </c>
      <c r="J647" s="92">
        <v>810323318</v>
      </c>
      <c r="K647" s="92" t="s">
        <v>1061</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c r="AI647">
        <v>7.7284000000000001E-5</v>
      </c>
    </row>
    <row r="648" spans="1:35" x14ac:dyDescent="0.25">
      <c r="A648" t="str">
        <f t="shared" si="13"/>
        <v>28-9-172</v>
      </c>
      <c r="B648">
        <v>28</v>
      </c>
      <c r="C648" s="92" t="s">
        <v>1041</v>
      </c>
      <c r="D648" s="92">
        <v>9</v>
      </c>
      <c r="E648" s="92" t="s">
        <v>588</v>
      </c>
      <c r="F648" s="92">
        <v>172</v>
      </c>
      <c r="G648" s="92" t="s">
        <v>892</v>
      </c>
      <c r="H648" s="92"/>
      <c r="I648" s="92">
        <v>107724</v>
      </c>
      <c r="J648" s="92">
        <v>83736074</v>
      </c>
      <c r="K648" s="92" t="s">
        <v>1061</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1041</v>
      </c>
      <c r="D649" s="92">
        <v>12</v>
      </c>
      <c r="E649" s="92" t="s">
        <v>71</v>
      </c>
      <c r="F649" s="92">
        <v>3</v>
      </c>
      <c r="G649" s="92" t="s">
        <v>1103</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1022</v>
      </c>
      <c r="D650" s="92">
        <v>19</v>
      </c>
      <c r="E650" s="92" t="s">
        <v>1063</v>
      </c>
      <c r="F650" s="92">
        <v>41</v>
      </c>
      <c r="G650" s="92" t="s">
        <v>722</v>
      </c>
      <c r="H650" s="92"/>
      <c r="I650" s="92">
        <v>803</v>
      </c>
      <c r="J650" s="92">
        <v>7777788</v>
      </c>
      <c r="K650" s="92" t="s">
        <v>1061</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1019</v>
      </c>
      <c r="D651" s="92">
        <v>4</v>
      </c>
      <c r="E651" s="92" t="s">
        <v>66</v>
      </c>
      <c r="F651" s="92">
        <v>108</v>
      </c>
      <c r="G651" s="92" t="s">
        <v>666</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1041</v>
      </c>
      <c r="D652" s="92">
        <v>4</v>
      </c>
      <c r="E652" s="92" t="s">
        <v>66</v>
      </c>
      <c r="F652" s="92">
        <v>108</v>
      </c>
      <c r="G652" s="92" t="s">
        <v>666</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1041</v>
      </c>
      <c r="D653" s="92">
        <v>21</v>
      </c>
      <c r="E653" s="92" t="s">
        <v>594</v>
      </c>
      <c r="F653" s="92">
        <v>5</v>
      </c>
      <c r="G653" s="92" t="s">
        <v>432</v>
      </c>
      <c r="H653" s="92"/>
      <c r="I653" s="92">
        <v>12397</v>
      </c>
      <c r="J653" s="92">
        <v>4198167</v>
      </c>
      <c r="K653" s="92" t="s">
        <v>1061</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1016</v>
      </c>
      <c r="D654" s="92">
        <v>7</v>
      </c>
      <c r="E654" s="92" t="s">
        <v>586</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1027</v>
      </c>
      <c r="D655" s="92">
        <v>7</v>
      </c>
      <c r="E655" s="92" t="s">
        <v>586</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1016</v>
      </c>
      <c r="D656" s="92">
        <v>9</v>
      </c>
      <c r="E656" s="92" t="s">
        <v>588</v>
      </c>
      <c r="F656" s="92">
        <v>43</v>
      </c>
      <c r="G656" s="92" t="s">
        <v>610</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1027</v>
      </c>
      <c r="D657" s="92">
        <v>9</v>
      </c>
      <c r="E657" s="92" t="s">
        <v>588</v>
      </c>
      <c r="F657" s="92">
        <v>43</v>
      </c>
      <c r="G657" s="92" t="s">
        <v>610</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1016</v>
      </c>
      <c r="D658" s="92">
        <v>14</v>
      </c>
      <c r="E658" s="92" t="s">
        <v>571</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1027</v>
      </c>
      <c r="D659" s="92">
        <v>14</v>
      </c>
      <c r="E659" s="92" t="s">
        <v>571</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1016</v>
      </c>
      <c r="D660" s="92">
        <v>4</v>
      </c>
      <c r="E660" s="92" t="s">
        <v>66</v>
      </c>
      <c r="F660" s="92">
        <v>5</v>
      </c>
      <c r="G660" s="92" t="s">
        <v>605</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1027</v>
      </c>
      <c r="D661" s="92">
        <v>4</v>
      </c>
      <c r="E661" s="92" t="s">
        <v>66</v>
      </c>
      <c r="F661" s="92">
        <v>5</v>
      </c>
      <c r="G661" s="92" t="s">
        <v>605</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1028</v>
      </c>
      <c r="D662" s="92">
        <v>7</v>
      </c>
      <c r="E662" s="92" t="s">
        <v>586</v>
      </c>
      <c r="F662" s="92">
        <v>74</v>
      </c>
      <c r="G662" s="92" t="s">
        <v>259</v>
      </c>
      <c r="H662" s="92"/>
      <c r="I662" s="92">
        <v>0</v>
      </c>
      <c r="J662" s="92">
        <v>1189295</v>
      </c>
      <c r="K662" s="92" t="s">
        <v>1061</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1022</v>
      </c>
      <c r="D663" s="92">
        <v>4</v>
      </c>
      <c r="E663" s="92" t="s">
        <v>66</v>
      </c>
      <c r="F663" s="92">
        <v>198</v>
      </c>
      <c r="G663" s="92" t="s">
        <v>708</v>
      </c>
      <c r="H663" s="92"/>
      <c r="I663" s="92">
        <v>0</v>
      </c>
      <c r="J663" s="92">
        <v>447580218</v>
      </c>
      <c r="K663" s="92" t="s">
        <v>1061</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1022</v>
      </c>
      <c r="D664" s="92">
        <v>4</v>
      </c>
      <c r="E664" s="92" t="s">
        <v>66</v>
      </c>
      <c r="F664" s="92">
        <v>106</v>
      </c>
      <c r="G664" s="92" t="s">
        <v>707</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1041</v>
      </c>
      <c r="D665" s="92">
        <v>4</v>
      </c>
      <c r="E665" s="92" t="s">
        <v>66</v>
      </c>
      <c r="F665" s="92">
        <v>106</v>
      </c>
      <c r="G665" s="92" t="s">
        <v>707</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1041</v>
      </c>
      <c r="D666" s="92">
        <v>11</v>
      </c>
      <c r="E666" s="92" t="s">
        <v>1062</v>
      </c>
      <c r="F666" s="92">
        <v>29</v>
      </c>
      <c r="G666" s="92" t="s">
        <v>426</v>
      </c>
      <c r="H666" s="92"/>
      <c r="I666" s="92">
        <v>1685056</v>
      </c>
      <c r="J666" s="92">
        <v>287990552</v>
      </c>
      <c r="K666" s="92" t="s">
        <v>1061</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1194</v>
      </c>
      <c r="D667" s="92">
        <v>7</v>
      </c>
      <c r="E667" s="92" t="s">
        <v>586</v>
      </c>
      <c r="F667" s="92">
        <v>195</v>
      </c>
      <c r="G667" s="92" t="s">
        <v>124</v>
      </c>
      <c r="H667" s="92"/>
      <c r="I667" s="92">
        <v>16</v>
      </c>
      <c r="J667" s="92">
        <v>483820</v>
      </c>
      <c r="K667" s="92" t="s">
        <v>1061</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1195</v>
      </c>
      <c r="D668" s="92">
        <v>4</v>
      </c>
      <c r="E668" s="92" t="s">
        <v>66</v>
      </c>
      <c r="F668" s="92">
        <v>139</v>
      </c>
      <c r="G668" s="92" t="s">
        <v>943</v>
      </c>
      <c r="H668" s="92"/>
      <c r="I668" s="92">
        <v>0</v>
      </c>
      <c r="J668" s="92">
        <v>15183179</v>
      </c>
      <c r="K668" s="92" t="s">
        <v>1061</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1042</v>
      </c>
      <c r="D669" s="92">
        <v>2</v>
      </c>
      <c r="E669" s="92" t="s">
        <v>53</v>
      </c>
      <c r="F669" s="92">
        <v>29</v>
      </c>
      <c r="G669" s="92" t="s">
        <v>433</v>
      </c>
      <c r="H669" s="92"/>
      <c r="I669" s="92">
        <v>0</v>
      </c>
      <c r="J669" s="92">
        <v>64529578</v>
      </c>
      <c r="K669" s="92" t="s">
        <v>1061</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1042</v>
      </c>
      <c r="D670" s="92">
        <v>14</v>
      </c>
      <c r="E670" s="92" t="s">
        <v>571</v>
      </c>
      <c r="F670" s="92">
        <v>22</v>
      </c>
      <c r="G670" s="92" t="s">
        <v>1241</v>
      </c>
      <c r="H670" s="92"/>
      <c r="I670" s="92">
        <v>184</v>
      </c>
      <c r="J670" s="92">
        <v>64529578</v>
      </c>
      <c r="K670" s="92" t="s">
        <v>1061</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1018</v>
      </c>
      <c r="D671" s="92">
        <v>7</v>
      </c>
      <c r="E671" s="92" t="s">
        <v>586</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1028</v>
      </c>
      <c r="D672" s="92">
        <v>7</v>
      </c>
      <c r="E672" s="92" t="s">
        <v>586</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1018</v>
      </c>
      <c r="D673" s="92">
        <v>9</v>
      </c>
      <c r="E673" s="92" t="s">
        <v>588</v>
      </c>
      <c r="F673" s="92">
        <v>136</v>
      </c>
      <c r="G673" s="92" t="s">
        <v>649</v>
      </c>
      <c r="H673" s="92"/>
      <c r="I673" s="92">
        <v>87507</v>
      </c>
      <c r="J673" s="92">
        <v>231000</v>
      </c>
      <c r="K673" s="92" t="s">
        <v>1061</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1043</v>
      </c>
      <c r="D674" s="92">
        <v>2</v>
      </c>
      <c r="E674" s="92" t="s">
        <v>53</v>
      </c>
      <c r="F674" s="92">
        <v>30</v>
      </c>
      <c r="G674" s="92" t="s">
        <v>452</v>
      </c>
      <c r="H674" s="92"/>
      <c r="I674" s="92">
        <v>0</v>
      </c>
      <c r="J674" s="92">
        <v>43564413</v>
      </c>
      <c r="K674" s="92" t="s">
        <v>1061</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1043</v>
      </c>
      <c r="D675" s="92">
        <v>9</v>
      </c>
      <c r="E675" s="92" t="s">
        <v>588</v>
      </c>
      <c r="F675" s="92">
        <v>127</v>
      </c>
      <c r="G675" s="92" t="s">
        <v>918</v>
      </c>
      <c r="H675" s="92"/>
      <c r="I675" s="92">
        <v>2330</v>
      </c>
      <c r="J675" s="92">
        <v>184000</v>
      </c>
      <c r="K675" s="92" t="s">
        <v>1061</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1043</v>
      </c>
      <c r="D676" s="92">
        <v>14</v>
      </c>
      <c r="E676" s="92" t="s">
        <v>571</v>
      </c>
      <c r="F676" s="92">
        <v>58</v>
      </c>
      <c r="G676" s="92" t="s">
        <v>920</v>
      </c>
      <c r="H676" s="92"/>
      <c r="I676" s="92">
        <v>22519</v>
      </c>
      <c r="J676" s="92">
        <v>43564413</v>
      </c>
      <c r="K676" s="92" t="s">
        <v>1061</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1044</v>
      </c>
      <c r="D677" s="92">
        <v>2</v>
      </c>
      <c r="E677" s="92" t="s">
        <v>53</v>
      </c>
      <c r="F677" s="92">
        <v>31</v>
      </c>
      <c r="G677" s="92" t="s">
        <v>458</v>
      </c>
      <c r="H677" s="92"/>
      <c r="I677" s="92">
        <v>143269</v>
      </c>
      <c r="J677" s="92">
        <v>12118728</v>
      </c>
      <c r="K677" s="92" t="s">
        <v>1061</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1195</v>
      </c>
      <c r="D678" s="92">
        <v>4</v>
      </c>
      <c r="E678" s="92" t="s">
        <v>66</v>
      </c>
      <c r="F678" s="92">
        <v>138</v>
      </c>
      <c r="G678" s="92" t="s">
        <v>942</v>
      </c>
      <c r="H678" s="92"/>
      <c r="I678" s="92">
        <v>0</v>
      </c>
      <c r="J678" s="92">
        <v>75375180</v>
      </c>
      <c r="K678" s="92" t="s">
        <v>1061</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1039</v>
      </c>
      <c r="D679" s="92">
        <v>7</v>
      </c>
      <c r="E679" s="92" t="s">
        <v>586</v>
      </c>
      <c r="F679" s="92">
        <v>77</v>
      </c>
      <c r="G679" s="92" t="s">
        <v>871</v>
      </c>
      <c r="H679" s="92"/>
      <c r="I679" s="92">
        <v>16</v>
      </c>
      <c r="J679" s="92">
        <v>2066442</v>
      </c>
      <c r="K679" s="92" t="s">
        <v>1061</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1194</v>
      </c>
      <c r="D680" s="92">
        <v>7</v>
      </c>
      <c r="E680" s="92" t="s">
        <v>586</v>
      </c>
      <c r="F680" s="92">
        <v>78</v>
      </c>
      <c r="G680" s="92" t="s">
        <v>125</v>
      </c>
      <c r="H680" s="92"/>
      <c r="I680" s="92">
        <v>500</v>
      </c>
      <c r="J680" s="92">
        <v>2289921</v>
      </c>
      <c r="K680" s="92" t="s">
        <v>1061</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1040</v>
      </c>
      <c r="D681" s="92">
        <v>5</v>
      </c>
      <c r="E681" s="92" t="s">
        <v>200</v>
      </c>
      <c r="F681" s="92">
        <v>21</v>
      </c>
      <c r="G681" s="92" t="s">
        <v>401</v>
      </c>
      <c r="H681" s="92"/>
      <c r="I681" s="92">
        <v>36982</v>
      </c>
      <c r="J681" s="92">
        <v>147899680</v>
      </c>
      <c r="K681" s="92" t="s">
        <v>1061</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c r="AI681">
        <v>2.41103E-4</v>
      </c>
    </row>
    <row r="682" spans="1:35" x14ac:dyDescent="0.25">
      <c r="A682" t="str">
        <f t="shared" si="14"/>
        <v>10-7-79</v>
      </c>
      <c r="B682">
        <v>10</v>
      </c>
      <c r="C682" s="92" t="s">
        <v>1023</v>
      </c>
      <c r="D682" s="92">
        <v>7</v>
      </c>
      <c r="E682" s="92" t="s">
        <v>586</v>
      </c>
      <c r="F682" s="92">
        <v>79</v>
      </c>
      <c r="G682" s="92" t="s">
        <v>729</v>
      </c>
      <c r="H682" s="92"/>
      <c r="I682" s="92">
        <v>341</v>
      </c>
      <c r="J682" s="92">
        <v>21485484</v>
      </c>
      <c r="K682" s="92" t="s">
        <v>1061</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1045</v>
      </c>
      <c r="D683" s="92">
        <v>7</v>
      </c>
      <c r="E683" s="92" t="s">
        <v>586</v>
      </c>
      <c r="F683" s="92">
        <v>80</v>
      </c>
      <c r="G683" s="92" t="s">
        <v>933</v>
      </c>
      <c r="H683" s="92"/>
      <c r="I683" s="92">
        <v>0</v>
      </c>
      <c r="J683" s="92">
        <v>81997780</v>
      </c>
      <c r="K683" s="92" t="s">
        <v>1061</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1045</v>
      </c>
      <c r="D684" s="92">
        <v>17</v>
      </c>
      <c r="E684" s="92" t="s">
        <v>593</v>
      </c>
      <c r="F684" s="92">
        <v>11</v>
      </c>
      <c r="G684" s="92" t="s">
        <v>937</v>
      </c>
      <c r="H684" s="92"/>
      <c r="I684" s="92">
        <v>0</v>
      </c>
      <c r="J684" s="92">
        <v>176278415</v>
      </c>
      <c r="K684" s="92" t="s">
        <v>1061</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1045</v>
      </c>
      <c r="D685" s="92">
        <v>2</v>
      </c>
      <c r="E685" s="92" t="s">
        <v>53</v>
      </c>
      <c r="F685" s="92">
        <v>32</v>
      </c>
      <c r="G685" s="92" t="s">
        <v>465</v>
      </c>
      <c r="H685" s="92"/>
      <c r="I685" s="92">
        <v>0</v>
      </c>
      <c r="J685" s="92">
        <v>176278415</v>
      </c>
      <c r="K685" s="92" t="s">
        <v>1061</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1045</v>
      </c>
      <c r="D686" s="92">
        <v>5</v>
      </c>
      <c r="E686" s="92" t="s">
        <v>200</v>
      </c>
      <c r="F686" s="92">
        <v>27</v>
      </c>
      <c r="G686" s="92" t="s">
        <v>469</v>
      </c>
      <c r="H686" s="92"/>
      <c r="I686" s="92">
        <v>0</v>
      </c>
      <c r="J686" s="92">
        <v>176278415</v>
      </c>
      <c r="K686" s="92" t="s">
        <v>1061</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c r="AI686">
        <v>2.6547700000000002E-4</v>
      </c>
    </row>
    <row r="687" spans="1:35" x14ac:dyDescent="0.25">
      <c r="A687" t="str">
        <f t="shared" si="14"/>
        <v>26-7-81</v>
      </c>
      <c r="B687">
        <v>26</v>
      </c>
      <c r="C687" s="92" t="s">
        <v>1039</v>
      </c>
      <c r="D687" s="92">
        <v>7</v>
      </c>
      <c r="E687" s="92" t="s">
        <v>586</v>
      </c>
      <c r="F687" s="92">
        <v>81</v>
      </c>
      <c r="G687" s="92" t="s">
        <v>872</v>
      </c>
      <c r="H687" s="92"/>
      <c r="I687" s="92">
        <v>1933</v>
      </c>
      <c r="J687" s="92">
        <v>7761789</v>
      </c>
      <c r="K687" s="92" t="s">
        <v>1061</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1025</v>
      </c>
      <c r="D688" s="92">
        <v>22</v>
      </c>
      <c r="E688" s="92" t="s">
        <v>595</v>
      </c>
      <c r="F688" s="92">
        <v>3</v>
      </c>
      <c r="G688" s="92" t="s">
        <v>214</v>
      </c>
      <c r="H688" s="92"/>
      <c r="I688" s="92">
        <v>191</v>
      </c>
      <c r="J688" s="92">
        <v>0</v>
      </c>
      <c r="K688" s="92" t="s">
        <v>1061</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1057</v>
      </c>
      <c r="D689" s="92">
        <v>14</v>
      </c>
      <c r="E689" s="92" t="s">
        <v>571</v>
      </c>
      <c r="F689" s="92">
        <v>24</v>
      </c>
      <c r="G689" s="92" t="s">
        <v>695</v>
      </c>
      <c r="H689" s="92"/>
      <c r="I689" s="92">
        <v>0</v>
      </c>
      <c r="J689" s="92">
        <v>76121696</v>
      </c>
      <c r="K689" s="92" t="s">
        <v>1061</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1027</v>
      </c>
      <c r="D690" s="92">
        <v>14</v>
      </c>
      <c r="E690" s="92" t="s">
        <v>571</v>
      </c>
      <c r="F690" s="92">
        <v>52</v>
      </c>
      <c r="G690" s="92" t="s">
        <v>248</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1049</v>
      </c>
      <c r="D691" s="92">
        <v>14</v>
      </c>
      <c r="E691" s="92" t="s">
        <v>571</v>
      </c>
      <c r="F691" s="92">
        <v>52</v>
      </c>
      <c r="G691" s="92" t="s">
        <v>248</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1025</v>
      </c>
      <c r="D692" s="92">
        <v>14</v>
      </c>
      <c r="E692" s="92" t="s">
        <v>571</v>
      </c>
      <c r="F692" s="92">
        <v>6</v>
      </c>
      <c r="G692" s="92" t="s">
        <v>745</v>
      </c>
      <c r="H692" s="92"/>
      <c r="I692" s="92">
        <v>0</v>
      </c>
      <c r="J692" s="92">
        <v>23115371</v>
      </c>
      <c r="K692" s="92" t="s">
        <v>1061</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1025</v>
      </c>
      <c r="D693" s="92">
        <v>9</v>
      </c>
      <c r="E693" s="92" t="s">
        <v>588</v>
      </c>
      <c r="F693" s="92">
        <v>46</v>
      </c>
      <c r="G693" s="92" t="s">
        <v>744</v>
      </c>
      <c r="H693" s="92"/>
      <c r="I693" s="92">
        <v>0</v>
      </c>
      <c r="J693" s="92">
        <v>0</v>
      </c>
      <c r="K693" s="92" t="s">
        <v>1061</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1025</v>
      </c>
      <c r="D694" s="92">
        <v>12</v>
      </c>
      <c r="E694" s="92" t="s">
        <v>71</v>
      </c>
      <c r="F694" s="92">
        <v>4</v>
      </c>
      <c r="G694" s="92" t="s">
        <v>1359</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1032</v>
      </c>
      <c r="D695" s="92">
        <v>12</v>
      </c>
      <c r="E695" s="92" t="s">
        <v>71</v>
      </c>
      <c r="F695" s="92">
        <v>4</v>
      </c>
      <c r="G695" s="92" t="s">
        <v>1359</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1032</v>
      </c>
      <c r="D696" s="92">
        <v>11</v>
      </c>
      <c r="E696" s="92" t="s">
        <v>1062</v>
      </c>
      <c r="F696" s="92">
        <v>38</v>
      </c>
      <c r="G696" s="92" t="s">
        <v>816</v>
      </c>
      <c r="H696" s="92"/>
      <c r="I696" s="92">
        <v>0</v>
      </c>
      <c r="J696" s="92">
        <v>9322070</v>
      </c>
      <c r="K696" s="92" t="s">
        <v>1061</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1027</v>
      </c>
      <c r="D697" s="92">
        <v>7</v>
      </c>
      <c r="E697" s="92" t="s">
        <v>586</v>
      </c>
      <c r="F697" s="92">
        <v>82</v>
      </c>
      <c r="G697" s="92" t="s">
        <v>229</v>
      </c>
      <c r="H697" s="92"/>
      <c r="I697" s="92">
        <v>0</v>
      </c>
      <c r="J697" s="92">
        <v>23983377</v>
      </c>
      <c r="K697" s="92" t="s">
        <v>1061</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1028</v>
      </c>
      <c r="D698" s="92">
        <v>7</v>
      </c>
      <c r="E698" s="92" t="s">
        <v>586</v>
      </c>
      <c r="F698" s="92">
        <v>83</v>
      </c>
      <c r="G698" s="92" t="s">
        <v>260</v>
      </c>
      <c r="H698" s="92"/>
      <c r="I698" s="92">
        <v>0</v>
      </c>
      <c r="J698" s="92">
        <v>12529092</v>
      </c>
      <c r="K698" s="92" t="s">
        <v>1061</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1032</v>
      </c>
      <c r="D699" s="92">
        <v>15</v>
      </c>
      <c r="E699" s="92" t="s">
        <v>152</v>
      </c>
      <c r="F699" s="92">
        <v>9</v>
      </c>
      <c r="G699" s="92" t="s">
        <v>820</v>
      </c>
      <c r="H699" s="92"/>
      <c r="I699" s="92">
        <v>0</v>
      </c>
      <c r="J699" s="92">
        <v>2579973</v>
      </c>
      <c r="K699" s="92" t="s">
        <v>1061</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1032</v>
      </c>
      <c r="D700" s="92">
        <v>14</v>
      </c>
      <c r="E700" s="92" t="s">
        <v>571</v>
      </c>
      <c r="F700" s="92">
        <v>25</v>
      </c>
      <c r="G700" s="92" t="s">
        <v>818</v>
      </c>
      <c r="H700" s="92"/>
      <c r="I700" s="92">
        <v>0</v>
      </c>
      <c r="J700" s="92">
        <v>7504870</v>
      </c>
      <c r="K700" s="92" t="s">
        <v>1061</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1025</v>
      </c>
      <c r="D701" s="92">
        <v>4</v>
      </c>
      <c r="E701" s="92" t="s">
        <v>66</v>
      </c>
      <c r="F701" s="92">
        <v>70</v>
      </c>
      <c r="G701" s="92" t="s">
        <v>742</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1032</v>
      </c>
      <c r="D702" s="92">
        <v>4</v>
      </c>
      <c r="E702" s="92" t="s">
        <v>66</v>
      </c>
      <c r="F702" s="92">
        <v>70</v>
      </c>
      <c r="G702" s="92" t="s">
        <v>742</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1046</v>
      </c>
      <c r="D703" s="92">
        <v>5</v>
      </c>
      <c r="E703" s="92" t="s">
        <v>200</v>
      </c>
      <c r="F703" s="92">
        <v>18</v>
      </c>
      <c r="G703" s="92" t="s">
        <v>480</v>
      </c>
      <c r="H703" s="92"/>
      <c r="I703" s="92">
        <v>0</v>
      </c>
      <c r="J703" s="92">
        <v>53863472</v>
      </c>
      <c r="K703" s="92" t="s">
        <v>1061</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c r="AI703">
        <v>2.8341500000000002E-4</v>
      </c>
    </row>
    <row r="704" spans="1:35" x14ac:dyDescent="0.25">
      <c r="A704" t="str">
        <f t="shared" si="14"/>
        <v>33-2-33</v>
      </c>
      <c r="B704">
        <v>33</v>
      </c>
      <c r="C704" s="92" t="s">
        <v>1046</v>
      </c>
      <c r="D704" s="92">
        <v>2</v>
      </c>
      <c r="E704" s="92" t="s">
        <v>53</v>
      </c>
      <c r="F704" s="92">
        <v>33</v>
      </c>
      <c r="G704" s="92" t="s">
        <v>477</v>
      </c>
      <c r="H704" s="92"/>
      <c r="I704" s="92">
        <v>0</v>
      </c>
      <c r="J704" s="92">
        <v>53863472</v>
      </c>
      <c r="K704" s="92" t="s">
        <v>1061</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1046</v>
      </c>
      <c r="D705" s="92">
        <v>9</v>
      </c>
      <c r="E705" s="92" t="s">
        <v>588</v>
      </c>
      <c r="F705" s="92">
        <v>47</v>
      </c>
      <c r="G705" s="92" t="s">
        <v>1243</v>
      </c>
      <c r="H705" s="92"/>
      <c r="I705" s="92">
        <v>0</v>
      </c>
      <c r="J705" s="92">
        <v>0</v>
      </c>
      <c r="K705" s="92" t="s">
        <v>1061</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1046</v>
      </c>
      <c r="D706" s="92">
        <v>14</v>
      </c>
      <c r="E706" s="92" t="s">
        <v>571</v>
      </c>
      <c r="F706" s="92">
        <v>26</v>
      </c>
      <c r="G706" s="92" t="s">
        <v>1245</v>
      </c>
      <c r="H706" s="92"/>
      <c r="I706" s="92">
        <v>36960</v>
      </c>
      <c r="J706" s="92">
        <v>37836272</v>
      </c>
      <c r="K706" s="92" t="s">
        <v>1061</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1046</v>
      </c>
      <c r="D707" s="92">
        <v>11</v>
      </c>
      <c r="E707" s="92" t="s">
        <v>1062</v>
      </c>
      <c r="F707" s="92">
        <v>95</v>
      </c>
      <c r="G707" s="92" t="s">
        <v>1244</v>
      </c>
      <c r="H707" s="92">
        <v>1</v>
      </c>
      <c r="I707" s="92">
        <v>0</v>
      </c>
      <c r="J707" s="92">
        <v>53863472</v>
      </c>
      <c r="K707" s="92" t="s">
        <v>1061</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1046</v>
      </c>
      <c r="D708" s="92">
        <v>15</v>
      </c>
      <c r="E708" s="92" t="s">
        <v>152</v>
      </c>
      <c r="F708" s="92">
        <v>4</v>
      </c>
      <c r="G708" s="92" t="s">
        <v>1242</v>
      </c>
      <c r="H708" s="92"/>
      <c r="I708" s="92">
        <v>733795</v>
      </c>
      <c r="J708" s="92">
        <v>53863472</v>
      </c>
      <c r="K708" s="92" t="s">
        <v>1061</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1046</v>
      </c>
      <c r="D709" s="92">
        <v>4</v>
      </c>
      <c r="E709" s="92" t="s">
        <v>66</v>
      </c>
      <c r="F709" s="92">
        <v>132</v>
      </c>
      <c r="G709" s="92" t="s">
        <v>938</v>
      </c>
      <c r="H709" s="92"/>
      <c r="I709" s="92">
        <v>0</v>
      </c>
      <c r="J709" s="92">
        <v>37654466</v>
      </c>
      <c r="K709" s="92" t="s">
        <v>1061</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1034</v>
      </c>
      <c r="D710" s="92">
        <v>7</v>
      </c>
      <c r="E710" s="92" t="s">
        <v>586</v>
      </c>
      <c r="F710" s="92">
        <v>86</v>
      </c>
      <c r="G710" s="92" t="s">
        <v>323</v>
      </c>
      <c r="H710" s="92"/>
      <c r="I710" s="92">
        <v>115</v>
      </c>
      <c r="J710" s="92">
        <v>1016003</v>
      </c>
      <c r="K710" s="92" t="s">
        <v>1061</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1018</v>
      </c>
      <c r="D711" s="92">
        <v>7</v>
      </c>
      <c r="E711" s="92" t="s">
        <v>586</v>
      </c>
      <c r="F711" s="92">
        <v>87</v>
      </c>
      <c r="G711" s="92" t="s">
        <v>109</v>
      </c>
      <c r="H711" s="92"/>
      <c r="I711" s="92">
        <v>4993</v>
      </c>
      <c r="J711" s="92">
        <v>101599456</v>
      </c>
      <c r="K711" s="92" t="s">
        <v>1061</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1018</v>
      </c>
      <c r="D712" s="92">
        <v>4</v>
      </c>
      <c r="E712" s="92" t="s">
        <v>66</v>
      </c>
      <c r="F712" s="92">
        <v>10</v>
      </c>
      <c r="G712" s="92" t="s">
        <v>638</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1028</v>
      </c>
      <c r="D713" s="92">
        <v>4</v>
      </c>
      <c r="E713" s="92" t="s">
        <v>66</v>
      </c>
      <c r="F713" s="92">
        <v>10</v>
      </c>
      <c r="G713" s="92" t="s">
        <v>638</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1049</v>
      </c>
      <c r="D714" s="92">
        <v>5</v>
      </c>
      <c r="E714" s="92" t="s">
        <v>200</v>
      </c>
      <c r="F714" s="92">
        <v>36</v>
      </c>
      <c r="G714" s="92" t="s">
        <v>1344</v>
      </c>
      <c r="H714" s="92"/>
      <c r="I714" s="92">
        <v>0</v>
      </c>
      <c r="J714" s="92">
        <v>46439072</v>
      </c>
      <c r="K714" s="92" t="s">
        <v>1061</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c r="AI714">
        <v>3.9999600000000001E-4</v>
      </c>
    </row>
    <row r="715" spans="1:35" x14ac:dyDescent="0.25">
      <c r="A715" t="str">
        <f t="shared" si="14"/>
        <v>14-9-49</v>
      </c>
      <c r="B715">
        <v>14</v>
      </c>
      <c r="C715" s="92" t="s">
        <v>1027</v>
      </c>
      <c r="D715" s="92">
        <v>9</v>
      </c>
      <c r="E715" s="92" t="s">
        <v>588</v>
      </c>
      <c r="F715" s="92">
        <v>49</v>
      </c>
      <c r="G715" s="92" t="s">
        <v>237</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1049</v>
      </c>
      <c r="D716" s="92">
        <v>9</v>
      </c>
      <c r="E716" s="92" t="s">
        <v>588</v>
      </c>
      <c r="F716" s="92">
        <v>49</v>
      </c>
      <c r="G716" s="92" t="s">
        <v>237</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1027</v>
      </c>
      <c r="D717" s="92">
        <v>4</v>
      </c>
      <c r="E717" s="92" t="s">
        <v>66</v>
      </c>
      <c r="F717" s="92">
        <v>144</v>
      </c>
      <c r="G717" s="92" t="s">
        <v>757</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1049</v>
      </c>
      <c r="D718" s="92">
        <v>4</v>
      </c>
      <c r="E718" s="92" t="s">
        <v>66</v>
      </c>
      <c r="F718" s="92">
        <v>144</v>
      </c>
      <c r="G718" s="92" t="s">
        <v>757</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1049</v>
      </c>
      <c r="D719" s="92">
        <v>7</v>
      </c>
      <c r="E719" s="92" t="s">
        <v>586</v>
      </c>
      <c r="F719" s="92">
        <v>88</v>
      </c>
      <c r="G719" s="92" t="s">
        <v>514</v>
      </c>
      <c r="H719" s="92"/>
      <c r="I719" s="92">
        <v>5847</v>
      </c>
      <c r="J719" s="92">
        <v>48236742</v>
      </c>
      <c r="K719" s="92" t="s">
        <v>1061</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1053</v>
      </c>
      <c r="D720" s="92">
        <v>7</v>
      </c>
      <c r="E720" s="92" t="s">
        <v>586</v>
      </c>
      <c r="F720" s="92">
        <v>84</v>
      </c>
      <c r="G720" s="92" t="s">
        <v>568</v>
      </c>
      <c r="H720" s="92"/>
      <c r="I720" s="92">
        <v>2008</v>
      </c>
      <c r="J720" s="92">
        <v>19576917</v>
      </c>
      <c r="K720" s="92" t="s">
        <v>1061</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1319</v>
      </c>
      <c r="B721">
        <v>2</v>
      </c>
      <c r="C721" s="92" t="s">
        <v>1017</v>
      </c>
      <c r="D721" s="92">
        <v>9</v>
      </c>
      <c r="E721" s="92" t="s">
        <v>588</v>
      </c>
      <c r="F721" s="92">
        <v>135</v>
      </c>
      <c r="G721" s="92" t="s">
        <v>1002</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1053</v>
      </c>
      <c r="D722" s="92">
        <v>9</v>
      </c>
      <c r="E722" s="92" t="s">
        <v>588</v>
      </c>
      <c r="F722" s="92">
        <v>135</v>
      </c>
      <c r="G722" s="92" t="s">
        <v>1002</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1053</v>
      </c>
      <c r="D723" s="92">
        <v>12</v>
      </c>
      <c r="E723" s="92" t="s">
        <v>71</v>
      </c>
      <c r="F723" s="92">
        <v>15</v>
      </c>
      <c r="G723" s="92" t="s">
        <v>1158</v>
      </c>
      <c r="H723" s="92"/>
      <c r="I723" s="92">
        <v>78008</v>
      </c>
      <c r="J723" s="92">
        <v>36661732</v>
      </c>
      <c r="K723" s="92" t="s">
        <v>1061</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1017</v>
      </c>
      <c r="D724" s="92">
        <v>4</v>
      </c>
      <c r="E724" s="92" t="s">
        <v>66</v>
      </c>
      <c r="F724" s="92">
        <v>177</v>
      </c>
      <c r="G724" s="92" t="s">
        <v>626</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1053</v>
      </c>
      <c r="D725" s="92">
        <v>4</v>
      </c>
      <c r="E725" s="92" t="s">
        <v>66</v>
      </c>
      <c r="F725" s="92">
        <v>177</v>
      </c>
      <c r="G725" s="92" t="s">
        <v>626</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1018</v>
      </c>
      <c r="D726" s="92">
        <v>7</v>
      </c>
      <c r="E726" s="92" t="s">
        <v>586</v>
      </c>
      <c r="F726" s="92">
        <v>85</v>
      </c>
      <c r="G726" s="92" t="s">
        <v>110</v>
      </c>
      <c r="H726" s="92"/>
      <c r="I726" s="92">
        <v>373</v>
      </c>
      <c r="J726" s="92">
        <v>83543084</v>
      </c>
      <c r="K726" s="92" t="s">
        <v>1061</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1018</v>
      </c>
      <c r="D727" s="92">
        <v>9</v>
      </c>
      <c r="E727" s="92" t="s">
        <v>588</v>
      </c>
      <c r="F727" s="92">
        <v>126</v>
      </c>
      <c r="G727" s="92" t="s">
        <v>646</v>
      </c>
      <c r="H727" s="92"/>
      <c r="I727" s="92">
        <v>11</v>
      </c>
      <c r="J727" s="92">
        <v>628000</v>
      </c>
      <c r="K727" s="92" t="s">
        <v>1061</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1017</v>
      </c>
      <c r="D728" s="92">
        <v>9</v>
      </c>
      <c r="E728" s="92" t="s">
        <v>588</v>
      </c>
      <c r="F728" s="92">
        <v>51</v>
      </c>
      <c r="G728" s="92" t="s">
        <v>635</v>
      </c>
      <c r="H728" s="92"/>
      <c r="I728" s="92">
        <v>0</v>
      </c>
      <c r="J728" s="92">
        <v>0</v>
      </c>
      <c r="K728" s="92" t="s">
        <v>1061</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1017</v>
      </c>
      <c r="D729" s="92">
        <v>5</v>
      </c>
      <c r="E729" s="92" t="s">
        <v>200</v>
      </c>
      <c r="F729" s="92">
        <v>30</v>
      </c>
      <c r="G729" s="92" t="s">
        <v>630</v>
      </c>
      <c r="H729" s="92"/>
      <c r="I729" s="92">
        <v>0</v>
      </c>
      <c r="J729" s="92">
        <v>29988018</v>
      </c>
      <c r="K729" s="92" t="s">
        <v>1061</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c r="AI729">
        <v>2.74579E-4</v>
      </c>
    </row>
    <row r="730" spans="1:35" x14ac:dyDescent="0.25">
      <c r="A730" t="str">
        <f t="shared" si="15"/>
        <v>2-7-89</v>
      </c>
      <c r="B730">
        <v>2</v>
      </c>
      <c r="C730" s="92" t="s">
        <v>1017</v>
      </c>
      <c r="D730" s="92">
        <v>7</v>
      </c>
      <c r="E730" s="92" t="s">
        <v>586</v>
      </c>
      <c r="F730" s="92">
        <v>89</v>
      </c>
      <c r="G730" s="92" t="s">
        <v>633</v>
      </c>
      <c r="H730" s="92"/>
      <c r="I730" s="92">
        <v>1146</v>
      </c>
      <c r="J730" s="92">
        <v>28370706</v>
      </c>
      <c r="K730" s="92" t="s">
        <v>1061</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1017</v>
      </c>
      <c r="D731" s="92">
        <v>14</v>
      </c>
      <c r="E731" s="92" t="s">
        <v>571</v>
      </c>
      <c r="F731" s="92">
        <v>60</v>
      </c>
      <c r="G731" s="92" t="s">
        <v>637</v>
      </c>
      <c r="H731" s="92"/>
      <c r="I731" s="92">
        <v>0</v>
      </c>
      <c r="J731" s="92">
        <v>30525481</v>
      </c>
      <c r="K731" s="92" t="s">
        <v>1061</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1017</v>
      </c>
      <c r="D732" s="92">
        <v>4</v>
      </c>
      <c r="E732" s="92" t="s">
        <v>66</v>
      </c>
      <c r="F732" s="92">
        <v>7</v>
      </c>
      <c r="G732" s="92" t="s">
        <v>624</v>
      </c>
      <c r="H732" s="92"/>
      <c r="I732" s="92">
        <v>0</v>
      </c>
      <c r="J732" s="92">
        <v>30525481</v>
      </c>
      <c r="K732" s="92" t="s">
        <v>1061</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1016</v>
      </c>
      <c r="D733" s="92">
        <v>7</v>
      </c>
      <c r="E733" s="92" t="s">
        <v>586</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1027</v>
      </c>
      <c r="D734" s="92">
        <v>7</v>
      </c>
      <c r="E734" s="92" t="s">
        <v>586</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1016</v>
      </c>
      <c r="D735" s="92">
        <v>9</v>
      </c>
      <c r="E735" s="92" t="s">
        <v>588</v>
      </c>
      <c r="F735" s="92">
        <v>52</v>
      </c>
      <c r="G735" s="92" t="s">
        <v>238</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1027</v>
      </c>
      <c r="D736" s="92">
        <v>9</v>
      </c>
      <c r="E736" s="92" t="s">
        <v>588</v>
      </c>
      <c r="F736" s="92">
        <v>52</v>
      </c>
      <c r="G736" s="92" t="s">
        <v>238</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1027</v>
      </c>
      <c r="D737" s="92">
        <v>8</v>
      </c>
      <c r="E737" s="92" t="s">
        <v>587</v>
      </c>
      <c r="F737" s="92">
        <v>1</v>
      </c>
      <c r="G737" s="92" t="s">
        <v>250</v>
      </c>
      <c r="H737" s="92"/>
      <c r="I737" s="92">
        <v>2039</v>
      </c>
      <c r="J737" s="92">
        <v>6324585</v>
      </c>
      <c r="K737" s="92" t="s">
        <v>1061</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1016</v>
      </c>
      <c r="D738" s="92">
        <v>4</v>
      </c>
      <c r="E738" s="92" t="s">
        <v>66</v>
      </c>
      <c r="F738" s="92">
        <v>44</v>
      </c>
      <c r="G738" s="92" t="s">
        <v>606</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1027</v>
      </c>
      <c r="D739" s="92">
        <v>4</v>
      </c>
      <c r="E739" s="92" t="s">
        <v>66</v>
      </c>
      <c r="F739" s="92">
        <v>44</v>
      </c>
      <c r="G739" s="92" t="s">
        <v>606</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1049</v>
      </c>
      <c r="D740" s="92">
        <v>4</v>
      </c>
      <c r="E740" s="92" t="s">
        <v>66</v>
      </c>
      <c r="F740" s="92">
        <v>44</v>
      </c>
      <c r="G740" s="92" t="s">
        <v>606</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1195</v>
      </c>
      <c r="D741" s="92">
        <v>7</v>
      </c>
      <c r="E741" s="92" t="s">
        <v>586</v>
      </c>
      <c r="F741" s="92">
        <v>92</v>
      </c>
      <c r="G741" s="92" t="s">
        <v>499</v>
      </c>
      <c r="H741" s="92"/>
      <c r="I741" s="92">
        <v>0</v>
      </c>
      <c r="J741" s="92">
        <v>3185</v>
      </c>
      <c r="K741" s="92" t="s">
        <v>1061</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1016</v>
      </c>
      <c r="D742" s="92">
        <v>7</v>
      </c>
      <c r="E742" s="92" t="s">
        <v>586</v>
      </c>
      <c r="F742" s="92">
        <v>93</v>
      </c>
      <c r="G742" s="92" t="s">
        <v>87</v>
      </c>
      <c r="H742" s="92"/>
      <c r="I742" s="92">
        <v>169071</v>
      </c>
      <c r="J742" s="92">
        <v>154078171</v>
      </c>
      <c r="K742" s="92" t="s">
        <v>1061</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1016</v>
      </c>
      <c r="D743" s="92">
        <v>9</v>
      </c>
      <c r="E743" s="92" t="s">
        <v>588</v>
      </c>
      <c r="F743" s="92">
        <v>56</v>
      </c>
      <c r="G743" s="92" t="s">
        <v>611</v>
      </c>
      <c r="H743" s="92"/>
      <c r="I743" s="92">
        <v>785035</v>
      </c>
      <c r="J743" s="92">
        <v>0</v>
      </c>
      <c r="K743" s="92" t="s">
        <v>1061</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1016</v>
      </c>
      <c r="D744" s="92">
        <v>14</v>
      </c>
      <c r="E744" s="92" t="s">
        <v>571</v>
      </c>
      <c r="F744" s="92">
        <v>27</v>
      </c>
      <c r="G744" s="92" t="s">
        <v>92</v>
      </c>
      <c r="H744" s="92"/>
      <c r="I744" s="92">
        <v>0</v>
      </c>
      <c r="J744" s="92">
        <v>163315726</v>
      </c>
      <c r="K744" s="92" t="s">
        <v>1061</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1041</v>
      </c>
      <c r="D745" s="92">
        <v>9</v>
      </c>
      <c r="E745" s="92" t="s">
        <v>588</v>
      </c>
      <c r="F745" s="92">
        <v>169</v>
      </c>
      <c r="G745" s="92" t="s">
        <v>891</v>
      </c>
      <c r="H745" s="92"/>
      <c r="I745" s="92">
        <v>0</v>
      </c>
      <c r="J745" s="92">
        <v>0</v>
      </c>
      <c r="K745" s="92" t="s">
        <v>1061</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1027</v>
      </c>
      <c r="D746" s="92">
        <v>7</v>
      </c>
      <c r="E746" s="92" t="s">
        <v>586</v>
      </c>
      <c r="F746" s="92">
        <v>94</v>
      </c>
      <c r="G746" s="92" t="s">
        <v>230</v>
      </c>
      <c r="H746" s="92"/>
      <c r="I746" s="92">
        <v>0</v>
      </c>
      <c r="J746" s="92">
        <v>26340165</v>
      </c>
      <c r="K746" s="92" t="s">
        <v>1061</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1027</v>
      </c>
      <c r="D747" s="92">
        <v>9</v>
      </c>
      <c r="E747" s="92" t="s">
        <v>588</v>
      </c>
      <c r="F747" s="92">
        <v>57</v>
      </c>
      <c r="G747" s="92" t="s">
        <v>239</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1036</v>
      </c>
      <c r="D748" s="92">
        <v>9</v>
      </c>
      <c r="E748" s="92" t="s">
        <v>588</v>
      </c>
      <c r="F748" s="92">
        <v>57</v>
      </c>
      <c r="G748" s="92" t="s">
        <v>239</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1027</v>
      </c>
      <c r="D749" s="92">
        <v>17</v>
      </c>
      <c r="E749" s="92" t="s">
        <v>593</v>
      </c>
      <c r="F749" s="92">
        <v>23</v>
      </c>
      <c r="G749" s="92" t="s">
        <v>761</v>
      </c>
      <c r="H749" s="92"/>
      <c r="I749" s="92">
        <v>0</v>
      </c>
      <c r="J749" s="92">
        <v>42339776</v>
      </c>
      <c r="K749" s="92" t="s">
        <v>1061</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1027</v>
      </c>
      <c r="D750" s="92">
        <v>4</v>
      </c>
      <c r="E750" s="92" t="s">
        <v>66</v>
      </c>
      <c r="F750" s="92">
        <v>42</v>
      </c>
      <c r="G750" s="92" t="s">
        <v>753</v>
      </c>
      <c r="H750" s="92"/>
      <c r="I750" s="92">
        <v>0</v>
      </c>
      <c r="J750" s="92">
        <v>42339776</v>
      </c>
      <c r="K750" s="92" t="s">
        <v>1061</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1054</v>
      </c>
      <c r="D751" s="92">
        <v>7</v>
      </c>
      <c r="E751" s="92" t="s">
        <v>586</v>
      </c>
      <c r="F751" s="92">
        <v>95</v>
      </c>
      <c r="G751" s="92" t="s">
        <v>580</v>
      </c>
      <c r="H751" s="92"/>
      <c r="I751" s="92">
        <v>4183</v>
      </c>
      <c r="J751" s="92">
        <v>86818167</v>
      </c>
      <c r="K751" s="92" t="s">
        <v>1061</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1054</v>
      </c>
      <c r="D752" s="92">
        <v>9</v>
      </c>
      <c r="E752" s="92" t="s">
        <v>588</v>
      </c>
      <c r="F752" s="92">
        <v>58</v>
      </c>
      <c r="G752" s="92" t="s">
        <v>582</v>
      </c>
      <c r="H752" s="92"/>
      <c r="I752" s="92">
        <v>1221</v>
      </c>
      <c r="J752" s="92">
        <v>0</v>
      </c>
      <c r="K752" s="92" t="s">
        <v>1061</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1054</v>
      </c>
      <c r="D753" s="92">
        <v>14</v>
      </c>
      <c r="E753" s="92" t="s">
        <v>571</v>
      </c>
      <c r="F753" s="92">
        <v>28</v>
      </c>
      <c r="G753" s="92" t="s">
        <v>584</v>
      </c>
      <c r="H753" s="92"/>
      <c r="I753" s="92">
        <v>0</v>
      </c>
      <c r="J753" s="92">
        <v>108800346</v>
      </c>
      <c r="K753" s="92" t="s">
        <v>1061</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1054</v>
      </c>
      <c r="D754" s="92">
        <v>4</v>
      </c>
      <c r="E754" s="92" t="s">
        <v>66</v>
      </c>
      <c r="F754" s="92">
        <v>182</v>
      </c>
      <c r="G754" s="92" t="s">
        <v>1009</v>
      </c>
      <c r="H754" s="92"/>
      <c r="I754" s="92">
        <v>0</v>
      </c>
      <c r="J754" s="92">
        <v>108800346</v>
      </c>
      <c r="K754" s="92" t="s">
        <v>1061</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1039</v>
      </c>
      <c r="D755" s="92">
        <v>15</v>
      </c>
      <c r="E755" s="92" t="s">
        <v>152</v>
      </c>
      <c r="F755" s="92">
        <v>21</v>
      </c>
      <c r="G755" s="92" t="s">
        <v>880</v>
      </c>
      <c r="H755" s="92"/>
      <c r="I755" s="92">
        <v>204271</v>
      </c>
      <c r="J755" s="92">
        <v>102751827</v>
      </c>
      <c r="K755" s="92" t="s">
        <v>1061</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1023</v>
      </c>
      <c r="D756" s="92">
        <v>7</v>
      </c>
      <c r="E756" s="92" t="s">
        <v>586</v>
      </c>
      <c r="F756" s="92">
        <v>96</v>
      </c>
      <c r="G756" s="92" t="s">
        <v>204</v>
      </c>
      <c r="H756" s="92"/>
      <c r="I756" s="92">
        <v>1301</v>
      </c>
      <c r="J756" s="92">
        <v>2450455</v>
      </c>
      <c r="K756" s="92" t="s">
        <v>1061</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1047</v>
      </c>
      <c r="D757" s="92">
        <v>2</v>
      </c>
      <c r="E757" s="92" t="s">
        <v>53</v>
      </c>
      <c r="F757" s="92">
        <v>34</v>
      </c>
      <c r="G757" s="92" t="s">
        <v>487</v>
      </c>
      <c r="H757" s="92"/>
      <c r="I757" s="92">
        <v>0</v>
      </c>
      <c r="J757" s="92">
        <v>103969951</v>
      </c>
      <c r="K757" s="92" t="s">
        <v>1061</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1057</v>
      </c>
      <c r="D758" s="92">
        <v>9</v>
      </c>
      <c r="E758" s="92" t="s">
        <v>588</v>
      </c>
      <c r="F758" s="92">
        <v>59</v>
      </c>
      <c r="G758" s="92" t="s">
        <v>692</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1029</v>
      </c>
      <c r="D759" s="92">
        <v>9</v>
      </c>
      <c r="E759" s="92" t="s">
        <v>588</v>
      </c>
      <c r="F759" s="92">
        <v>59</v>
      </c>
      <c r="G759" s="92" t="s">
        <v>692</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1047</v>
      </c>
      <c r="D760" s="92">
        <v>9</v>
      </c>
      <c r="E760" s="92" t="s">
        <v>588</v>
      </c>
      <c r="F760" s="92">
        <v>59</v>
      </c>
      <c r="G760" s="92" t="s">
        <v>692</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1047</v>
      </c>
      <c r="D761" s="92">
        <v>11</v>
      </c>
      <c r="E761" s="92" t="s">
        <v>1062</v>
      </c>
      <c r="F761" s="92">
        <v>39</v>
      </c>
      <c r="G761" s="92" t="s">
        <v>1246</v>
      </c>
      <c r="H761" s="92"/>
      <c r="I761" s="92">
        <v>0</v>
      </c>
      <c r="J761" s="92">
        <v>103969951</v>
      </c>
      <c r="K761" s="92" t="s">
        <v>1061</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1029</v>
      </c>
      <c r="D762" s="92">
        <v>4</v>
      </c>
      <c r="E762" s="92" t="s">
        <v>66</v>
      </c>
      <c r="F762" s="92">
        <v>135</v>
      </c>
      <c r="G762" s="92" t="s">
        <v>767</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1040</v>
      </c>
      <c r="D763" s="92">
        <v>4</v>
      </c>
      <c r="E763" s="92" t="s">
        <v>66</v>
      </c>
      <c r="F763" s="92">
        <v>135</v>
      </c>
      <c r="G763" s="92" t="s">
        <v>767</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1045</v>
      </c>
      <c r="D764" s="92">
        <v>4</v>
      </c>
      <c r="E764" s="92" t="s">
        <v>66</v>
      </c>
      <c r="F764" s="92">
        <v>135</v>
      </c>
      <c r="G764" s="92" t="s">
        <v>767</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1047</v>
      </c>
      <c r="D765" s="92">
        <v>4</v>
      </c>
      <c r="E765" s="92" t="s">
        <v>66</v>
      </c>
      <c r="F765" s="92">
        <v>135</v>
      </c>
      <c r="G765" s="92" t="s">
        <v>767</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1034</v>
      </c>
      <c r="D766" s="92">
        <v>7</v>
      </c>
      <c r="E766" s="92" t="s">
        <v>586</v>
      </c>
      <c r="F766" s="92">
        <v>97</v>
      </c>
      <c r="G766" s="92" t="s">
        <v>324</v>
      </c>
      <c r="H766" s="92"/>
      <c r="I766" s="92">
        <v>0</v>
      </c>
      <c r="J766" s="92">
        <v>6363950</v>
      </c>
      <c r="K766" s="92" t="s">
        <v>1061</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1020</v>
      </c>
      <c r="D767" s="92">
        <v>7</v>
      </c>
      <c r="E767" s="92" t="s">
        <v>586</v>
      </c>
      <c r="F767" s="92">
        <v>98</v>
      </c>
      <c r="G767" s="92" t="s">
        <v>142</v>
      </c>
      <c r="H767" s="92"/>
      <c r="I767" s="92">
        <v>0</v>
      </c>
      <c r="J767" s="92">
        <v>28924334</v>
      </c>
      <c r="K767" s="92" t="s">
        <v>1061</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1020</v>
      </c>
      <c r="D768" s="92">
        <v>20</v>
      </c>
      <c r="E768" s="92" t="s">
        <v>153</v>
      </c>
      <c r="F768" s="92">
        <v>54</v>
      </c>
      <c r="G768" s="92" t="s">
        <v>689</v>
      </c>
      <c r="H768" s="92"/>
      <c r="I768" s="92">
        <v>60</v>
      </c>
      <c r="J768" s="92">
        <v>182224</v>
      </c>
      <c r="K768" s="92" t="s">
        <v>1061</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1042</v>
      </c>
      <c r="D769" s="92">
        <v>7</v>
      </c>
      <c r="E769" s="92" t="s">
        <v>586</v>
      </c>
      <c r="F769" s="92">
        <v>99</v>
      </c>
      <c r="G769" s="92" t="s">
        <v>444</v>
      </c>
      <c r="H769" s="92"/>
      <c r="I769" s="92">
        <v>0</v>
      </c>
      <c r="J769" s="92">
        <v>27140102</v>
      </c>
      <c r="K769" s="92" t="s">
        <v>1061</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1042</v>
      </c>
      <c r="D770" s="92">
        <v>9</v>
      </c>
      <c r="E770" s="92" t="s">
        <v>588</v>
      </c>
      <c r="F770" s="92">
        <v>60</v>
      </c>
      <c r="G770" s="92" t="s">
        <v>907</v>
      </c>
      <c r="H770" s="92"/>
      <c r="I770" s="92">
        <v>74112</v>
      </c>
      <c r="J770" s="92">
        <v>13686714</v>
      </c>
      <c r="K770" s="92" t="s">
        <v>1061</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1042</v>
      </c>
      <c r="D771" s="92">
        <v>4</v>
      </c>
      <c r="E771" s="92" t="s">
        <v>66</v>
      </c>
      <c r="F771" s="92">
        <v>110</v>
      </c>
      <c r="G771" s="92" t="s">
        <v>898</v>
      </c>
      <c r="H771" s="92"/>
      <c r="I771" s="92">
        <v>0</v>
      </c>
      <c r="J771" s="92">
        <v>28346253</v>
      </c>
      <c r="K771" s="92" t="s">
        <v>1061</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1033</v>
      </c>
      <c r="D772" s="92">
        <v>9</v>
      </c>
      <c r="E772" s="92" t="s">
        <v>588</v>
      </c>
      <c r="F772" s="92">
        <v>61</v>
      </c>
      <c r="G772" s="92" t="s">
        <v>826</v>
      </c>
      <c r="H772" s="92"/>
      <c r="I772" s="92">
        <v>0</v>
      </c>
      <c r="J772" s="92">
        <v>0</v>
      </c>
      <c r="K772" s="92" t="s">
        <v>1061</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1033</v>
      </c>
      <c r="D773" s="92">
        <v>11</v>
      </c>
      <c r="E773" s="92" t="s">
        <v>1062</v>
      </c>
      <c r="F773" s="92">
        <v>40</v>
      </c>
      <c r="G773" s="92" t="s">
        <v>1247</v>
      </c>
      <c r="H773" s="92"/>
      <c r="I773" s="92">
        <v>0</v>
      </c>
      <c r="J773" s="92">
        <v>257034382</v>
      </c>
      <c r="K773" s="92" t="s">
        <v>1061</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1033</v>
      </c>
      <c r="D774" s="92">
        <v>4</v>
      </c>
      <c r="E774" s="92" t="s">
        <v>66</v>
      </c>
      <c r="F774" s="92">
        <v>75</v>
      </c>
      <c r="G774" s="92" t="s">
        <v>822</v>
      </c>
      <c r="H774" s="92"/>
      <c r="I774" s="92">
        <v>0</v>
      </c>
      <c r="J774" s="92">
        <v>300432221</v>
      </c>
      <c r="K774" s="92" t="s">
        <v>1061</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1042</v>
      </c>
      <c r="D775" s="92">
        <v>7</v>
      </c>
      <c r="E775" s="92" t="s">
        <v>586</v>
      </c>
      <c r="F775" s="92">
        <v>100</v>
      </c>
      <c r="G775" s="92" t="s">
        <v>445</v>
      </c>
      <c r="H775" s="92"/>
      <c r="I775" s="92">
        <v>112</v>
      </c>
      <c r="J775" s="92">
        <v>700873</v>
      </c>
      <c r="K775" s="92" t="s">
        <v>1061</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1038</v>
      </c>
      <c r="D776" s="92">
        <v>4</v>
      </c>
      <c r="E776" s="92" t="s">
        <v>66</v>
      </c>
      <c r="F776" s="92">
        <v>203</v>
      </c>
      <c r="G776" s="92" t="s">
        <v>863</v>
      </c>
      <c r="H776" s="92"/>
      <c r="I776" s="92">
        <v>0</v>
      </c>
      <c r="J776" s="92">
        <v>26003096</v>
      </c>
      <c r="K776" s="92" t="s">
        <v>1061</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1051</v>
      </c>
      <c r="D777" s="92">
        <v>4</v>
      </c>
      <c r="E777" s="92" t="s">
        <v>66</v>
      </c>
      <c r="F777" s="92">
        <v>161</v>
      </c>
      <c r="G777" s="92" t="s">
        <v>972</v>
      </c>
      <c r="H777" s="92"/>
      <c r="I777" s="92">
        <v>0</v>
      </c>
      <c r="J777" s="92">
        <v>4764410</v>
      </c>
      <c r="K777" s="92" t="s">
        <v>1061</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1049</v>
      </c>
      <c r="D778" s="92">
        <v>9</v>
      </c>
      <c r="E778" s="92" t="s">
        <v>588</v>
      </c>
      <c r="F778" s="92">
        <v>125</v>
      </c>
      <c r="G778" s="92" t="s">
        <v>956</v>
      </c>
      <c r="H778" s="92"/>
      <c r="I778" s="92">
        <v>0</v>
      </c>
      <c r="J778" s="92">
        <v>0</v>
      </c>
      <c r="K778" s="92" t="s">
        <v>1061</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1029</v>
      </c>
      <c r="D779" s="92">
        <v>11</v>
      </c>
      <c r="E779" s="92" t="s">
        <v>1062</v>
      </c>
      <c r="F779" s="92">
        <v>41</v>
      </c>
      <c r="G779" s="92" t="s">
        <v>780</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1196</v>
      </c>
      <c r="D780" s="92">
        <v>11</v>
      </c>
      <c r="E780" s="92" t="s">
        <v>1062</v>
      </c>
      <c r="F780" s="92">
        <v>41</v>
      </c>
      <c r="G780" s="92" t="s">
        <v>780</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1029</v>
      </c>
      <c r="D781" s="92">
        <v>4</v>
      </c>
      <c r="E781" s="92" t="s">
        <v>66</v>
      </c>
      <c r="F781" s="92">
        <v>175</v>
      </c>
      <c r="G781" s="92" t="s">
        <v>769</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1196</v>
      </c>
      <c r="D782" s="92">
        <v>4</v>
      </c>
      <c r="E782" s="92" t="s">
        <v>66</v>
      </c>
      <c r="F782" s="92">
        <v>175</v>
      </c>
      <c r="G782" s="92" t="s">
        <v>769</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1031</v>
      </c>
      <c r="D783" s="92">
        <v>7</v>
      </c>
      <c r="E783" s="92" t="s">
        <v>586</v>
      </c>
      <c r="F783" s="92">
        <v>106</v>
      </c>
      <c r="G783" s="92" t="s">
        <v>791</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1195</v>
      </c>
      <c r="D784" s="92">
        <v>7</v>
      </c>
      <c r="E784" s="92" t="s">
        <v>586</v>
      </c>
      <c r="F784" s="92">
        <v>106</v>
      </c>
      <c r="G784" s="92" t="s">
        <v>791</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1032</v>
      </c>
      <c r="D785" s="92">
        <v>9</v>
      </c>
      <c r="E785" s="92" t="s">
        <v>588</v>
      </c>
      <c r="F785" s="92">
        <v>66</v>
      </c>
      <c r="G785" s="92" t="s">
        <v>813</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1043</v>
      </c>
      <c r="D786" s="92">
        <v>9</v>
      </c>
      <c r="E786" s="92" t="s">
        <v>588</v>
      </c>
      <c r="F786" s="92">
        <v>66</v>
      </c>
      <c r="G786" s="92" t="s">
        <v>813</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1032</v>
      </c>
      <c r="D787" s="92">
        <v>12</v>
      </c>
      <c r="E787" s="92" t="s">
        <v>71</v>
      </c>
      <c r="F787" s="92">
        <v>7</v>
      </c>
      <c r="G787" s="92" t="s">
        <v>817</v>
      </c>
      <c r="H787" s="92"/>
      <c r="I787" s="92">
        <v>0</v>
      </c>
      <c r="J787" s="92">
        <v>8144570</v>
      </c>
      <c r="K787" s="92" t="s">
        <v>1061</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1043</v>
      </c>
      <c r="D788" s="92">
        <v>9</v>
      </c>
      <c r="E788" s="92" t="s">
        <v>588</v>
      </c>
      <c r="F788" s="92">
        <v>138</v>
      </c>
      <c r="G788" s="92" t="s">
        <v>919</v>
      </c>
      <c r="H788" s="92"/>
      <c r="I788" s="92">
        <v>1977</v>
      </c>
      <c r="J788" s="92">
        <v>0</v>
      </c>
      <c r="K788" s="92" t="s">
        <v>1061</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1027</v>
      </c>
      <c r="D789" s="92">
        <v>9</v>
      </c>
      <c r="E789" s="92" t="s">
        <v>588</v>
      </c>
      <c r="F789" s="92">
        <v>62</v>
      </c>
      <c r="G789" s="92" t="s">
        <v>759</v>
      </c>
      <c r="H789" s="92"/>
      <c r="I789" s="92">
        <v>921280</v>
      </c>
      <c r="J789" s="92">
        <v>61730139</v>
      </c>
      <c r="K789" s="92" t="s">
        <v>1061</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1027</v>
      </c>
      <c r="D790" s="92">
        <v>11</v>
      </c>
      <c r="E790" s="92" t="s">
        <v>1062</v>
      </c>
      <c r="F790" s="92">
        <v>43</v>
      </c>
      <c r="G790" s="92" t="s">
        <v>246</v>
      </c>
      <c r="H790" s="92"/>
      <c r="I790" s="92">
        <v>0</v>
      </c>
      <c r="J790" s="92">
        <v>207376806</v>
      </c>
      <c r="K790" s="92" t="s">
        <v>1061</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1027</v>
      </c>
      <c r="D791" s="92">
        <v>4</v>
      </c>
      <c r="E791" s="92" t="s">
        <v>66</v>
      </c>
      <c r="F791" s="92">
        <v>39</v>
      </c>
      <c r="G791" s="92" t="s">
        <v>750</v>
      </c>
      <c r="H791" s="92"/>
      <c r="I791" s="92">
        <v>0</v>
      </c>
      <c r="J791" s="92">
        <v>147859709</v>
      </c>
      <c r="K791" s="92" t="s">
        <v>1061</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1050</v>
      </c>
      <c r="D792" s="92">
        <v>9</v>
      </c>
      <c r="E792" s="92" t="s">
        <v>588</v>
      </c>
      <c r="F792" s="92">
        <v>63</v>
      </c>
      <c r="G792" s="92" t="s">
        <v>523</v>
      </c>
      <c r="H792" s="92"/>
      <c r="I792" s="92">
        <v>121</v>
      </c>
      <c r="J792" s="92">
        <v>0</v>
      </c>
      <c r="K792" s="92" t="s">
        <v>1061</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1050</v>
      </c>
      <c r="D793" s="92">
        <v>4</v>
      </c>
      <c r="E793" s="92" t="s">
        <v>66</v>
      </c>
      <c r="F793" s="92">
        <v>153</v>
      </c>
      <c r="G793" s="92" t="s">
        <v>962</v>
      </c>
      <c r="H793" s="92"/>
      <c r="I793" s="92">
        <v>0</v>
      </c>
      <c r="J793" s="92">
        <v>160708326</v>
      </c>
      <c r="K793" s="92" t="s">
        <v>1061</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1023</v>
      </c>
      <c r="D794" s="92">
        <v>7</v>
      </c>
      <c r="E794" s="92" t="s">
        <v>586</v>
      </c>
      <c r="F794" s="92">
        <v>101</v>
      </c>
      <c r="G794" s="92" t="s">
        <v>205</v>
      </c>
      <c r="H794" s="92"/>
      <c r="I794" s="92">
        <v>559</v>
      </c>
      <c r="J794" s="92">
        <v>7494631</v>
      </c>
      <c r="K794" s="92" t="s">
        <v>1061</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1195</v>
      </c>
      <c r="D795" s="92">
        <v>2</v>
      </c>
      <c r="E795" s="92" t="s">
        <v>53</v>
      </c>
      <c r="F795" s="92">
        <v>35</v>
      </c>
      <c r="G795" s="92" t="s">
        <v>493</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1121</v>
      </c>
    </row>
    <row r="796" spans="1:35" x14ac:dyDescent="0.25">
      <c r="A796" t="str">
        <f t="shared" si="16"/>
        <v>35-11-96</v>
      </c>
      <c r="B796">
        <v>35</v>
      </c>
      <c r="C796" s="92" t="s">
        <v>1195</v>
      </c>
      <c r="D796" s="92">
        <v>11</v>
      </c>
      <c r="E796" s="92" t="s">
        <v>1062</v>
      </c>
      <c r="F796" s="92">
        <v>96</v>
      </c>
      <c r="G796" s="92" t="s">
        <v>1253</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1044</v>
      </c>
      <c r="D797" s="92">
        <v>9</v>
      </c>
      <c r="E797" s="92" t="s">
        <v>588</v>
      </c>
      <c r="F797" s="92">
        <v>64</v>
      </c>
      <c r="G797" s="92" t="s">
        <v>925</v>
      </c>
      <c r="H797" s="92"/>
      <c r="I797" s="92">
        <v>373</v>
      </c>
      <c r="J797" s="92">
        <v>3510298</v>
      </c>
      <c r="K797" s="92" t="s">
        <v>1061</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1031</v>
      </c>
      <c r="D798" s="92">
        <v>4</v>
      </c>
      <c r="E798" s="92" t="s">
        <v>66</v>
      </c>
      <c r="F798" s="92">
        <v>120</v>
      </c>
      <c r="G798" s="92" t="s">
        <v>787</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1038</v>
      </c>
      <c r="D799" s="92">
        <v>4</v>
      </c>
      <c r="E799" s="92" t="s">
        <v>66</v>
      </c>
      <c r="F799" s="92">
        <v>120</v>
      </c>
      <c r="G799" s="92" t="s">
        <v>787</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1044</v>
      </c>
      <c r="D800" s="92">
        <v>4</v>
      </c>
      <c r="E800" s="92" t="s">
        <v>66</v>
      </c>
      <c r="F800" s="92">
        <v>120</v>
      </c>
      <c r="G800" s="92" t="s">
        <v>787</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1044</v>
      </c>
      <c r="D801" s="92">
        <v>7</v>
      </c>
      <c r="E801" s="92" t="s">
        <v>586</v>
      </c>
      <c r="F801" s="92">
        <v>104</v>
      </c>
      <c r="G801" s="92" t="s">
        <v>924</v>
      </c>
      <c r="H801" s="92"/>
      <c r="I801" s="92">
        <v>372</v>
      </c>
      <c r="J801" s="92">
        <v>4056032</v>
      </c>
      <c r="K801" s="92" t="s">
        <v>1061</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1042</v>
      </c>
      <c r="D802" s="92">
        <v>7</v>
      </c>
      <c r="E802" s="92" t="s">
        <v>586</v>
      </c>
      <c r="F802" s="92">
        <v>102</v>
      </c>
      <c r="G802" s="92" t="s">
        <v>446</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1195</v>
      </c>
      <c r="D803" s="92">
        <v>7</v>
      </c>
      <c r="E803" s="92" t="s">
        <v>586</v>
      </c>
      <c r="F803" s="92">
        <v>102</v>
      </c>
      <c r="G803" s="92" t="s">
        <v>446</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1016</v>
      </c>
      <c r="D804" s="92">
        <v>9</v>
      </c>
      <c r="E804" s="92" t="s">
        <v>588</v>
      </c>
      <c r="F804" s="92">
        <v>11</v>
      </c>
      <c r="G804" s="92" t="s">
        <v>609</v>
      </c>
      <c r="H804" s="92"/>
      <c r="I804" s="92">
        <v>0</v>
      </c>
      <c r="J804" s="92">
        <v>34215362</v>
      </c>
      <c r="K804" s="92" t="s">
        <v>1061</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1018</v>
      </c>
      <c r="D805" s="92">
        <v>9</v>
      </c>
      <c r="E805" s="92" t="s">
        <v>588</v>
      </c>
      <c r="F805" s="92">
        <v>106</v>
      </c>
      <c r="G805" s="92" t="s">
        <v>644</v>
      </c>
      <c r="H805" s="92"/>
      <c r="I805" s="92">
        <v>292</v>
      </c>
      <c r="J805" s="92">
        <v>0</v>
      </c>
      <c r="K805" s="92" t="s">
        <v>1061</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1020</v>
      </c>
      <c r="D806" s="92">
        <v>14</v>
      </c>
      <c r="E806" s="92" t="s">
        <v>571</v>
      </c>
      <c r="F806" s="92">
        <v>55</v>
      </c>
      <c r="G806" s="92" t="s">
        <v>1248</v>
      </c>
      <c r="H806" s="92"/>
      <c r="I806" s="92">
        <v>10462</v>
      </c>
      <c r="J806" s="92">
        <v>67260591</v>
      </c>
      <c r="K806" s="92" t="s">
        <v>1061</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1057</v>
      </c>
      <c r="D807" s="92">
        <v>9</v>
      </c>
      <c r="E807" s="92" t="s">
        <v>588</v>
      </c>
      <c r="F807" s="92">
        <v>42</v>
      </c>
      <c r="G807" s="92" t="s">
        <v>1090</v>
      </c>
      <c r="H807" s="92"/>
      <c r="I807" s="92">
        <v>0</v>
      </c>
      <c r="J807" s="92">
        <v>0</v>
      </c>
      <c r="K807" s="92" t="s">
        <v>1061</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1029</v>
      </c>
      <c r="D808" s="92">
        <v>9</v>
      </c>
      <c r="E808" s="92" t="s">
        <v>588</v>
      </c>
      <c r="F808" s="92">
        <v>65</v>
      </c>
      <c r="G808" s="92" t="s">
        <v>1249</v>
      </c>
      <c r="H808" s="92"/>
      <c r="I808" s="92">
        <v>0</v>
      </c>
      <c r="J808" s="92">
        <v>0</v>
      </c>
      <c r="K808" s="92" t="s">
        <v>1061</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1020</v>
      </c>
      <c r="D809" s="92">
        <v>17</v>
      </c>
      <c r="E809" s="92" t="s">
        <v>593</v>
      </c>
      <c r="F809" s="92">
        <v>39</v>
      </c>
      <c r="G809" s="92" t="s">
        <v>1147</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1035</v>
      </c>
      <c r="D810" s="92">
        <v>7</v>
      </c>
      <c r="E810" s="92" t="s">
        <v>586</v>
      </c>
      <c r="F810" s="92">
        <v>105</v>
      </c>
      <c r="G810" s="92" t="s">
        <v>1250</v>
      </c>
      <c r="H810" s="92"/>
      <c r="I810" s="92">
        <v>0</v>
      </c>
      <c r="J810" s="92">
        <v>16109835</v>
      </c>
      <c r="K810" s="92" t="s">
        <v>1061</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1035</v>
      </c>
      <c r="D811" s="92">
        <v>9</v>
      </c>
      <c r="E811" s="92" t="s">
        <v>588</v>
      </c>
      <c r="F811" s="92">
        <v>68</v>
      </c>
      <c r="G811" s="92" t="s">
        <v>1251</v>
      </c>
      <c r="H811" s="92"/>
      <c r="I811" s="92">
        <v>18703</v>
      </c>
      <c r="J811" s="92">
        <v>8744000</v>
      </c>
      <c r="K811" s="92" t="s">
        <v>1061</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1035</v>
      </c>
      <c r="D812" s="92">
        <v>12</v>
      </c>
      <c r="E812" s="92" t="s">
        <v>71</v>
      </c>
      <c r="F812" s="92">
        <v>12</v>
      </c>
      <c r="G812" s="92" t="s">
        <v>1252</v>
      </c>
      <c r="H812" s="92"/>
      <c r="I812" s="92">
        <v>0</v>
      </c>
      <c r="J812" s="92">
        <v>23562591</v>
      </c>
      <c r="K812" s="92" t="s">
        <v>1061</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1028</v>
      </c>
      <c r="D813" s="92">
        <v>4</v>
      </c>
      <c r="E813" s="92" t="s">
        <v>66</v>
      </c>
      <c r="F813" s="92">
        <v>53</v>
      </c>
      <c r="G813" s="92" t="s">
        <v>762</v>
      </c>
      <c r="H813" s="92"/>
      <c r="I813" s="92">
        <v>0</v>
      </c>
      <c r="J813" s="92">
        <v>75991591</v>
      </c>
      <c r="K813" s="92" t="s">
        <v>1061</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1044</v>
      </c>
      <c r="D814" s="92">
        <v>11</v>
      </c>
      <c r="E814" s="92" t="s">
        <v>1062</v>
      </c>
      <c r="F814" s="92">
        <v>44</v>
      </c>
      <c r="G814" s="92" t="s">
        <v>929</v>
      </c>
      <c r="H814" s="92"/>
      <c r="I814" s="92">
        <v>0</v>
      </c>
      <c r="J814" s="92">
        <v>16100</v>
      </c>
      <c r="K814" s="92" t="s">
        <v>1061</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1041</v>
      </c>
      <c r="D815" s="92">
        <v>13</v>
      </c>
      <c r="E815" s="92" t="s">
        <v>209</v>
      </c>
      <c r="F815" s="92">
        <v>2</v>
      </c>
      <c r="G815" s="92" t="s">
        <v>1254</v>
      </c>
      <c r="H815" s="92"/>
      <c r="I815" s="92">
        <v>3341527</v>
      </c>
      <c r="J815" s="92">
        <v>810323318</v>
      </c>
      <c r="K815" s="92" t="s">
        <v>1061</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1053</v>
      </c>
      <c r="D816" s="92">
        <v>20</v>
      </c>
      <c r="E816" s="92" t="s">
        <v>153</v>
      </c>
      <c r="F816" s="92">
        <v>35</v>
      </c>
      <c r="G816" s="92" t="s">
        <v>1005</v>
      </c>
      <c r="H816" s="92"/>
      <c r="I816" s="92">
        <v>0</v>
      </c>
      <c r="J816" s="92">
        <v>3152726</v>
      </c>
      <c r="K816" s="92" t="s">
        <v>1061</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1042</v>
      </c>
      <c r="D817" s="92">
        <v>9</v>
      </c>
      <c r="E817" s="92" t="s">
        <v>588</v>
      </c>
      <c r="F817" s="92">
        <v>69</v>
      </c>
      <c r="G817" s="92" t="s">
        <v>908</v>
      </c>
      <c r="H817" s="92"/>
      <c r="I817" s="92">
        <v>1286</v>
      </c>
      <c r="J817" s="92">
        <v>653596</v>
      </c>
      <c r="K817" s="92" t="s">
        <v>1061</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1042</v>
      </c>
      <c r="D818" s="92">
        <v>11</v>
      </c>
      <c r="E818" s="92" t="s">
        <v>1062</v>
      </c>
      <c r="F818" s="92">
        <v>45</v>
      </c>
      <c r="G818" s="92" t="s">
        <v>912</v>
      </c>
      <c r="H818" s="92"/>
      <c r="I818" s="92">
        <v>43335</v>
      </c>
      <c r="J818" s="92">
        <v>52636056</v>
      </c>
      <c r="K818" s="92" t="s">
        <v>1061</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1022</v>
      </c>
      <c r="D819" s="92">
        <v>9</v>
      </c>
      <c r="E819" s="92" t="s">
        <v>588</v>
      </c>
      <c r="F819" s="92">
        <v>159</v>
      </c>
      <c r="G819" s="92" t="s">
        <v>717</v>
      </c>
      <c r="H819" s="92"/>
      <c r="I819" s="92">
        <v>122</v>
      </c>
      <c r="J819" s="92">
        <v>0</v>
      </c>
      <c r="K819" s="92" t="s">
        <v>1061</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1022</v>
      </c>
      <c r="D820" s="92">
        <v>9</v>
      </c>
      <c r="E820" s="92" t="s">
        <v>588</v>
      </c>
      <c r="F820" s="92">
        <v>70</v>
      </c>
      <c r="G820" s="92" t="s">
        <v>711</v>
      </c>
      <c r="H820" s="92"/>
      <c r="I820" s="92">
        <v>0</v>
      </c>
      <c r="J820" s="92">
        <v>32606771</v>
      </c>
      <c r="K820" s="92" t="s">
        <v>1061</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1041</v>
      </c>
      <c r="D821" s="92">
        <v>9</v>
      </c>
      <c r="E821" s="92" t="s">
        <v>588</v>
      </c>
      <c r="F821" s="92">
        <v>170</v>
      </c>
      <c r="G821" s="92" t="s">
        <v>420</v>
      </c>
      <c r="H821" s="92"/>
      <c r="I821" s="92">
        <v>153</v>
      </c>
      <c r="J821" s="92">
        <v>171733927</v>
      </c>
      <c r="K821" s="92" t="s">
        <v>1061</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1027</v>
      </c>
      <c r="D822" s="92">
        <v>11</v>
      </c>
      <c r="E822" s="92" t="s">
        <v>1062</v>
      </c>
      <c r="F822" s="92">
        <v>46</v>
      </c>
      <c r="G822" s="92" t="s">
        <v>247</v>
      </c>
      <c r="H822" s="92"/>
      <c r="I822" s="92">
        <v>0</v>
      </c>
      <c r="J822" s="92">
        <v>85828625</v>
      </c>
      <c r="K822" s="92" t="s">
        <v>1061</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1027</v>
      </c>
      <c r="D823" s="92">
        <v>4</v>
      </c>
      <c r="E823" s="92" t="s">
        <v>66</v>
      </c>
      <c r="F823" s="92">
        <v>43</v>
      </c>
      <c r="G823" s="92" t="s">
        <v>754</v>
      </c>
      <c r="H823" s="92"/>
      <c r="I823" s="92">
        <v>0</v>
      </c>
      <c r="J823" s="92">
        <v>24121014</v>
      </c>
      <c r="K823" s="92" t="s">
        <v>1061</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1029</v>
      </c>
      <c r="D824" s="92">
        <v>9</v>
      </c>
      <c r="E824" s="92" t="s">
        <v>588</v>
      </c>
      <c r="F824" s="92">
        <v>71</v>
      </c>
      <c r="G824" s="92" t="s">
        <v>773</v>
      </c>
      <c r="H824" s="92"/>
      <c r="I824" s="92">
        <v>0</v>
      </c>
      <c r="J824" s="92">
        <v>0</v>
      </c>
      <c r="K824" s="92" t="s">
        <v>1061</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1029</v>
      </c>
      <c r="D825" s="92">
        <v>14</v>
      </c>
      <c r="E825" s="92" t="s">
        <v>571</v>
      </c>
      <c r="F825" s="92">
        <v>31</v>
      </c>
      <c r="G825" s="92" t="s">
        <v>783</v>
      </c>
      <c r="H825" s="92"/>
      <c r="I825" s="92">
        <v>0</v>
      </c>
      <c r="J825" s="92">
        <v>13208706</v>
      </c>
      <c r="K825" s="92" t="s">
        <v>1061</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1029</v>
      </c>
      <c r="D826" s="92">
        <v>11</v>
      </c>
      <c r="E826" s="92" t="s">
        <v>1062</v>
      </c>
      <c r="F826" s="92">
        <v>47</v>
      </c>
      <c r="G826" s="92" t="s">
        <v>781</v>
      </c>
      <c r="H826" s="92"/>
      <c r="I826" s="92">
        <v>0</v>
      </c>
      <c r="J826" s="92">
        <v>12211559</v>
      </c>
      <c r="K826" s="92" t="s">
        <v>1061</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1029</v>
      </c>
      <c r="D827" s="92">
        <v>17</v>
      </c>
      <c r="E827" s="92" t="s">
        <v>593</v>
      </c>
      <c r="F827" s="92">
        <v>17</v>
      </c>
      <c r="G827" s="92" t="s">
        <v>278</v>
      </c>
      <c r="H827" s="92"/>
      <c r="I827" s="92">
        <v>9579</v>
      </c>
      <c r="J827" s="92">
        <v>12211559</v>
      </c>
      <c r="K827" s="92" t="s">
        <v>1061</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1029</v>
      </c>
      <c r="D828" s="92">
        <v>7</v>
      </c>
      <c r="E828" s="92" t="s">
        <v>586</v>
      </c>
      <c r="F828" s="92">
        <v>108</v>
      </c>
      <c r="G828" s="92" t="s">
        <v>770</v>
      </c>
      <c r="H828" s="92"/>
      <c r="I828" s="92">
        <v>0</v>
      </c>
      <c r="J828" s="92">
        <v>11760193</v>
      </c>
      <c r="K828" s="92" t="s">
        <v>1061</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1033</v>
      </c>
      <c r="D829" s="92">
        <v>9</v>
      </c>
      <c r="E829" s="92" t="s">
        <v>588</v>
      </c>
      <c r="F829" s="92">
        <v>183</v>
      </c>
      <c r="G829" s="92" t="s">
        <v>829</v>
      </c>
      <c r="H829" s="92"/>
      <c r="I829" s="92">
        <v>4267</v>
      </c>
      <c r="J829" s="92">
        <v>0</v>
      </c>
      <c r="K829" s="92" t="s">
        <v>1061</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1036</v>
      </c>
      <c r="D830" s="92">
        <v>7</v>
      </c>
      <c r="E830" s="92" t="s">
        <v>586</v>
      </c>
      <c r="F830" s="92">
        <v>109</v>
      </c>
      <c r="G830" s="92" t="s">
        <v>340</v>
      </c>
      <c r="H830" s="92"/>
      <c r="I830" s="92">
        <v>0</v>
      </c>
      <c r="J830" s="92">
        <v>3057058</v>
      </c>
      <c r="K830" s="92" t="s">
        <v>1061</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1036</v>
      </c>
      <c r="D831" s="92">
        <v>14</v>
      </c>
      <c r="E831" s="92" t="s">
        <v>571</v>
      </c>
      <c r="F831" s="92">
        <v>49</v>
      </c>
      <c r="G831" s="92" t="s">
        <v>343</v>
      </c>
      <c r="H831" s="92"/>
      <c r="I831" s="92">
        <v>30</v>
      </c>
      <c r="J831" s="92">
        <v>2840007</v>
      </c>
      <c r="K831" s="92" t="s">
        <v>1061</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1048</v>
      </c>
      <c r="D832" s="92">
        <v>9</v>
      </c>
      <c r="E832" s="92" t="s">
        <v>588</v>
      </c>
      <c r="F832" s="92">
        <v>48</v>
      </c>
      <c r="G832" s="92" t="s">
        <v>949</v>
      </c>
      <c r="H832" s="92"/>
      <c r="I832" s="92">
        <v>6566</v>
      </c>
      <c r="J832" s="92">
        <v>473000</v>
      </c>
      <c r="K832" s="92" t="s">
        <v>1061</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1048</v>
      </c>
      <c r="D833" s="92">
        <v>14</v>
      </c>
      <c r="E833" s="92" t="s">
        <v>571</v>
      </c>
      <c r="F833" s="92">
        <v>32</v>
      </c>
      <c r="G833" s="92" t="s">
        <v>950</v>
      </c>
      <c r="H833" s="92"/>
      <c r="I833" s="92">
        <v>0</v>
      </c>
      <c r="J833" s="92">
        <v>78598767</v>
      </c>
      <c r="K833" s="92" t="s">
        <v>1061</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1048</v>
      </c>
      <c r="D834" s="92">
        <v>2</v>
      </c>
      <c r="E834" s="92" t="s">
        <v>53</v>
      </c>
      <c r="F834" s="92">
        <v>36</v>
      </c>
      <c r="G834" s="92" t="s">
        <v>502</v>
      </c>
      <c r="H834" s="92"/>
      <c r="I834" s="92">
        <v>0</v>
      </c>
      <c r="J834" s="92">
        <v>78598767</v>
      </c>
      <c r="K834" s="92" t="s">
        <v>1061</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1048</v>
      </c>
      <c r="D835" s="92">
        <v>4</v>
      </c>
      <c r="E835" s="92" t="s">
        <v>66</v>
      </c>
      <c r="F835" s="92">
        <v>143</v>
      </c>
      <c r="G835" s="92" t="s">
        <v>947</v>
      </c>
      <c r="H835" s="92"/>
      <c r="I835" s="92">
        <v>0</v>
      </c>
      <c r="J835" s="92">
        <v>76572243</v>
      </c>
      <c r="K835" s="92" t="s">
        <v>1061</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1031</v>
      </c>
      <c r="D836" s="92">
        <v>7</v>
      </c>
      <c r="E836" s="92" t="s">
        <v>586</v>
      </c>
      <c r="F836" s="92">
        <v>197</v>
      </c>
      <c r="G836" s="92" t="s">
        <v>793</v>
      </c>
      <c r="H836" s="92"/>
      <c r="I836" s="92">
        <v>2078</v>
      </c>
      <c r="J836" s="92">
        <v>6641490</v>
      </c>
      <c r="K836" s="92" t="s">
        <v>1061</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1031</v>
      </c>
      <c r="D837" s="92">
        <v>9</v>
      </c>
      <c r="E837" s="92" t="s">
        <v>588</v>
      </c>
      <c r="F837" s="92">
        <v>72</v>
      </c>
      <c r="G837" s="92" t="s">
        <v>794</v>
      </c>
      <c r="H837" s="92"/>
      <c r="I837" s="92">
        <v>0</v>
      </c>
      <c r="J837" s="92">
        <v>1854416</v>
      </c>
      <c r="K837" s="92" t="s">
        <v>1061</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1031</v>
      </c>
      <c r="D838" s="92">
        <v>4</v>
      </c>
      <c r="E838" s="92" t="s">
        <v>66</v>
      </c>
      <c r="F838" s="92">
        <v>64</v>
      </c>
      <c r="G838" s="92" t="s">
        <v>785</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1044</v>
      </c>
      <c r="D839" s="92">
        <v>4</v>
      </c>
      <c r="E839" s="92" t="s">
        <v>66</v>
      </c>
      <c r="F839" s="92">
        <v>64</v>
      </c>
      <c r="G839" s="92" t="s">
        <v>785</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1195</v>
      </c>
      <c r="D840" s="92">
        <v>4</v>
      </c>
      <c r="E840" s="92" t="s">
        <v>66</v>
      </c>
      <c r="F840" s="92">
        <v>64</v>
      </c>
      <c r="G840" s="92" t="s">
        <v>785</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1194</v>
      </c>
      <c r="D841" s="92">
        <v>7</v>
      </c>
      <c r="E841" s="92" t="s">
        <v>586</v>
      </c>
      <c r="F841" s="92">
        <v>110</v>
      </c>
      <c r="G841" s="92" t="s">
        <v>126</v>
      </c>
      <c r="H841" s="92"/>
      <c r="I841" s="92">
        <v>8</v>
      </c>
      <c r="J841" s="92">
        <v>2339328</v>
      </c>
      <c r="K841" s="92" t="s">
        <v>1061</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1049</v>
      </c>
      <c r="D842" s="92">
        <v>11</v>
      </c>
      <c r="E842" s="92" t="s">
        <v>1062</v>
      </c>
      <c r="F842" s="92">
        <v>98</v>
      </c>
      <c r="G842" s="92" t="s">
        <v>960</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1049</v>
      </c>
      <c r="D843" s="92">
        <v>2</v>
      </c>
      <c r="E843" s="92" t="s">
        <v>53</v>
      </c>
      <c r="F843" s="92">
        <v>37</v>
      </c>
      <c r="G843" s="92" t="s">
        <v>509</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1121</v>
      </c>
    </row>
    <row r="844" spans="1:35" x14ac:dyDescent="0.25">
      <c r="A844" t="str">
        <f t="shared" si="16"/>
        <v>37-7-111</v>
      </c>
      <c r="B844">
        <v>37</v>
      </c>
      <c r="C844" s="92" t="s">
        <v>1049</v>
      </c>
      <c r="D844" s="92">
        <v>7</v>
      </c>
      <c r="E844" s="92" t="s">
        <v>586</v>
      </c>
      <c r="F844" s="92">
        <v>111</v>
      </c>
      <c r="G844" s="92" t="s">
        <v>515</v>
      </c>
      <c r="H844" s="92"/>
      <c r="I844" s="92">
        <v>35</v>
      </c>
      <c r="J844" s="92">
        <v>45409984</v>
      </c>
      <c r="K844" s="92" t="s">
        <v>1061</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1024</v>
      </c>
      <c r="D845" s="92">
        <v>9</v>
      </c>
      <c r="E845" s="92" t="s">
        <v>588</v>
      </c>
      <c r="F845" s="92">
        <v>186</v>
      </c>
      <c r="G845" s="92" t="s">
        <v>740</v>
      </c>
      <c r="H845" s="92"/>
      <c r="I845" s="92">
        <v>37741</v>
      </c>
      <c r="J845" s="92">
        <v>3834735</v>
      </c>
      <c r="K845" s="92" t="s">
        <v>1061</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1035</v>
      </c>
      <c r="D846" s="92">
        <v>7</v>
      </c>
      <c r="E846" s="92" t="s">
        <v>586</v>
      </c>
      <c r="F846" s="92">
        <v>112</v>
      </c>
      <c r="G846" s="92" t="s">
        <v>839</v>
      </c>
      <c r="H846" s="92"/>
      <c r="I846" s="92">
        <v>9</v>
      </c>
      <c r="J846" s="92">
        <v>8537346</v>
      </c>
      <c r="K846" s="92" t="s">
        <v>1061</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1050</v>
      </c>
      <c r="D847" s="92">
        <v>7</v>
      </c>
      <c r="E847" s="92" t="s">
        <v>586</v>
      </c>
      <c r="F847" s="92">
        <v>113</v>
      </c>
      <c r="G847" s="92" t="s">
        <v>522</v>
      </c>
      <c r="H847" s="92"/>
      <c r="I847" s="92">
        <v>27095</v>
      </c>
      <c r="J847" s="92">
        <v>193642209</v>
      </c>
      <c r="K847" s="92" t="s">
        <v>1061</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1027</v>
      </c>
      <c r="D848" s="92">
        <v>7</v>
      </c>
      <c r="E848" s="92" t="s">
        <v>586</v>
      </c>
      <c r="F848" s="92">
        <v>114</v>
      </c>
      <c r="G848" s="92" t="s">
        <v>231</v>
      </c>
      <c r="H848" s="92"/>
      <c r="I848" s="92">
        <v>3524</v>
      </c>
      <c r="J848" s="92">
        <v>36521509</v>
      </c>
      <c r="K848" s="92" t="s">
        <v>1061</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1027</v>
      </c>
      <c r="D849" s="92">
        <v>9</v>
      </c>
      <c r="E849" s="92" t="s">
        <v>588</v>
      </c>
      <c r="F849" s="92">
        <v>74</v>
      </c>
      <c r="G849" s="92" t="s">
        <v>240</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1050</v>
      </c>
      <c r="D850" s="92">
        <v>9</v>
      </c>
      <c r="E850" s="92" t="s">
        <v>588</v>
      </c>
      <c r="F850" s="92">
        <v>74</v>
      </c>
      <c r="G850" s="92" t="s">
        <v>240</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1027</v>
      </c>
      <c r="D851" s="92">
        <v>4</v>
      </c>
      <c r="E851" s="92" t="s">
        <v>66</v>
      </c>
      <c r="F851" s="92">
        <v>47</v>
      </c>
      <c r="G851" s="92" t="s">
        <v>755</v>
      </c>
      <c r="H851" s="92"/>
      <c r="I851" s="92">
        <v>0</v>
      </c>
      <c r="J851" s="92">
        <v>58821981</v>
      </c>
      <c r="K851" s="92" t="s">
        <v>1061</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1047</v>
      </c>
      <c r="D852" s="92">
        <v>7</v>
      </c>
      <c r="E852" s="92" t="s">
        <v>586</v>
      </c>
      <c r="F852" s="92">
        <v>115</v>
      </c>
      <c r="G852" s="92" t="s">
        <v>940</v>
      </c>
      <c r="H852" s="92"/>
      <c r="I852" s="92">
        <v>0</v>
      </c>
      <c r="J852" s="92">
        <v>23097495</v>
      </c>
      <c r="K852" s="92" t="s">
        <v>1061</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1050</v>
      </c>
      <c r="D853" s="92">
        <v>2</v>
      </c>
      <c r="E853" s="92" t="s">
        <v>53</v>
      </c>
      <c r="F853" s="92">
        <v>38</v>
      </c>
      <c r="G853" s="92" t="s">
        <v>518</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1121</v>
      </c>
    </row>
    <row r="854" spans="1:35" x14ac:dyDescent="0.25">
      <c r="A854" t="str">
        <f t="shared" si="16"/>
        <v>38-15-19</v>
      </c>
      <c r="B854">
        <v>38</v>
      </c>
      <c r="C854" s="92" t="s">
        <v>1050</v>
      </c>
      <c r="D854" s="92">
        <v>15</v>
      </c>
      <c r="E854" s="92" t="s">
        <v>152</v>
      </c>
      <c r="F854" s="92">
        <v>19</v>
      </c>
      <c r="G854" s="92" t="s">
        <v>1258</v>
      </c>
      <c r="H854" s="92"/>
      <c r="I854" s="92">
        <v>38602</v>
      </c>
      <c r="J854" s="92">
        <v>250406504</v>
      </c>
      <c r="K854" s="92" t="s">
        <v>1061</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1050</v>
      </c>
      <c r="D855" s="92">
        <v>5</v>
      </c>
      <c r="E855" s="92" t="s">
        <v>200</v>
      </c>
      <c r="F855" s="92">
        <v>20</v>
      </c>
      <c r="G855" s="92" t="s">
        <v>1259</v>
      </c>
      <c r="H855" s="92"/>
      <c r="I855" s="92">
        <v>0</v>
      </c>
      <c r="J855" s="92">
        <v>250406504</v>
      </c>
      <c r="K855" s="92" t="s">
        <v>1061</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c r="AI855">
        <v>2.18149E-4</v>
      </c>
    </row>
    <row r="856" spans="1:35" x14ac:dyDescent="0.25">
      <c r="A856" t="str">
        <f t="shared" si="16"/>
        <v>38-8-5</v>
      </c>
      <c r="B856">
        <v>38</v>
      </c>
      <c r="C856" s="92" t="s">
        <v>1050</v>
      </c>
      <c r="D856" s="92">
        <v>8</v>
      </c>
      <c r="E856" s="92" t="s">
        <v>587</v>
      </c>
      <c r="F856" s="92">
        <v>5</v>
      </c>
      <c r="G856" s="92" t="s">
        <v>1260</v>
      </c>
      <c r="H856" s="92"/>
      <c r="I856" s="92">
        <v>41310</v>
      </c>
      <c r="J856" s="92">
        <v>250406504</v>
      </c>
      <c r="K856" s="92" t="s">
        <v>1061</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1050</v>
      </c>
      <c r="D857" s="92">
        <v>17</v>
      </c>
      <c r="E857" s="92" t="s">
        <v>593</v>
      </c>
      <c r="F857" s="92">
        <v>14</v>
      </c>
      <c r="G857" s="92" t="s">
        <v>1261</v>
      </c>
      <c r="H857" s="92"/>
      <c r="I857" s="92">
        <v>12641</v>
      </c>
      <c r="J857" s="92">
        <v>250406504</v>
      </c>
      <c r="K857" s="92" t="s">
        <v>1061</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1050</v>
      </c>
      <c r="D858" s="92">
        <v>11</v>
      </c>
      <c r="E858" s="92" t="s">
        <v>1062</v>
      </c>
      <c r="F858" s="92">
        <v>99</v>
      </c>
      <c r="G858" s="92" t="s">
        <v>1255</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1053</v>
      </c>
      <c r="D859" s="92">
        <v>20</v>
      </c>
      <c r="E859" s="92" t="s">
        <v>153</v>
      </c>
      <c r="F859" s="92">
        <v>24</v>
      </c>
      <c r="G859" s="92" t="s">
        <v>1004</v>
      </c>
      <c r="H859" s="92"/>
      <c r="I859" s="92">
        <v>278</v>
      </c>
      <c r="J859" s="92">
        <v>7884702</v>
      </c>
      <c r="K859" s="92" t="s">
        <v>1061</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1050</v>
      </c>
      <c r="D860" s="92">
        <v>4</v>
      </c>
      <c r="E860" s="92" t="s">
        <v>66</v>
      </c>
      <c r="F860" s="92">
        <v>151</v>
      </c>
      <c r="G860" s="92" t="s">
        <v>961</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1054</v>
      </c>
      <c r="D861" s="92">
        <v>4</v>
      </c>
      <c r="E861" s="92" t="s">
        <v>66</v>
      </c>
      <c r="F861" s="92">
        <v>151</v>
      </c>
      <c r="G861" s="92" t="s">
        <v>961</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1029</v>
      </c>
      <c r="D862" s="92">
        <v>7</v>
      </c>
      <c r="E862" s="92" t="s">
        <v>586</v>
      </c>
      <c r="F862" s="92">
        <v>199</v>
      </c>
      <c r="G862" s="92" t="s">
        <v>272</v>
      </c>
      <c r="H862" s="92"/>
      <c r="I862" s="92">
        <v>0</v>
      </c>
      <c r="J862" s="92">
        <v>4566233</v>
      </c>
      <c r="K862" s="92" t="s">
        <v>1061</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1022</v>
      </c>
      <c r="D863" s="92">
        <v>12</v>
      </c>
      <c r="E863" s="92" t="s">
        <v>71</v>
      </c>
      <c r="F863" s="92">
        <v>8</v>
      </c>
      <c r="G863" s="92" t="s">
        <v>188</v>
      </c>
      <c r="H863" s="92"/>
      <c r="I863" s="92">
        <v>0</v>
      </c>
      <c r="J863" s="92">
        <v>463001812</v>
      </c>
      <c r="K863" s="92" t="s">
        <v>1061</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1057</v>
      </c>
      <c r="D864" s="92">
        <v>7</v>
      </c>
      <c r="E864" s="92" t="s">
        <v>586</v>
      </c>
      <c r="F864" s="92">
        <v>116</v>
      </c>
      <c r="G864" s="92" t="s">
        <v>165</v>
      </c>
      <c r="H864" s="92"/>
      <c r="I864" s="92">
        <v>368</v>
      </c>
      <c r="J864" s="92">
        <v>7641395</v>
      </c>
      <c r="K864" s="92" t="s">
        <v>1061</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1031</v>
      </c>
      <c r="D865" s="92">
        <v>7</v>
      </c>
      <c r="E865" s="92" t="s">
        <v>586</v>
      </c>
      <c r="F865" s="92">
        <v>117</v>
      </c>
      <c r="G865" s="92" t="s">
        <v>292</v>
      </c>
      <c r="H865" s="92"/>
      <c r="I865" s="92">
        <v>417</v>
      </c>
      <c r="J865" s="92">
        <v>3203503</v>
      </c>
      <c r="K865" s="92" t="s">
        <v>1061</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1031</v>
      </c>
      <c r="D866" s="92">
        <v>14</v>
      </c>
      <c r="E866" s="92" t="s">
        <v>571</v>
      </c>
      <c r="F866" s="92">
        <v>33</v>
      </c>
      <c r="G866" s="92" t="s">
        <v>297</v>
      </c>
      <c r="H866" s="92"/>
      <c r="I866" s="92">
        <v>17544</v>
      </c>
      <c r="J866" s="92">
        <v>2995340</v>
      </c>
      <c r="K866" s="92" t="s">
        <v>1061</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1031</v>
      </c>
      <c r="D867" s="92">
        <v>17</v>
      </c>
      <c r="E867" s="92" t="s">
        <v>593</v>
      </c>
      <c r="F867" s="92">
        <v>9</v>
      </c>
      <c r="G867" s="92" t="s">
        <v>809</v>
      </c>
      <c r="H867" s="92"/>
      <c r="I867" s="92">
        <v>0</v>
      </c>
      <c r="J867" s="92">
        <v>5338194</v>
      </c>
      <c r="K867" s="92" t="s">
        <v>1061</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1038</v>
      </c>
      <c r="D868" s="92">
        <v>7</v>
      </c>
      <c r="E868" s="92" t="s">
        <v>586</v>
      </c>
      <c r="F868" s="92">
        <v>118</v>
      </c>
      <c r="G868" s="92" t="s">
        <v>374</v>
      </c>
      <c r="H868" s="92"/>
      <c r="I868" s="92">
        <v>0</v>
      </c>
      <c r="J868" s="92">
        <v>3296459</v>
      </c>
      <c r="K868" s="92" t="s">
        <v>1061</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1039</v>
      </c>
      <c r="D869" s="92">
        <v>7</v>
      </c>
      <c r="E869" s="92" t="s">
        <v>586</v>
      </c>
      <c r="F869" s="92">
        <v>119</v>
      </c>
      <c r="G869" s="92" t="s">
        <v>873</v>
      </c>
      <c r="H869" s="92"/>
      <c r="I869" s="92">
        <v>0</v>
      </c>
      <c r="J869" s="92">
        <v>16568106</v>
      </c>
      <c r="K869" s="92" t="s">
        <v>1061</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1021</v>
      </c>
      <c r="D870" s="92">
        <v>7</v>
      </c>
      <c r="E870" s="92" t="s">
        <v>586</v>
      </c>
      <c r="F870" s="92">
        <v>63</v>
      </c>
      <c r="G870" s="92" t="s">
        <v>171</v>
      </c>
      <c r="H870" s="92"/>
      <c r="I870" s="92">
        <v>803</v>
      </c>
      <c r="J870" s="92">
        <v>11020725</v>
      </c>
      <c r="K870" s="92" t="s">
        <v>1061</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1021</v>
      </c>
      <c r="D871" s="92">
        <v>9</v>
      </c>
      <c r="E871" s="92" t="s">
        <v>588</v>
      </c>
      <c r="F871" s="92">
        <v>137</v>
      </c>
      <c r="G871" s="92" t="s">
        <v>702</v>
      </c>
      <c r="H871" s="92"/>
      <c r="I871" s="92">
        <v>28</v>
      </c>
      <c r="J871" s="92">
        <v>0</v>
      </c>
      <c r="K871" s="92" t="s">
        <v>1061</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1046</v>
      </c>
      <c r="D872" s="92">
        <v>7</v>
      </c>
      <c r="E872" s="92" t="s">
        <v>586</v>
      </c>
      <c r="F872" s="92">
        <v>120</v>
      </c>
      <c r="G872" s="92" t="s">
        <v>482</v>
      </c>
      <c r="H872" s="92"/>
      <c r="I872" s="92">
        <v>0</v>
      </c>
      <c r="J872" s="92">
        <v>2285729</v>
      </c>
      <c r="K872" s="92" t="s">
        <v>1061</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1027</v>
      </c>
      <c r="D873" s="92">
        <v>7</v>
      </c>
      <c r="E873" s="92" t="s">
        <v>586</v>
      </c>
      <c r="F873" s="92">
        <v>201</v>
      </c>
      <c r="G873" s="92" t="s">
        <v>232</v>
      </c>
      <c r="H873" s="92"/>
      <c r="I873" s="92">
        <v>0</v>
      </c>
      <c r="J873" s="92">
        <v>7230835</v>
      </c>
      <c r="K873" s="92" t="s">
        <v>1061</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1049</v>
      </c>
      <c r="D874" s="92">
        <v>4</v>
      </c>
      <c r="E874" s="92" t="s">
        <v>66</v>
      </c>
      <c r="F874" s="92">
        <v>146</v>
      </c>
      <c r="G874" s="92" t="s">
        <v>951</v>
      </c>
      <c r="H874" s="92"/>
      <c r="I874" s="92">
        <v>0</v>
      </c>
      <c r="J874" s="92">
        <v>11374099</v>
      </c>
      <c r="K874" s="92" t="s">
        <v>1061</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1048</v>
      </c>
      <c r="D875" s="92">
        <v>7</v>
      </c>
      <c r="E875" s="92" t="s">
        <v>586</v>
      </c>
      <c r="F875" s="92">
        <v>121</v>
      </c>
      <c r="G875" s="92" t="s">
        <v>948</v>
      </c>
      <c r="H875" s="92"/>
      <c r="I875" s="92">
        <v>0</v>
      </c>
      <c r="J875" s="92">
        <v>5098939</v>
      </c>
      <c r="K875" s="92" t="s">
        <v>1061</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1019</v>
      </c>
      <c r="D876" s="92">
        <v>11</v>
      </c>
      <c r="E876" s="92" t="s">
        <v>1062</v>
      </c>
      <c r="F876" s="92">
        <v>48</v>
      </c>
      <c r="G876" s="92" t="s">
        <v>671</v>
      </c>
      <c r="H876" s="92"/>
      <c r="I876" s="92">
        <v>5422</v>
      </c>
      <c r="J876" s="92">
        <v>12133471</v>
      </c>
      <c r="K876" s="92" t="s">
        <v>1061</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1019</v>
      </c>
      <c r="D877" s="92">
        <v>4</v>
      </c>
      <c r="E877" s="92" t="s">
        <v>66</v>
      </c>
      <c r="F877" s="92">
        <v>193</v>
      </c>
      <c r="G877" s="92" t="s">
        <v>667</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1041</v>
      </c>
      <c r="D878" s="92">
        <v>4</v>
      </c>
      <c r="E878" s="92" t="s">
        <v>66</v>
      </c>
      <c r="F878" s="92">
        <v>193</v>
      </c>
      <c r="G878" s="92" t="s">
        <v>667</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1018</v>
      </c>
      <c r="D879" s="92">
        <v>4</v>
      </c>
      <c r="E879" s="92" t="s">
        <v>66</v>
      </c>
      <c r="F879" s="92">
        <v>12</v>
      </c>
      <c r="G879" s="92" t="s">
        <v>639</v>
      </c>
      <c r="H879" s="92"/>
      <c r="I879" s="92">
        <v>0</v>
      </c>
      <c r="J879" s="92">
        <v>201079782</v>
      </c>
      <c r="K879" s="92" t="s">
        <v>1061</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1018</v>
      </c>
      <c r="D880" s="92">
        <v>9</v>
      </c>
      <c r="E880" s="92" t="s">
        <v>588</v>
      </c>
      <c r="F880" s="92">
        <v>107</v>
      </c>
      <c r="G880" s="92" t="s">
        <v>645</v>
      </c>
      <c r="H880" s="92"/>
      <c r="I880" s="92">
        <v>68403</v>
      </c>
      <c r="J880" s="92">
        <v>0</v>
      </c>
      <c r="K880" s="92" t="s">
        <v>1061</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182">
        <f>80483+49899</f>
        <v>130382</v>
      </c>
      <c r="AE880" s="92">
        <v>0</v>
      </c>
      <c r="AF880" s="92">
        <v>2234</v>
      </c>
      <c r="AG880" s="92">
        <v>2339</v>
      </c>
      <c r="AI880" s="256">
        <v>4.1117200000000001E-4</v>
      </c>
    </row>
    <row r="881" spans="1:35" x14ac:dyDescent="0.25">
      <c r="A881" t="str">
        <f t="shared" si="17"/>
        <v>35-16-1</v>
      </c>
      <c r="B881">
        <v>35</v>
      </c>
      <c r="C881" s="92" t="s">
        <v>1195</v>
      </c>
      <c r="D881" s="92">
        <v>16</v>
      </c>
      <c r="E881" s="92" t="s">
        <v>591</v>
      </c>
      <c r="F881" s="92">
        <v>1</v>
      </c>
      <c r="G881" s="92" t="s">
        <v>945</v>
      </c>
      <c r="H881" s="92"/>
      <c r="I881" s="92">
        <v>549779</v>
      </c>
      <c r="J881" s="92">
        <v>98585140</v>
      </c>
      <c r="K881" s="92" t="s">
        <v>1061</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1018</v>
      </c>
      <c r="D882" s="92">
        <v>14</v>
      </c>
      <c r="E882" s="92" t="s">
        <v>571</v>
      </c>
      <c r="F882" s="92">
        <v>35</v>
      </c>
      <c r="G882" s="92" t="s">
        <v>112</v>
      </c>
      <c r="H882" s="92"/>
      <c r="I882" s="92">
        <v>8307</v>
      </c>
      <c r="J882" s="92">
        <v>96761392</v>
      </c>
      <c r="K882" s="92" t="s">
        <v>1061</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1041</v>
      </c>
      <c r="D883" s="92">
        <v>11</v>
      </c>
      <c r="E883" s="92" t="s">
        <v>1062</v>
      </c>
      <c r="F883" s="92">
        <v>27</v>
      </c>
      <c r="G883" s="92" t="s">
        <v>425</v>
      </c>
      <c r="H883" s="92"/>
      <c r="I883" s="92">
        <v>1363474</v>
      </c>
      <c r="J883" s="92">
        <v>375907845</v>
      </c>
      <c r="K883" s="92" t="s">
        <v>1061</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1041</v>
      </c>
      <c r="D884" s="92">
        <v>4</v>
      </c>
      <c r="E884" s="92" t="s">
        <v>66</v>
      </c>
      <c r="F884" s="92">
        <v>107</v>
      </c>
      <c r="G884" s="92" t="s">
        <v>888</v>
      </c>
      <c r="H884" s="92"/>
      <c r="I884" s="92">
        <v>0</v>
      </c>
      <c r="J884" s="92">
        <v>100545879</v>
      </c>
      <c r="K884" s="92" t="s">
        <v>1061</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1195</v>
      </c>
      <c r="D885" s="92">
        <v>7</v>
      </c>
      <c r="E885" s="92" t="s">
        <v>586</v>
      </c>
      <c r="F885" s="92">
        <v>122</v>
      </c>
      <c r="G885" s="92" t="s">
        <v>500</v>
      </c>
      <c r="H885" s="92"/>
      <c r="I885" s="92">
        <v>0</v>
      </c>
      <c r="J885" s="92">
        <v>574996</v>
      </c>
      <c r="K885" s="92" t="s">
        <v>1061</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1042</v>
      </c>
      <c r="D886" s="92">
        <v>9</v>
      </c>
      <c r="E886" s="92" t="s">
        <v>588</v>
      </c>
      <c r="F886" s="92">
        <v>73</v>
      </c>
      <c r="G886" s="92" t="s">
        <v>909</v>
      </c>
      <c r="H886" s="92"/>
      <c r="I886" s="92">
        <v>2506</v>
      </c>
      <c r="J886" s="92">
        <v>5490337</v>
      </c>
      <c r="K886" s="92" t="s">
        <v>1061</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1042</v>
      </c>
      <c r="D887" s="92">
        <v>17</v>
      </c>
      <c r="E887" s="92" t="s">
        <v>593</v>
      </c>
      <c r="F887" s="92">
        <v>31</v>
      </c>
      <c r="G887" s="92" t="s">
        <v>450</v>
      </c>
      <c r="H887" s="92"/>
      <c r="I887" s="92">
        <v>39621</v>
      </c>
      <c r="J887" s="92">
        <v>7457252</v>
      </c>
      <c r="K887" s="92" t="s">
        <v>1061</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1042</v>
      </c>
      <c r="D888" s="92">
        <v>4</v>
      </c>
      <c r="E888" s="92" t="s">
        <v>66</v>
      </c>
      <c r="F888" s="92">
        <v>117</v>
      </c>
      <c r="G888" s="92" t="s">
        <v>900</v>
      </c>
      <c r="H888" s="92"/>
      <c r="I888" s="92">
        <v>0</v>
      </c>
      <c r="J888" s="92">
        <v>7457252</v>
      </c>
      <c r="K888" s="92" t="s">
        <v>1061</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525</v>
      </c>
      <c r="H889" s="92"/>
      <c r="I889" s="92">
        <v>4000</v>
      </c>
      <c r="J889" s="92">
        <v>276994736</v>
      </c>
      <c r="K889" s="92" t="s">
        <v>1061</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1262</v>
      </c>
      <c r="H890" s="92"/>
      <c r="I890" s="92">
        <v>296025</v>
      </c>
      <c r="J890" s="92">
        <v>276994736</v>
      </c>
      <c r="K890" s="92" t="s">
        <v>1061</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1263</v>
      </c>
      <c r="H891" s="92"/>
      <c r="I891" s="92">
        <v>0</v>
      </c>
      <c r="J891" s="92">
        <v>276994736</v>
      </c>
      <c r="K891" s="92" t="s">
        <v>1061</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c r="AI891">
        <v>2.05823E-4</v>
      </c>
    </row>
    <row r="892" spans="1:35" x14ac:dyDescent="0.25">
      <c r="A892" t="str">
        <f t="shared" si="17"/>
        <v>39-11-49</v>
      </c>
      <c r="B892">
        <v>39</v>
      </c>
      <c r="C892" s="92" t="s">
        <v>79</v>
      </c>
      <c r="D892" s="92">
        <v>11</v>
      </c>
      <c r="E892" s="92" t="s">
        <v>1062</v>
      </c>
      <c r="F892" s="92">
        <v>49</v>
      </c>
      <c r="G892" s="92" t="s">
        <v>1264</v>
      </c>
      <c r="H892" s="92"/>
      <c r="I892" s="92">
        <v>0</v>
      </c>
      <c r="J892" s="92">
        <v>276994736</v>
      </c>
      <c r="K892" s="92" t="s">
        <v>1061</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971</v>
      </c>
      <c r="H893" s="92"/>
      <c r="I893" s="92">
        <v>0</v>
      </c>
      <c r="J893" s="92">
        <v>276994736</v>
      </c>
      <c r="K893" s="92" t="s">
        <v>1061</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1044</v>
      </c>
      <c r="D894" s="92">
        <v>11</v>
      </c>
      <c r="E894" s="92" t="s">
        <v>1062</v>
      </c>
      <c r="F894" s="92">
        <v>51</v>
      </c>
      <c r="G894" s="92" t="s">
        <v>930</v>
      </c>
      <c r="H894" s="92"/>
      <c r="I894" s="92">
        <v>69029</v>
      </c>
      <c r="J894" s="92">
        <v>4014062</v>
      </c>
      <c r="K894" s="92" t="s">
        <v>1061</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1033</v>
      </c>
      <c r="D895" s="92">
        <v>14</v>
      </c>
      <c r="E895" s="92" t="s">
        <v>571</v>
      </c>
      <c r="F895" s="92">
        <v>50</v>
      </c>
      <c r="G895" s="92" t="s">
        <v>312</v>
      </c>
      <c r="H895" s="92"/>
      <c r="I895" s="92">
        <v>26154</v>
      </c>
      <c r="J895" s="92">
        <v>1202331</v>
      </c>
      <c r="K895" s="92" t="s">
        <v>1061</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1033</v>
      </c>
      <c r="D896" s="92">
        <v>4</v>
      </c>
      <c r="E896" s="92" t="s">
        <v>66</v>
      </c>
      <c r="F896" s="92">
        <v>72</v>
      </c>
      <c r="G896" s="92" t="s">
        <v>1174</v>
      </c>
      <c r="H896" s="92"/>
      <c r="I896" s="92">
        <v>0</v>
      </c>
      <c r="J896" s="92">
        <v>1202331</v>
      </c>
      <c r="K896" s="92" t="s">
        <v>1061</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1038</v>
      </c>
      <c r="D897" s="92">
        <v>14</v>
      </c>
      <c r="E897" s="92" t="s">
        <v>571</v>
      </c>
      <c r="F897" s="92">
        <v>54</v>
      </c>
      <c r="G897" s="92" t="s">
        <v>866</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1044</v>
      </c>
      <c r="D898" s="92">
        <v>14</v>
      </c>
      <c r="E898" s="92" t="s">
        <v>571</v>
      </c>
      <c r="F898" s="92">
        <v>54</v>
      </c>
      <c r="G898" s="92" t="s">
        <v>866</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1195</v>
      </c>
      <c r="D899" s="92">
        <v>14</v>
      </c>
      <c r="E899" s="92" t="s">
        <v>571</v>
      </c>
      <c r="F899" s="92">
        <v>54</v>
      </c>
      <c r="G899" s="92" t="s">
        <v>866</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1034</v>
      </c>
      <c r="D900" s="92">
        <v>7</v>
      </c>
      <c r="E900" s="92" t="s">
        <v>586</v>
      </c>
      <c r="F900" s="92">
        <v>124</v>
      </c>
      <c r="G900" s="92" t="s">
        <v>325</v>
      </c>
      <c r="H900" s="92"/>
      <c r="I900" s="92">
        <v>1</v>
      </c>
      <c r="J900" s="92">
        <v>22420709</v>
      </c>
      <c r="K900" s="92" t="s">
        <v>1061</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1018</v>
      </c>
      <c r="D901" s="92">
        <v>4</v>
      </c>
      <c r="E901" s="92" t="s">
        <v>66</v>
      </c>
      <c r="F901" s="92">
        <v>76</v>
      </c>
      <c r="G901" s="92" t="s">
        <v>641</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1034</v>
      </c>
      <c r="D902" s="92">
        <v>4</v>
      </c>
      <c r="E902" s="92" t="s">
        <v>66</v>
      </c>
      <c r="F902" s="92">
        <v>76</v>
      </c>
      <c r="G902" s="92" t="s">
        <v>641</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1022</v>
      </c>
      <c r="D903" s="92">
        <v>14</v>
      </c>
      <c r="E903" s="92" t="s">
        <v>571</v>
      </c>
      <c r="F903" s="92">
        <v>62</v>
      </c>
      <c r="G903" s="92" t="s">
        <v>190</v>
      </c>
      <c r="H903" s="92"/>
      <c r="I903" s="92">
        <v>0</v>
      </c>
      <c r="J903" s="92">
        <v>128516</v>
      </c>
      <c r="K903" s="92" t="s">
        <v>1061</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1029</v>
      </c>
      <c r="D904" s="92">
        <v>9</v>
      </c>
      <c r="E904" s="92" t="s">
        <v>588</v>
      </c>
      <c r="F904" s="92">
        <v>76</v>
      </c>
      <c r="G904" s="92" t="s">
        <v>774</v>
      </c>
      <c r="H904" s="92"/>
      <c r="I904" s="92">
        <v>0</v>
      </c>
      <c r="J904" s="92">
        <v>0</v>
      </c>
      <c r="K904" s="92" t="s">
        <v>1061</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1029</v>
      </c>
      <c r="D905" s="92">
        <v>10</v>
      </c>
      <c r="E905" s="92" t="s">
        <v>589</v>
      </c>
      <c r="F905" s="92">
        <v>17</v>
      </c>
      <c r="G905" s="92" t="s">
        <v>275</v>
      </c>
      <c r="H905" s="92"/>
      <c r="I905" s="92">
        <v>0</v>
      </c>
      <c r="J905" s="92">
        <v>0</v>
      </c>
      <c r="K905" s="92" t="s">
        <v>1061</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1029</v>
      </c>
      <c r="D906" s="92">
        <v>11</v>
      </c>
      <c r="E906" s="92" t="s">
        <v>1062</v>
      </c>
      <c r="F906" s="92">
        <v>52</v>
      </c>
      <c r="G906" s="92" t="s">
        <v>782</v>
      </c>
      <c r="H906" s="92"/>
      <c r="I906" s="92">
        <v>2905</v>
      </c>
      <c r="J906" s="92">
        <v>18335140</v>
      </c>
      <c r="K906" s="92" t="s">
        <v>1061</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1044</v>
      </c>
      <c r="D907" s="92">
        <v>7</v>
      </c>
      <c r="E907" s="92" t="s">
        <v>586</v>
      </c>
      <c r="F907" s="92">
        <v>125</v>
      </c>
      <c r="G907" s="92" t="s">
        <v>463</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1195</v>
      </c>
      <c r="D908" s="92">
        <v>7</v>
      </c>
      <c r="E908" s="92" t="s">
        <v>586</v>
      </c>
      <c r="F908" s="92">
        <v>125</v>
      </c>
      <c r="G908" s="92" t="s">
        <v>463</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1044</v>
      </c>
      <c r="D909" s="92">
        <v>6</v>
      </c>
      <c r="E909" s="92" t="s">
        <v>592</v>
      </c>
      <c r="F909" s="92">
        <v>2</v>
      </c>
      <c r="G909" s="92" t="s">
        <v>923</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1195</v>
      </c>
      <c r="D910" s="92">
        <v>6</v>
      </c>
      <c r="E910" s="92" t="s">
        <v>592</v>
      </c>
      <c r="F910" s="92">
        <v>2</v>
      </c>
      <c r="G910" s="92" t="s">
        <v>923</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1046</v>
      </c>
      <c r="D911" s="92">
        <v>7</v>
      </c>
      <c r="E911" s="92" t="s">
        <v>586</v>
      </c>
      <c r="F911" s="92">
        <v>127</v>
      </c>
      <c r="G911" s="92" t="s">
        <v>483</v>
      </c>
      <c r="H911" s="92"/>
      <c r="I911" s="92">
        <v>25818</v>
      </c>
      <c r="J911" s="92">
        <v>15768706</v>
      </c>
      <c r="K911" s="92" t="s">
        <v>1061</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1045</v>
      </c>
      <c r="D912" s="92">
        <v>7</v>
      </c>
      <c r="E912" s="92" t="s">
        <v>586</v>
      </c>
      <c r="F912" s="92">
        <v>128</v>
      </c>
      <c r="G912" s="92" t="s">
        <v>471</v>
      </c>
      <c r="H912" s="92"/>
      <c r="I912" s="92">
        <v>0</v>
      </c>
      <c r="J912" s="92">
        <v>3363540</v>
      </c>
      <c r="K912" s="92" t="s">
        <v>1061</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1045</v>
      </c>
      <c r="D913" s="92">
        <v>9</v>
      </c>
      <c r="E913" s="92" t="s">
        <v>588</v>
      </c>
      <c r="F913" s="92">
        <v>142</v>
      </c>
      <c r="G913" s="92" t="s">
        <v>935</v>
      </c>
      <c r="H913" s="92"/>
      <c r="I913" s="92">
        <v>0</v>
      </c>
      <c r="J913" s="92">
        <v>0</v>
      </c>
      <c r="K913" s="92" t="s">
        <v>1061</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1045</v>
      </c>
      <c r="D914" s="92">
        <v>11</v>
      </c>
      <c r="E914" s="92" t="s">
        <v>1062</v>
      </c>
      <c r="F914" s="92">
        <v>54</v>
      </c>
      <c r="G914" s="92" t="s">
        <v>474</v>
      </c>
      <c r="H914" s="92"/>
      <c r="I914" s="92">
        <v>2669</v>
      </c>
      <c r="J914" s="92">
        <v>3457598</v>
      </c>
      <c r="K914" s="92" t="s">
        <v>1061</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1045</v>
      </c>
      <c r="D915" s="92">
        <v>14</v>
      </c>
      <c r="E915" s="92" t="s">
        <v>571</v>
      </c>
      <c r="F915" s="92">
        <v>36</v>
      </c>
      <c r="G915" s="92" t="s">
        <v>476</v>
      </c>
      <c r="H915" s="92"/>
      <c r="I915" s="92">
        <v>448</v>
      </c>
      <c r="J915" s="92">
        <v>2388291</v>
      </c>
      <c r="K915" s="92" t="s">
        <v>1061</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1045</v>
      </c>
      <c r="D916" s="92">
        <v>4</v>
      </c>
      <c r="E916" s="92" t="s">
        <v>66</v>
      </c>
      <c r="F916" s="92">
        <v>131</v>
      </c>
      <c r="G916" s="92" t="s">
        <v>932</v>
      </c>
      <c r="H916" s="92"/>
      <c r="I916" s="92">
        <v>0</v>
      </c>
      <c r="J916" s="92">
        <v>13038060</v>
      </c>
      <c r="K916" s="92" t="s">
        <v>1061</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1038</v>
      </c>
      <c r="D917" s="92">
        <v>7</v>
      </c>
      <c r="E917" s="92" t="s">
        <v>586</v>
      </c>
      <c r="F917" s="92">
        <v>129</v>
      </c>
      <c r="G917" s="92" t="s">
        <v>375</v>
      </c>
      <c r="H917" s="92"/>
      <c r="I917" s="92">
        <v>801</v>
      </c>
      <c r="J917" s="92">
        <v>4948204</v>
      </c>
      <c r="K917" s="92" t="s">
        <v>1061</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1023</v>
      </c>
      <c r="D918" s="92">
        <v>4</v>
      </c>
      <c r="E918" s="92" t="s">
        <v>66</v>
      </c>
      <c r="F918" s="92">
        <v>98</v>
      </c>
      <c r="G918" s="92" t="s">
        <v>727</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1039</v>
      </c>
      <c r="D919" s="92">
        <v>4</v>
      </c>
      <c r="E919" s="92" t="s">
        <v>66</v>
      </c>
      <c r="F919" s="92">
        <v>98</v>
      </c>
      <c r="G919" s="92" t="s">
        <v>727</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1034</v>
      </c>
      <c r="D920" s="92">
        <v>7</v>
      </c>
      <c r="E920" s="92" t="s">
        <v>586</v>
      </c>
      <c r="F920" s="92">
        <v>130</v>
      </c>
      <c r="G920" s="92" t="s">
        <v>326</v>
      </c>
      <c r="H920" s="92"/>
      <c r="I920" s="92">
        <v>0</v>
      </c>
      <c r="J920" s="92">
        <v>3128630</v>
      </c>
      <c r="K920" s="92" t="s">
        <v>1061</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1050</v>
      </c>
      <c r="D921" s="92">
        <v>7</v>
      </c>
      <c r="E921" s="92" t="s">
        <v>586</v>
      </c>
      <c r="F921" s="92">
        <v>132</v>
      </c>
      <c r="G921" s="92" t="s">
        <v>964</v>
      </c>
      <c r="H921" s="92"/>
      <c r="I921" s="92">
        <v>12135</v>
      </c>
      <c r="J921" s="92">
        <v>52334365</v>
      </c>
      <c r="K921" s="92" t="s">
        <v>1061</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1049</v>
      </c>
      <c r="D922" s="92">
        <v>7</v>
      </c>
      <c r="E922" s="92" t="s">
        <v>586</v>
      </c>
      <c r="F922" s="92">
        <v>131</v>
      </c>
      <c r="G922" s="92" t="s">
        <v>954</v>
      </c>
      <c r="H922" s="92"/>
      <c r="I922" s="92">
        <v>179</v>
      </c>
      <c r="J922" s="92">
        <v>17820265</v>
      </c>
      <c r="K922" s="92" t="s">
        <v>1061</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1020</v>
      </c>
      <c r="D923" s="92">
        <v>7</v>
      </c>
      <c r="E923" s="92" t="s">
        <v>586</v>
      </c>
      <c r="F923" s="92">
        <v>133</v>
      </c>
      <c r="G923" s="92" t="s">
        <v>143</v>
      </c>
      <c r="H923" s="92"/>
      <c r="I923" s="92">
        <v>0</v>
      </c>
      <c r="J923" s="92">
        <v>14726802</v>
      </c>
      <c r="K923" s="92" t="s">
        <v>1061</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1020</v>
      </c>
      <c r="D924" s="92">
        <v>7</v>
      </c>
      <c r="E924" s="92" t="s">
        <v>586</v>
      </c>
      <c r="F924" s="92">
        <v>134</v>
      </c>
      <c r="G924" s="92" t="s">
        <v>682</v>
      </c>
      <c r="H924" s="92"/>
      <c r="I924" s="92">
        <v>0</v>
      </c>
      <c r="J924" s="92">
        <v>3822244</v>
      </c>
      <c r="K924" s="92" t="s">
        <v>1061</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1035</v>
      </c>
      <c r="D925" s="92">
        <v>7</v>
      </c>
      <c r="E925" s="92" t="s">
        <v>586</v>
      </c>
      <c r="F925" s="92">
        <v>135</v>
      </c>
      <c r="G925" s="92" t="s">
        <v>840</v>
      </c>
      <c r="H925" s="92"/>
      <c r="I925" s="92">
        <v>4260</v>
      </c>
      <c r="J925" s="92">
        <v>20128488</v>
      </c>
      <c r="K925" s="92" t="s">
        <v>1061</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1039</v>
      </c>
      <c r="D926" s="92">
        <v>7</v>
      </c>
      <c r="E926" s="92" t="s">
        <v>586</v>
      </c>
      <c r="F926" s="92">
        <v>136</v>
      </c>
      <c r="G926" s="92" t="s">
        <v>874</v>
      </c>
      <c r="H926" s="92"/>
      <c r="I926" s="92">
        <v>0</v>
      </c>
      <c r="J926" s="92">
        <v>22966912</v>
      </c>
      <c r="K926" s="92" t="s">
        <v>1061</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1039</v>
      </c>
      <c r="D927" s="92">
        <v>15</v>
      </c>
      <c r="E927" s="92" t="s">
        <v>152</v>
      </c>
      <c r="F927" s="92">
        <v>8</v>
      </c>
      <c r="G927" s="92" t="s">
        <v>879</v>
      </c>
      <c r="H927" s="92"/>
      <c r="I927" s="92">
        <v>10248</v>
      </c>
      <c r="J927" s="92">
        <v>11732378</v>
      </c>
      <c r="K927" s="92" t="s">
        <v>1061</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1039</v>
      </c>
      <c r="D928" s="92">
        <v>9</v>
      </c>
      <c r="E928" s="92" t="s">
        <v>588</v>
      </c>
      <c r="F928" s="92">
        <v>113</v>
      </c>
      <c r="G928" s="92" t="s">
        <v>877</v>
      </c>
      <c r="H928" s="92"/>
      <c r="I928" s="92">
        <v>0</v>
      </c>
      <c r="J928" s="92">
        <v>1074000</v>
      </c>
      <c r="K928" s="92" t="s">
        <v>1061</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1021</v>
      </c>
      <c r="D929" s="92">
        <v>9</v>
      </c>
      <c r="E929" s="92" t="s">
        <v>588</v>
      </c>
      <c r="F929" s="92">
        <v>195</v>
      </c>
      <c r="G929" s="92" t="s">
        <v>1346</v>
      </c>
      <c r="H929" s="92"/>
      <c r="I929" s="92">
        <v>0</v>
      </c>
      <c r="J929" s="92">
        <v>0</v>
      </c>
      <c r="K929" s="92" t="s">
        <v>1061</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1029</v>
      </c>
      <c r="D930" s="92">
        <v>9</v>
      </c>
      <c r="E930" s="92" t="s">
        <v>588</v>
      </c>
      <c r="F930" s="92">
        <v>145</v>
      </c>
      <c r="G930" s="92" t="s">
        <v>775</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1196</v>
      </c>
      <c r="D931" s="92">
        <v>9</v>
      </c>
      <c r="E931" s="92" t="s">
        <v>588</v>
      </c>
      <c r="F931" s="92">
        <v>145</v>
      </c>
      <c r="G931" s="92" t="s">
        <v>775</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588</v>
      </c>
      <c r="F932" s="92">
        <v>161</v>
      </c>
      <c r="G932" s="92" t="s">
        <v>970</v>
      </c>
      <c r="H932" s="92"/>
      <c r="I932" s="92">
        <v>0</v>
      </c>
      <c r="J932" s="92">
        <v>0</v>
      </c>
      <c r="K932" s="92" t="s">
        <v>1061</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571</v>
      </c>
      <c r="F933" s="92">
        <v>37</v>
      </c>
      <c r="G933" s="92" t="s">
        <v>530</v>
      </c>
      <c r="H933" s="92"/>
      <c r="I933" s="92">
        <v>0</v>
      </c>
      <c r="J933" s="92">
        <v>3929862</v>
      </c>
      <c r="K933" s="92" t="s">
        <v>1061</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965</v>
      </c>
      <c r="H934" s="92"/>
      <c r="I934" s="92">
        <v>0</v>
      </c>
      <c r="J934" s="92">
        <v>3929862</v>
      </c>
      <c r="K934" s="92" t="s">
        <v>1061</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1027</v>
      </c>
      <c r="D935" s="92">
        <v>7</v>
      </c>
      <c r="E935" s="92" t="s">
        <v>586</v>
      </c>
      <c r="F935" s="92">
        <v>138</v>
      </c>
      <c r="G935" s="92" t="s">
        <v>233</v>
      </c>
      <c r="H935" s="92"/>
      <c r="I935" s="92">
        <v>1421</v>
      </c>
      <c r="J935" s="92">
        <v>7424568</v>
      </c>
      <c r="K935" s="92" t="s">
        <v>1061</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1047</v>
      </c>
      <c r="D936" s="92">
        <v>7</v>
      </c>
      <c r="E936" s="92" t="s">
        <v>586</v>
      </c>
      <c r="F936" s="92">
        <v>139</v>
      </c>
      <c r="G936" s="92" t="s">
        <v>941</v>
      </c>
      <c r="H936" s="92"/>
      <c r="I936" s="92">
        <v>0</v>
      </c>
      <c r="J936" s="92">
        <v>73395180</v>
      </c>
      <c r="K936" s="92" t="s">
        <v>1061</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1018</v>
      </c>
      <c r="D937" s="92">
        <v>14</v>
      </c>
      <c r="E937" s="92" t="s">
        <v>571</v>
      </c>
      <c r="F937" s="92">
        <v>39</v>
      </c>
      <c r="G937" s="92" t="s">
        <v>653</v>
      </c>
      <c r="H937" s="92"/>
      <c r="I937" s="92">
        <v>0</v>
      </c>
      <c r="J937" s="92">
        <v>401032677</v>
      </c>
      <c r="K937" s="92" t="s">
        <v>1061</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1032</v>
      </c>
      <c r="D938" s="92">
        <v>5</v>
      </c>
      <c r="E938" s="92" t="s">
        <v>200</v>
      </c>
      <c r="F938" s="92">
        <v>8</v>
      </c>
      <c r="G938" s="92" t="s">
        <v>812</v>
      </c>
      <c r="H938" s="92"/>
      <c r="I938" s="92">
        <v>0</v>
      </c>
      <c r="J938" s="92">
        <v>9204186</v>
      </c>
      <c r="K938" s="92" t="s">
        <v>1061</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c r="AI938">
        <v>1.8312E-4</v>
      </c>
    </row>
    <row r="939" spans="1:35" x14ac:dyDescent="0.25">
      <c r="A939" t="str">
        <f t="shared" si="18"/>
        <v>19-9-101</v>
      </c>
      <c r="B939">
        <v>19</v>
      </c>
      <c r="C939" s="92" t="s">
        <v>1032</v>
      </c>
      <c r="D939" s="92">
        <v>9</v>
      </c>
      <c r="E939" s="92" t="s">
        <v>588</v>
      </c>
      <c r="F939" s="92">
        <v>101</v>
      </c>
      <c r="G939" s="92" t="s">
        <v>814</v>
      </c>
      <c r="H939" s="92"/>
      <c r="I939" s="92">
        <v>0</v>
      </c>
      <c r="J939" s="92">
        <v>238000</v>
      </c>
      <c r="K939" s="92" t="s">
        <v>1061</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1035</v>
      </c>
      <c r="D940" s="92">
        <v>9</v>
      </c>
      <c r="E940" s="92" t="s">
        <v>588</v>
      </c>
      <c r="F940" s="92">
        <v>80</v>
      </c>
      <c r="G940" s="92" t="s">
        <v>844</v>
      </c>
      <c r="H940" s="92"/>
      <c r="I940" s="92">
        <v>0</v>
      </c>
      <c r="J940" s="92">
        <v>865000</v>
      </c>
      <c r="K940" s="92" t="s">
        <v>1061</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1053</v>
      </c>
      <c r="D941" s="92">
        <v>20</v>
      </c>
      <c r="E941" s="92" t="s">
        <v>153</v>
      </c>
      <c r="F941" s="92">
        <v>36</v>
      </c>
      <c r="G941" s="92" t="s">
        <v>1006</v>
      </c>
      <c r="H941" s="92"/>
      <c r="I941" s="92">
        <v>1616</v>
      </c>
      <c r="J941" s="92">
        <v>813415</v>
      </c>
      <c r="K941" s="92" t="s">
        <v>1061</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1043</v>
      </c>
      <c r="D942" s="92">
        <v>4</v>
      </c>
      <c r="E942" s="92" t="s">
        <v>66</v>
      </c>
      <c r="F942" s="92">
        <v>119</v>
      </c>
      <c r="G942" s="92" t="s">
        <v>916</v>
      </c>
      <c r="H942" s="92"/>
      <c r="I942" s="92">
        <v>0</v>
      </c>
      <c r="J942" s="92">
        <v>12353542</v>
      </c>
      <c r="K942" s="92" t="s">
        <v>1061</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1016</v>
      </c>
      <c r="D943" s="92">
        <v>15</v>
      </c>
      <c r="E943" s="92" t="s">
        <v>152</v>
      </c>
      <c r="F943" s="92">
        <v>5</v>
      </c>
      <c r="G943" s="92" t="s">
        <v>616</v>
      </c>
      <c r="H943" s="92"/>
      <c r="I943" s="92">
        <v>320370</v>
      </c>
      <c r="J943" s="92">
        <v>975232341</v>
      </c>
      <c r="K943" s="92" t="s">
        <v>1061</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1022</v>
      </c>
      <c r="D944" s="92">
        <v>9</v>
      </c>
      <c r="E944" s="92" t="s">
        <v>588</v>
      </c>
      <c r="F944" s="92">
        <v>139</v>
      </c>
      <c r="G944" s="92" t="s">
        <v>716</v>
      </c>
      <c r="H944" s="92"/>
      <c r="I944" s="92">
        <v>0</v>
      </c>
      <c r="J944" s="92">
        <v>16268201</v>
      </c>
      <c r="K944" s="92" t="s">
        <v>1061</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1038</v>
      </c>
      <c r="D945" s="92">
        <v>5</v>
      </c>
      <c r="E945" s="92" t="s">
        <v>200</v>
      </c>
      <c r="F945" s="92">
        <v>33</v>
      </c>
      <c r="G945" s="92" t="s">
        <v>1149</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c r="AI945">
        <v>3.5351300000000002E-4</v>
      </c>
    </row>
    <row r="946" spans="1:35" x14ac:dyDescent="0.25">
      <c r="A946" t="str">
        <f t="shared" si="18"/>
        <v>19-12-11</v>
      </c>
      <c r="B946">
        <v>19</v>
      </c>
      <c r="C946" s="92" t="s">
        <v>1032</v>
      </c>
      <c r="D946" s="92">
        <v>12</v>
      </c>
      <c r="E946" s="92" t="s">
        <v>71</v>
      </c>
      <c r="F946" s="92">
        <v>11</v>
      </c>
      <c r="G946" s="92" t="s">
        <v>304</v>
      </c>
      <c r="H946" s="92"/>
      <c r="I946" s="92">
        <v>23602</v>
      </c>
      <c r="J946" s="92">
        <v>1718192</v>
      </c>
      <c r="K946" s="92" t="s">
        <v>1061</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1017</v>
      </c>
      <c r="D947" s="92">
        <v>4</v>
      </c>
      <c r="E947" s="92" t="s">
        <v>66</v>
      </c>
      <c r="F947" s="92">
        <v>202</v>
      </c>
      <c r="G947" s="92" t="s">
        <v>628</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1038</v>
      </c>
      <c r="D948" s="92">
        <v>4</v>
      </c>
      <c r="E948" s="92" t="s">
        <v>66</v>
      </c>
      <c r="F948" s="92">
        <v>202</v>
      </c>
      <c r="G948" s="92" t="s">
        <v>628</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1043</v>
      </c>
      <c r="D949" s="92">
        <v>4</v>
      </c>
      <c r="E949" s="92" t="s">
        <v>66</v>
      </c>
      <c r="F949" s="92">
        <v>118</v>
      </c>
      <c r="G949" s="92" t="s">
        <v>915</v>
      </c>
      <c r="H949" s="92"/>
      <c r="I949" s="92">
        <v>0</v>
      </c>
      <c r="J949" s="92">
        <v>30826605</v>
      </c>
      <c r="K949" s="92" t="s">
        <v>1061</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1196</v>
      </c>
      <c r="D950" s="92">
        <v>9</v>
      </c>
      <c r="E950" s="92" t="s">
        <v>588</v>
      </c>
      <c r="F950" s="92">
        <v>146</v>
      </c>
      <c r="G950" s="92" t="s">
        <v>995</v>
      </c>
      <c r="H950" s="92"/>
      <c r="I950" s="92">
        <v>1236</v>
      </c>
      <c r="J950" s="92">
        <v>0</v>
      </c>
      <c r="K950" s="92" t="s">
        <v>1061</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1054</v>
      </c>
      <c r="D951" s="92">
        <v>7</v>
      </c>
      <c r="E951" s="92" t="s">
        <v>586</v>
      </c>
      <c r="F951" s="92">
        <v>142</v>
      </c>
      <c r="G951" s="92" t="s">
        <v>581</v>
      </c>
      <c r="H951" s="92"/>
      <c r="I951" s="92">
        <v>0</v>
      </c>
      <c r="J951" s="92">
        <v>101269718</v>
      </c>
      <c r="K951" s="92" t="s">
        <v>1061</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1022</v>
      </c>
      <c r="D952" s="92">
        <v>9</v>
      </c>
      <c r="E952" s="92" t="s">
        <v>588</v>
      </c>
      <c r="F952" s="92">
        <v>174</v>
      </c>
      <c r="G952" s="92" t="s">
        <v>718</v>
      </c>
      <c r="H952" s="92"/>
      <c r="I952" s="92">
        <v>0</v>
      </c>
      <c r="J952" s="92">
        <v>0</v>
      </c>
      <c r="K952" s="92" t="s">
        <v>1061</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1048</v>
      </c>
      <c r="D953" s="92">
        <v>7</v>
      </c>
      <c r="E953" s="92" t="s">
        <v>586</v>
      </c>
      <c r="F953" s="92">
        <v>143</v>
      </c>
      <c r="G953" s="92" t="s">
        <v>505</v>
      </c>
      <c r="H953" s="92"/>
      <c r="I953" s="92">
        <v>0</v>
      </c>
      <c r="J953" s="92">
        <v>3346468</v>
      </c>
      <c r="K953" s="92" t="s">
        <v>1061</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1048</v>
      </c>
      <c r="D954" s="92">
        <v>17</v>
      </c>
      <c r="E954" s="92" t="s">
        <v>593</v>
      </c>
      <c r="F954" s="92">
        <v>22</v>
      </c>
      <c r="G954" s="92" t="s">
        <v>508</v>
      </c>
      <c r="H954" s="92"/>
      <c r="I954" s="92">
        <v>0</v>
      </c>
      <c r="J954" s="92">
        <v>3346468</v>
      </c>
      <c r="K954" s="92" t="s">
        <v>1061</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1050</v>
      </c>
      <c r="D955" s="92">
        <v>9</v>
      </c>
      <c r="E955" s="92" t="s">
        <v>588</v>
      </c>
      <c r="F955" s="92">
        <v>119</v>
      </c>
      <c r="G955" s="92" t="s">
        <v>524</v>
      </c>
      <c r="H955" s="92"/>
      <c r="I955" s="92">
        <v>1</v>
      </c>
      <c r="J955" s="92">
        <v>0</v>
      </c>
      <c r="K955" s="92" t="s">
        <v>1061</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1031</v>
      </c>
      <c r="D956" s="92">
        <v>7</v>
      </c>
      <c r="E956" s="92" t="s">
        <v>586</v>
      </c>
      <c r="F956" s="92">
        <v>144</v>
      </c>
      <c r="G956" s="92" t="s">
        <v>293</v>
      </c>
      <c r="H956" s="92"/>
      <c r="I956" s="92">
        <v>4557</v>
      </c>
      <c r="J956" s="92">
        <v>510531</v>
      </c>
      <c r="K956" s="92" t="s">
        <v>1061</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1022</v>
      </c>
      <c r="D957" s="92">
        <v>11</v>
      </c>
      <c r="E957" s="92" t="s">
        <v>1062</v>
      </c>
      <c r="F957" s="92">
        <v>57</v>
      </c>
      <c r="G957" s="92" t="s">
        <v>720</v>
      </c>
      <c r="H957" s="92"/>
      <c r="I957" s="92">
        <v>0</v>
      </c>
      <c r="J957" s="92">
        <v>41781757</v>
      </c>
      <c r="K957" s="92" t="s">
        <v>1061</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1032</v>
      </c>
      <c r="D958" s="92">
        <v>9</v>
      </c>
      <c r="E958" s="92" t="s">
        <v>588</v>
      </c>
      <c r="F958" s="92">
        <v>122</v>
      </c>
      <c r="G958" s="92" t="s">
        <v>815</v>
      </c>
      <c r="H958" s="92"/>
      <c r="I958" s="92">
        <v>17030</v>
      </c>
      <c r="J958" s="92">
        <v>0</v>
      </c>
      <c r="K958" s="92" t="s">
        <v>1061</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1051</v>
      </c>
      <c r="D959" s="92">
        <v>5</v>
      </c>
      <c r="E959" s="92" t="s">
        <v>200</v>
      </c>
      <c r="F959" s="92">
        <v>32</v>
      </c>
      <c r="G959" s="92" t="s">
        <v>1265</v>
      </c>
      <c r="H959" s="92"/>
      <c r="I959" s="92">
        <v>0</v>
      </c>
      <c r="J959" s="92">
        <v>104126831</v>
      </c>
      <c r="K959" s="92" t="s">
        <v>1061</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c r="AI959">
        <v>2.25551E-4</v>
      </c>
    </row>
    <row r="960" spans="1:35" x14ac:dyDescent="0.25">
      <c r="A960" t="str">
        <f t="shared" si="18"/>
        <v>9-9-132</v>
      </c>
      <c r="B960">
        <v>9</v>
      </c>
      <c r="C960" s="92" t="s">
        <v>1022</v>
      </c>
      <c r="D960" s="92">
        <v>9</v>
      </c>
      <c r="E960" s="92" t="s">
        <v>588</v>
      </c>
      <c r="F960" s="92">
        <v>132</v>
      </c>
      <c r="G960" s="92" t="s">
        <v>715</v>
      </c>
      <c r="H960" s="92"/>
      <c r="I960" s="92">
        <v>54014</v>
      </c>
      <c r="J960" s="92">
        <v>681344</v>
      </c>
      <c r="K960" s="92" t="s">
        <v>1061</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1022</v>
      </c>
      <c r="D961" s="92">
        <v>17</v>
      </c>
      <c r="E961" s="92" t="s">
        <v>593</v>
      </c>
      <c r="F961" s="92">
        <v>27</v>
      </c>
      <c r="G961" s="92" t="s">
        <v>192</v>
      </c>
      <c r="H961" s="92"/>
      <c r="I961" s="92">
        <v>41237</v>
      </c>
      <c r="J961" s="92">
        <v>2710540</v>
      </c>
      <c r="K961" s="92" t="s">
        <v>1061</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1020</v>
      </c>
      <c r="D962" s="92">
        <v>7</v>
      </c>
      <c r="E962" s="92" t="s">
        <v>586</v>
      </c>
      <c r="F962" s="92">
        <v>145</v>
      </c>
      <c r="G962" s="92" t="s">
        <v>144</v>
      </c>
      <c r="H962" s="92"/>
      <c r="I962" s="92">
        <v>7992</v>
      </c>
      <c r="J962" s="92">
        <v>19111579</v>
      </c>
      <c r="K962" s="92" t="s">
        <v>1061</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1020</v>
      </c>
      <c r="D963" s="92">
        <v>9</v>
      </c>
      <c r="E963" s="92" t="s">
        <v>588</v>
      </c>
      <c r="F963" s="92">
        <v>79</v>
      </c>
      <c r="G963" s="92" t="s">
        <v>685</v>
      </c>
      <c r="H963" s="92"/>
      <c r="I963" s="92">
        <v>0</v>
      </c>
      <c r="J963" s="92">
        <v>0</v>
      </c>
      <c r="K963" s="92" t="s">
        <v>1061</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1020</v>
      </c>
      <c r="D964" s="92">
        <v>4</v>
      </c>
      <c r="E964" s="92" t="s">
        <v>66</v>
      </c>
      <c r="F964" s="92">
        <v>22</v>
      </c>
      <c r="G964" s="92" t="s">
        <v>679</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1023</v>
      </c>
      <c r="D965" s="92">
        <v>4</v>
      </c>
      <c r="E965" s="92" t="s">
        <v>66</v>
      </c>
      <c r="F965" s="92">
        <v>22</v>
      </c>
      <c r="G965" s="92" t="s">
        <v>679</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1023</v>
      </c>
      <c r="D966" s="92">
        <v>7</v>
      </c>
      <c r="E966" s="92" t="s">
        <v>586</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1039</v>
      </c>
      <c r="D967" s="92">
        <v>7</v>
      </c>
      <c r="E967" s="92" t="s">
        <v>586</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1045</v>
      </c>
      <c r="D968" s="92">
        <v>9</v>
      </c>
      <c r="E968" s="92" t="s">
        <v>588</v>
      </c>
      <c r="F968" s="92">
        <v>98</v>
      </c>
      <c r="G968" s="92" t="s">
        <v>934</v>
      </c>
      <c r="H968" s="92"/>
      <c r="I968" s="92">
        <v>172</v>
      </c>
      <c r="J968" s="92">
        <v>1973000</v>
      </c>
      <c r="K968" s="92" t="s">
        <v>1061</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1051</v>
      </c>
      <c r="D969" s="92">
        <v>2</v>
      </c>
      <c r="E969" s="92" t="s">
        <v>53</v>
      </c>
      <c r="F969" s="92">
        <v>40</v>
      </c>
      <c r="G969" s="92" t="s">
        <v>531</v>
      </c>
      <c r="H969" s="92"/>
      <c r="I969" s="92">
        <v>510382</v>
      </c>
      <c r="J969" s="92">
        <v>104126831</v>
      </c>
      <c r="K969" s="92" t="s">
        <v>1061</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1121</v>
      </c>
    </row>
    <row r="970" spans="1:35" x14ac:dyDescent="0.25">
      <c r="A970" t="str">
        <f t="shared" si="18"/>
        <v>28-9-21</v>
      </c>
      <c r="B970">
        <v>28</v>
      </c>
      <c r="C970" s="92" t="s">
        <v>1041</v>
      </c>
      <c r="D970" s="92">
        <v>9</v>
      </c>
      <c r="E970" s="92" t="s">
        <v>588</v>
      </c>
      <c r="F970" s="92">
        <v>21</v>
      </c>
      <c r="G970" s="92" t="s">
        <v>890</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1051</v>
      </c>
      <c r="D971" s="92">
        <v>9</v>
      </c>
      <c r="E971" s="92" t="s">
        <v>588</v>
      </c>
      <c r="F971" s="92">
        <v>21</v>
      </c>
      <c r="G971" s="92" t="s">
        <v>890</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1051</v>
      </c>
      <c r="D972" s="92">
        <v>11</v>
      </c>
      <c r="E972" s="92" t="s">
        <v>1062</v>
      </c>
      <c r="F972" s="92">
        <v>100</v>
      </c>
      <c r="G972" s="92" t="s">
        <v>1104</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1051</v>
      </c>
      <c r="D973" s="92">
        <v>9</v>
      </c>
      <c r="E973" s="92" t="s">
        <v>588</v>
      </c>
      <c r="F973" s="92">
        <v>18</v>
      </c>
      <c r="G973" s="92" t="s">
        <v>540</v>
      </c>
      <c r="H973" s="92"/>
      <c r="I973" s="92">
        <v>14805</v>
      </c>
      <c r="J973" s="92">
        <v>17749516</v>
      </c>
      <c r="K973" s="92" t="s">
        <v>1061</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1051</v>
      </c>
      <c r="D974" s="92">
        <v>9</v>
      </c>
      <c r="E974" s="92" t="s">
        <v>588</v>
      </c>
      <c r="F974" s="92">
        <v>23</v>
      </c>
      <c r="G974" s="92" t="s">
        <v>975</v>
      </c>
      <c r="H974" s="92"/>
      <c r="I974" s="92">
        <v>6627</v>
      </c>
      <c r="J974" s="92">
        <v>1878305</v>
      </c>
      <c r="K974" s="92" t="s">
        <v>1061</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1045</v>
      </c>
      <c r="D975" s="92">
        <v>11</v>
      </c>
      <c r="E975" s="92" t="s">
        <v>1062</v>
      </c>
      <c r="F975" s="92">
        <v>60</v>
      </c>
      <c r="G975" s="92" t="s">
        <v>475</v>
      </c>
      <c r="H975" s="92"/>
      <c r="I975" s="92">
        <v>0</v>
      </c>
      <c r="J975" s="92">
        <v>79785531</v>
      </c>
      <c r="K975" s="92" t="s">
        <v>1061</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1040</v>
      </c>
      <c r="D976" s="92">
        <v>4</v>
      </c>
      <c r="E976" s="92" t="s">
        <v>66</v>
      </c>
      <c r="F976" s="92">
        <v>128</v>
      </c>
      <c r="G976" s="92" t="s">
        <v>882</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1045</v>
      </c>
      <c r="D977" s="92">
        <v>4</v>
      </c>
      <c r="E977" s="92" t="s">
        <v>66</v>
      </c>
      <c r="F977" s="92">
        <v>128</v>
      </c>
      <c r="G977" s="92" t="s">
        <v>882</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1057</v>
      </c>
      <c r="D978" s="92">
        <v>9</v>
      </c>
      <c r="E978" s="92" t="s">
        <v>588</v>
      </c>
      <c r="F978" s="92">
        <v>178</v>
      </c>
      <c r="G978" s="92" t="s">
        <v>693</v>
      </c>
      <c r="H978" s="92"/>
      <c r="I978" s="92">
        <v>0</v>
      </c>
      <c r="J978" s="92">
        <v>0</v>
      </c>
      <c r="K978" s="92" t="s">
        <v>1061</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1020</v>
      </c>
      <c r="D979" s="92">
        <v>14</v>
      </c>
      <c r="E979" s="92" t="s">
        <v>571</v>
      </c>
      <c r="F979" s="92">
        <v>38</v>
      </c>
      <c r="G979" s="92" t="s">
        <v>151</v>
      </c>
      <c r="H979" s="92"/>
      <c r="I979" s="92">
        <v>0</v>
      </c>
      <c r="J979" s="92">
        <v>51607477</v>
      </c>
      <c r="K979" s="92" t="s">
        <v>1061</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1020</v>
      </c>
      <c r="D980" s="92">
        <v>4</v>
      </c>
      <c r="E980" s="92" t="s">
        <v>66</v>
      </c>
      <c r="F980" s="92">
        <v>18</v>
      </c>
      <c r="G980" s="92" t="s">
        <v>675</v>
      </c>
      <c r="H980" s="92"/>
      <c r="I980" s="92">
        <v>0</v>
      </c>
      <c r="J980" s="92">
        <v>51607477</v>
      </c>
      <c r="K980" s="92" t="s">
        <v>1061</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1194</v>
      </c>
      <c r="D981" s="92">
        <v>4</v>
      </c>
      <c r="E981" s="92" t="s">
        <v>66</v>
      </c>
      <c r="F981" s="92">
        <v>54</v>
      </c>
      <c r="G981" s="92" t="s">
        <v>657</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1023</v>
      </c>
      <c r="D982" s="92">
        <v>4</v>
      </c>
      <c r="E982" s="92" t="s">
        <v>66</v>
      </c>
      <c r="F982" s="92">
        <v>54</v>
      </c>
      <c r="G982" s="92" t="s">
        <v>657</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1028</v>
      </c>
      <c r="D983" s="92">
        <v>4</v>
      </c>
      <c r="E983" s="92" t="s">
        <v>66</v>
      </c>
      <c r="F983" s="92">
        <v>54</v>
      </c>
      <c r="G983" s="92" t="s">
        <v>657</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1024</v>
      </c>
      <c r="D984" s="92">
        <v>9</v>
      </c>
      <c r="E984" s="92" t="s">
        <v>588</v>
      </c>
      <c r="F984" s="92">
        <v>175</v>
      </c>
      <c r="G984" s="92" t="s">
        <v>739</v>
      </c>
      <c r="H984" s="92"/>
      <c r="I984" s="92">
        <v>0</v>
      </c>
      <c r="J984" s="92">
        <v>1060205</v>
      </c>
      <c r="K984" s="92" t="s">
        <v>1061</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1042</v>
      </c>
      <c r="D985" s="92">
        <v>11</v>
      </c>
      <c r="E985" s="92" t="s">
        <v>1062</v>
      </c>
      <c r="F985" s="92">
        <v>58</v>
      </c>
      <c r="G985" s="92" t="s">
        <v>913</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1195</v>
      </c>
      <c r="D986" s="92">
        <v>11</v>
      </c>
      <c r="E986" s="92" t="s">
        <v>1062</v>
      </c>
      <c r="F986" s="92">
        <v>58</v>
      </c>
      <c r="G986" s="92" t="s">
        <v>913</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1040</v>
      </c>
      <c r="D987" s="92">
        <v>13</v>
      </c>
      <c r="E987" s="92" t="s">
        <v>209</v>
      </c>
      <c r="F987" s="92">
        <v>4</v>
      </c>
      <c r="G987" s="92" t="s">
        <v>1266</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1196</v>
      </c>
      <c r="D988" s="92">
        <v>13</v>
      </c>
      <c r="E988" s="92" t="s">
        <v>209</v>
      </c>
      <c r="F988" s="92">
        <v>4</v>
      </c>
      <c r="G988" s="92" t="s">
        <v>1266</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1022</v>
      </c>
      <c r="D989" s="92">
        <v>20</v>
      </c>
      <c r="E989" s="92" t="s">
        <v>153</v>
      </c>
      <c r="F989" s="92">
        <v>20</v>
      </c>
      <c r="G989" s="92" t="s">
        <v>1100</v>
      </c>
      <c r="H989" s="92"/>
      <c r="I989" s="92">
        <v>0</v>
      </c>
      <c r="J989" s="92">
        <v>9181609</v>
      </c>
      <c r="K989" s="92" t="s">
        <v>1061</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1031</v>
      </c>
      <c r="D990" s="92">
        <v>7</v>
      </c>
      <c r="E990" s="92" t="s">
        <v>586</v>
      </c>
      <c r="F990" s="92">
        <v>148</v>
      </c>
      <c r="G990" s="92" t="s">
        <v>294</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1195</v>
      </c>
      <c r="D991" s="92">
        <v>7</v>
      </c>
      <c r="E991" s="92" t="s">
        <v>586</v>
      </c>
      <c r="F991" s="92">
        <v>148</v>
      </c>
      <c r="G991" s="92" t="s">
        <v>294</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1022</v>
      </c>
      <c r="D992" s="92">
        <v>9</v>
      </c>
      <c r="E992" s="92" t="s">
        <v>588</v>
      </c>
      <c r="F992" s="92">
        <v>81</v>
      </c>
      <c r="G992" s="92" t="s">
        <v>421</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1041</v>
      </c>
      <c r="D993" s="92">
        <v>9</v>
      </c>
      <c r="E993" s="92" t="s">
        <v>588</v>
      </c>
      <c r="F993" s="92">
        <v>81</v>
      </c>
      <c r="G993" s="92" t="s">
        <v>421</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1016</v>
      </c>
      <c r="D994" s="92">
        <v>30</v>
      </c>
      <c r="E994" s="92" t="s">
        <v>590</v>
      </c>
      <c r="F994" s="92">
        <v>2</v>
      </c>
      <c r="G994" s="92" t="s">
        <v>620</v>
      </c>
      <c r="H994" s="92"/>
      <c r="I994" s="92">
        <v>0</v>
      </c>
      <c r="J994" s="92">
        <v>0</v>
      </c>
      <c r="K994" s="92" t="s">
        <v>1061</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1020</v>
      </c>
      <c r="D995" s="92">
        <v>7</v>
      </c>
      <c r="E995" s="92" t="s">
        <v>586</v>
      </c>
      <c r="F995" s="92">
        <v>150</v>
      </c>
      <c r="G995" s="92" t="s">
        <v>145</v>
      </c>
      <c r="H995" s="92"/>
      <c r="I995" s="92">
        <v>59</v>
      </c>
      <c r="J995" s="92">
        <v>15475657</v>
      </c>
      <c r="K995" s="92" t="s">
        <v>1061</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1035</v>
      </c>
      <c r="D996" s="92">
        <v>7</v>
      </c>
      <c r="E996" s="92" t="s">
        <v>586</v>
      </c>
      <c r="F996" s="92">
        <v>152</v>
      </c>
      <c r="G996" s="92" t="s">
        <v>841</v>
      </c>
      <c r="H996" s="92"/>
      <c r="I996" s="92">
        <v>2770</v>
      </c>
      <c r="J996" s="92">
        <v>2620930</v>
      </c>
      <c r="K996" s="92" t="s">
        <v>1061</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1019</v>
      </c>
      <c r="D997" s="92">
        <v>4</v>
      </c>
      <c r="E997" s="92" t="s">
        <v>66</v>
      </c>
      <c r="F997" s="92">
        <v>14</v>
      </c>
      <c r="G997" s="92" t="s">
        <v>665</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1051</v>
      </c>
      <c r="D998" s="92">
        <v>4</v>
      </c>
      <c r="E998" s="92" t="s">
        <v>66</v>
      </c>
      <c r="F998" s="92">
        <v>14</v>
      </c>
      <c r="G998" s="92" t="s">
        <v>665</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1194</v>
      </c>
      <c r="D999" s="92">
        <v>7</v>
      </c>
      <c r="E999" s="92" t="s">
        <v>586</v>
      </c>
      <c r="F999" s="92">
        <v>140</v>
      </c>
      <c r="G999" s="92" t="s">
        <v>127</v>
      </c>
      <c r="H999" s="92"/>
      <c r="I999" s="92">
        <v>0</v>
      </c>
      <c r="J999" s="92">
        <v>3081825</v>
      </c>
      <c r="K999" s="92" t="s">
        <v>1061</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1051</v>
      </c>
      <c r="D1000" s="92">
        <v>9</v>
      </c>
      <c r="E1000" s="92" t="s">
        <v>588</v>
      </c>
      <c r="F1000" s="92">
        <v>82</v>
      </c>
      <c r="G1000" s="92" t="s">
        <v>976</v>
      </c>
      <c r="H1000" s="92"/>
      <c r="I1000" s="92">
        <v>5018</v>
      </c>
      <c r="J1000" s="92">
        <v>3917070</v>
      </c>
      <c r="K1000" s="92" t="s">
        <v>1061</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1048</v>
      </c>
      <c r="D1001" s="92">
        <v>7</v>
      </c>
      <c r="E1001" s="92" t="s">
        <v>586</v>
      </c>
      <c r="F1001" s="92">
        <v>141</v>
      </c>
      <c r="G1001" s="92" t="s">
        <v>506</v>
      </c>
      <c r="H1001" s="92"/>
      <c r="I1001" s="92">
        <v>693</v>
      </c>
      <c r="J1001" s="92">
        <v>4463214</v>
      </c>
      <c r="K1001" s="92" t="s">
        <v>1061</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1019</v>
      </c>
      <c r="D1002" s="92">
        <v>9</v>
      </c>
      <c r="E1002" s="92" t="s">
        <v>588</v>
      </c>
      <c r="F1002" s="92">
        <v>83</v>
      </c>
      <c r="G1002" s="92" t="s">
        <v>422</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1041</v>
      </c>
      <c r="D1003" s="92">
        <v>9</v>
      </c>
      <c r="E1003" s="92" t="s">
        <v>588</v>
      </c>
      <c r="F1003" s="92">
        <v>83</v>
      </c>
      <c r="G1003" s="92" t="s">
        <v>422</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1032</v>
      </c>
      <c r="D1004" s="92">
        <v>14</v>
      </c>
      <c r="E1004" s="92" t="s">
        <v>571</v>
      </c>
      <c r="F1004" s="92">
        <v>59</v>
      </c>
      <c r="G1004" s="92" t="s">
        <v>305</v>
      </c>
      <c r="H1004" s="92"/>
      <c r="I1004" s="92">
        <v>2064</v>
      </c>
      <c r="J1004" s="92">
        <v>1718192</v>
      </c>
      <c r="K1004" s="92" t="s">
        <v>1061</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1016</v>
      </c>
      <c r="D1005" s="92">
        <v>7</v>
      </c>
      <c r="E1005" s="92" t="s">
        <v>586</v>
      </c>
      <c r="F1005" s="92">
        <v>151</v>
      </c>
      <c r="G1005" s="92" t="s">
        <v>88</v>
      </c>
      <c r="H1005" s="92"/>
      <c r="I1005" s="92">
        <v>45058</v>
      </c>
      <c r="J1005" s="92">
        <v>68082005</v>
      </c>
      <c r="K1005" s="92" t="s">
        <v>1061</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1016</v>
      </c>
      <c r="D1006" s="92">
        <v>9</v>
      </c>
      <c r="E1006" s="92" t="s">
        <v>588</v>
      </c>
      <c r="F1006" s="92">
        <v>84</v>
      </c>
      <c r="G1006" s="92" t="s">
        <v>241</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1027</v>
      </c>
      <c r="D1007" s="92">
        <v>9</v>
      </c>
      <c r="E1007" s="92" t="s">
        <v>588</v>
      </c>
      <c r="F1007" s="92">
        <v>84</v>
      </c>
      <c r="G1007" s="92" t="s">
        <v>241</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1016</v>
      </c>
      <c r="D1008" s="92">
        <v>20</v>
      </c>
      <c r="E1008" s="92" t="s">
        <v>153</v>
      </c>
      <c r="F1008" s="92">
        <v>17</v>
      </c>
      <c r="G1008" s="92" t="s">
        <v>618</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1027</v>
      </c>
      <c r="D1009" s="92">
        <v>20</v>
      </c>
      <c r="E1009" s="92" t="s">
        <v>153</v>
      </c>
      <c r="F1009" s="92">
        <v>17</v>
      </c>
      <c r="G1009" s="92" t="s">
        <v>618</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1029</v>
      </c>
      <c r="D1010" s="92">
        <v>7</v>
      </c>
      <c r="E1010" s="92" t="s">
        <v>586</v>
      </c>
      <c r="F1010" s="92">
        <v>194</v>
      </c>
      <c r="G1010" s="92" t="s">
        <v>273</v>
      </c>
      <c r="H1010" s="92"/>
      <c r="I1010" s="92">
        <v>0</v>
      </c>
      <c r="J1010" s="92">
        <v>2580461</v>
      </c>
      <c r="K1010" s="92" t="s">
        <v>1061</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1046</v>
      </c>
      <c r="D1011" s="92">
        <v>7</v>
      </c>
      <c r="E1011" s="92" t="s">
        <v>586</v>
      </c>
      <c r="F1011" s="92">
        <v>153</v>
      </c>
      <c r="G1011" s="92" t="s">
        <v>484</v>
      </c>
      <c r="H1011" s="92"/>
      <c r="I1011" s="92">
        <v>0</v>
      </c>
      <c r="J1011" s="92">
        <v>6916396</v>
      </c>
      <c r="K1011" s="92" t="s">
        <v>1061</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1035</v>
      </c>
      <c r="D1012" s="92">
        <v>14</v>
      </c>
      <c r="E1012" s="92" t="s">
        <v>571</v>
      </c>
      <c r="F1012" s="92">
        <v>47</v>
      </c>
      <c r="G1012" s="92" t="s">
        <v>846</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1046</v>
      </c>
      <c r="D1013" s="92">
        <v>14</v>
      </c>
      <c r="E1013" s="92" t="s">
        <v>571</v>
      </c>
      <c r="F1013" s="92">
        <v>47</v>
      </c>
      <c r="G1013" s="92" t="s">
        <v>846</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1035</v>
      </c>
      <c r="D1014" s="92">
        <v>4</v>
      </c>
      <c r="E1014" s="92" t="s">
        <v>66</v>
      </c>
      <c r="F1014" s="92">
        <v>133</v>
      </c>
      <c r="G1014" s="92" t="s">
        <v>838</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1046</v>
      </c>
      <c r="D1015" s="92">
        <v>4</v>
      </c>
      <c r="E1015" s="92" t="s">
        <v>66</v>
      </c>
      <c r="F1015" s="92">
        <v>133</v>
      </c>
      <c r="G1015" s="92" t="s">
        <v>838</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1057</v>
      </c>
      <c r="D1016" s="92">
        <v>20</v>
      </c>
      <c r="E1016" s="92" t="s">
        <v>153</v>
      </c>
      <c r="F1016" s="92">
        <v>21</v>
      </c>
      <c r="G1016" s="92" t="s">
        <v>697</v>
      </c>
      <c r="H1016" s="92"/>
      <c r="I1016" s="92">
        <v>20467</v>
      </c>
      <c r="J1016" s="92">
        <v>5099125</v>
      </c>
      <c r="K1016" s="92" t="s">
        <v>1061</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1031</v>
      </c>
      <c r="D1017" s="92">
        <v>9</v>
      </c>
      <c r="E1017" s="92" t="s">
        <v>588</v>
      </c>
      <c r="F1017" s="92">
        <v>155</v>
      </c>
      <c r="G1017" s="92" t="s">
        <v>799</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1195</v>
      </c>
      <c r="D1018" s="92">
        <v>9</v>
      </c>
      <c r="E1018" s="92" t="s">
        <v>588</v>
      </c>
      <c r="F1018" s="92">
        <v>155</v>
      </c>
      <c r="G1018" s="92" t="s">
        <v>799</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1016</v>
      </c>
      <c r="D1019" s="92">
        <v>9</v>
      </c>
      <c r="E1019" s="92" t="s">
        <v>588</v>
      </c>
      <c r="F1019" s="92">
        <v>187</v>
      </c>
      <c r="G1019" s="92" t="s">
        <v>613</v>
      </c>
      <c r="H1019" s="92"/>
      <c r="I1019" s="92">
        <v>0</v>
      </c>
      <c r="J1019" s="92">
        <v>0</v>
      </c>
      <c r="K1019" s="92" t="s">
        <v>1061</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1046</v>
      </c>
      <c r="D1020" s="92">
        <v>7</v>
      </c>
      <c r="E1020" s="92" t="s">
        <v>586</v>
      </c>
      <c r="F1020" s="92">
        <v>154</v>
      </c>
      <c r="G1020" s="92" t="s">
        <v>485</v>
      </c>
      <c r="H1020" s="92"/>
      <c r="I1020" s="92">
        <v>0</v>
      </c>
      <c r="J1020" s="92">
        <v>10238168</v>
      </c>
      <c r="K1020" s="92" t="s">
        <v>1061</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1018</v>
      </c>
      <c r="D1021" s="92">
        <v>7</v>
      </c>
      <c r="E1021" s="92" t="s">
        <v>586</v>
      </c>
      <c r="F1021" s="92">
        <v>155</v>
      </c>
      <c r="G1021" s="92" t="s">
        <v>111</v>
      </c>
      <c r="H1021" s="92"/>
      <c r="I1021" s="92">
        <v>100</v>
      </c>
      <c r="J1021" s="92">
        <v>40670462</v>
      </c>
      <c r="K1021" s="92" t="s">
        <v>1061</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1023</v>
      </c>
      <c r="D1022" s="92">
        <v>7</v>
      </c>
      <c r="E1022" s="92" t="s">
        <v>586</v>
      </c>
      <c r="F1022" s="92">
        <v>203</v>
      </c>
      <c r="G1022" s="92" t="s">
        <v>207</v>
      </c>
      <c r="H1022" s="92"/>
      <c r="I1022" s="92">
        <v>0</v>
      </c>
      <c r="J1022" s="92">
        <v>3176845</v>
      </c>
      <c r="K1022" s="92" t="s">
        <v>1061</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1023</v>
      </c>
      <c r="D1023" s="92">
        <v>4</v>
      </c>
      <c r="E1023" s="92" t="s">
        <v>66</v>
      </c>
      <c r="F1023" s="92">
        <v>30</v>
      </c>
      <c r="G1023" s="92" t="s">
        <v>726</v>
      </c>
      <c r="H1023" s="92"/>
      <c r="I1023" s="92">
        <v>0</v>
      </c>
      <c r="J1023" s="92">
        <v>4209902</v>
      </c>
      <c r="K1023" s="92" t="s">
        <v>1061</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1036</v>
      </c>
      <c r="D1024" s="92">
        <v>7</v>
      </c>
      <c r="E1024" s="92" t="s">
        <v>586</v>
      </c>
      <c r="F1024" s="92">
        <v>156</v>
      </c>
      <c r="G1024" s="92" t="s">
        <v>341</v>
      </c>
      <c r="H1024" s="92"/>
      <c r="I1024" s="92">
        <v>0</v>
      </c>
      <c r="J1024" s="92">
        <v>5997975</v>
      </c>
      <c r="K1024" s="92" t="s">
        <v>1061</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1038</v>
      </c>
      <c r="D1025" s="92">
        <v>12</v>
      </c>
      <c r="E1025" s="92" t="s">
        <v>71</v>
      </c>
      <c r="F1025" s="92">
        <v>9</v>
      </c>
      <c r="G1025" s="92" t="s">
        <v>388</v>
      </c>
      <c r="H1025" s="92"/>
      <c r="I1025" s="92">
        <v>265</v>
      </c>
      <c r="J1025" s="92">
        <v>35234373</v>
      </c>
      <c r="K1025" s="92" t="s">
        <v>1061</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1020</v>
      </c>
      <c r="D1026" s="92">
        <v>7</v>
      </c>
      <c r="E1026" s="92" t="s">
        <v>586</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1023</v>
      </c>
      <c r="D1027" s="92">
        <v>7</v>
      </c>
      <c r="E1027" s="92" t="s">
        <v>586</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1023</v>
      </c>
      <c r="D1028" s="92">
        <v>20</v>
      </c>
      <c r="E1028" s="92" t="s">
        <v>153</v>
      </c>
      <c r="F1028" s="92">
        <v>64</v>
      </c>
      <c r="G1028" s="92" t="s">
        <v>1102</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1027</v>
      </c>
      <c r="D1029" s="92">
        <v>17</v>
      </c>
      <c r="E1029" s="92" t="s">
        <v>593</v>
      </c>
      <c r="F1029" s="92">
        <v>33</v>
      </c>
      <c r="G1029" s="92" t="s">
        <v>251</v>
      </c>
      <c r="H1029" s="92"/>
      <c r="I1029" s="92">
        <v>0</v>
      </c>
      <c r="J1029" s="92">
        <v>17909455</v>
      </c>
      <c r="K1029" s="92" t="s">
        <v>1061</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1019</v>
      </c>
      <c r="D1030" s="92">
        <v>9</v>
      </c>
      <c r="E1030" s="92" t="s">
        <v>588</v>
      </c>
      <c r="F1030" s="92">
        <v>86</v>
      </c>
      <c r="G1030" s="92" t="s">
        <v>669</v>
      </c>
      <c r="H1030" s="92"/>
      <c r="I1030" s="92">
        <v>14</v>
      </c>
      <c r="J1030" s="92">
        <v>0</v>
      </c>
      <c r="K1030" s="92" t="s">
        <v>1061</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1052</v>
      </c>
      <c r="D1031" s="92">
        <v>15</v>
      </c>
      <c r="E1031" s="92" t="s">
        <v>152</v>
      </c>
      <c r="F1031" s="92">
        <v>23</v>
      </c>
      <c r="G1031" s="92" t="s">
        <v>985</v>
      </c>
      <c r="H1031" s="92"/>
      <c r="I1031" s="92">
        <v>111618</v>
      </c>
      <c r="J1031" s="92">
        <v>14280407</v>
      </c>
      <c r="K1031" s="92" t="s">
        <v>1061</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1052</v>
      </c>
      <c r="D1032" s="92">
        <v>2</v>
      </c>
      <c r="E1032" s="92" t="s">
        <v>53</v>
      </c>
      <c r="F1032" s="92">
        <v>41</v>
      </c>
      <c r="G1032" s="92" t="s">
        <v>542</v>
      </c>
      <c r="H1032" s="92"/>
      <c r="I1032" s="92">
        <v>0</v>
      </c>
      <c r="J1032" s="92">
        <v>14280407</v>
      </c>
      <c r="K1032" s="92" t="s">
        <v>1061</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1052</v>
      </c>
      <c r="D1033" s="92">
        <v>9</v>
      </c>
      <c r="E1033" s="92" t="s">
        <v>588</v>
      </c>
      <c r="F1033" s="92">
        <v>162</v>
      </c>
      <c r="G1033" s="92" t="s">
        <v>983</v>
      </c>
      <c r="H1033" s="92"/>
      <c r="I1033" s="92">
        <v>0</v>
      </c>
      <c r="J1033" s="92">
        <v>0</v>
      </c>
      <c r="K1033" s="92" t="s">
        <v>1061</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1052</v>
      </c>
      <c r="D1034" s="92">
        <v>11</v>
      </c>
      <c r="E1034" s="92" t="s">
        <v>1062</v>
      </c>
      <c r="F1034" s="92">
        <v>101</v>
      </c>
      <c r="G1034" s="92" t="s">
        <v>1256</v>
      </c>
      <c r="H1034" s="92">
        <v>1</v>
      </c>
      <c r="I1034" s="92">
        <v>0</v>
      </c>
      <c r="J1034" s="92">
        <v>14280407</v>
      </c>
      <c r="K1034" s="92" t="s">
        <v>1061</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1052</v>
      </c>
      <c r="D1035" s="92">
        <v>10</v>
      </c>
      <c r="E1035" s="92" t="s">
        <v>589</v>
      </c>
      <c r="F1035" s="92">
        <v>21</v>
      </c>
      <c r="G1035" s="92" t="s">
        <v>549</v>
      </c>
      <c r="H1035" s="92"/>
      <c r="I1035" s="92">
        <v>0</v>
      </c>
      <c r="J1035" s="92">
        <v>0</v>
      </c>
      <c r="K1035" s="92" t="s">
        <v>1061</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1052</v>
      </c>
      <c r="D1036" s="92">
        <v>4</v>
      </c>
      <c r="E1036" s="92" t="s">
        <v>66</v>
      </c>
      <c r="F1036" s="92">
        <v>164</v>
      </c>
      <c r="G1036" s="92" t="s">
        <v>980</v>
      </c>
      <c r="H1036" s="92"/>
      <c r="I1036" s="92">
        <v>0</v>
      </c>
      <c r="J1036" s="92">
        <v>14280407</v>
      </c>
      <c r="K1036" s="92" t="s">
        <v>1061</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1035</v>
      </c>
      <c r="D1037" s="92">
        <v>7</v>
      </c>
      <c r="E1037" s="92" t="s">
        <v>586</v>
      </c>
      <c r="F1037" s="92">
        <v>160</v>
      </c>
      <c r="G1037" s="92" t="s">
        <v>486</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1046</v>
      </c>
      <c r="D1038" s="92">
        <v>7</v>
      </c>
      <c r="E1038" s="92" t="s">
        <v>586</v>
      </c>
      <c r="F1038" s="92">
        <v>160</v>
      </c>
      <c r="G1038" s="92" t="s">
        <v>486</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1052</v>
      </c>
      <c r="D1039" s="92">
        <v>17</v>
      </c>
      <c r="E1039" s="92" t="s">
        <v>593</v>
      </c>
      <c r="F1039" s="92">
        <v>41</v>
      </c>
      <c r="G1039" s="92" t="s">
        <v>1347</v>
      </c>
      <c r="H1039" s="92"/>
      <c r="I1039" s="92">
        <v>0</v>
      </c>
      <c r="J1039" s="92">
        <v>14280407</v>
      </c>
      <c r="K1039" s="92" t="s">
        <v>1061</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1028</v>
      </c>
      <c r="D1040" s="92">
        <v>7</v>
      </c>
      <c r="E1040" s="92" t="s">
        <v>586</v>
      </c>
      <c r="F1040" s="92">
        <v>162</v>
      </c>
      <c r="G1040" s="92" t="s">
        <v>261</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1034</v>
      </c>
      <c r="D1041" s="92">
        <v>7</v>
      </c>
      <c r="E1041" s="92" t="s">
        <v>586</v>
      </c>
      <c r="F1041" s="92">
        <v>162</v>
      </c>
      <c r="G1041" s="92" t="s">
        <v>261</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1049</v>
      </c>
      <c r="D1042" s="92">
        <v>11</v>
      </c>
      <c r="E1042" s="92" t="s">
        <v>1062</v>
      </c>
      <c r="F1042" s="92">
        <v>56</v>
      </c>
      <c r="G1042" s="92" t="s">
        <v>959</v>
      </c>
      <c r="H1042" s="92"/>
      <c r="I1042" s="92">
        <v>3522</v>
      </c>
      <c r="J1042" s="92">
        <v>19545409</v>
      </c>
      <c r="K1042" s="92" t="s">
        <v>1061</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1049</v>
      </c>
      <c r="D1043" s="92">
        <v>4</v>
      </c>
      <c r="E1043" s="92" t="s">
        <v>66</v>
      </c>
      <c r="F1043" s="92">
        <v>171</v>
      </c>
      <c r="G1043" s="92" t="s">
        <v>952</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1196</v>
      </c>
      <c r="D1044" s="92">
        <v>4</v>
      </c>
      <c r="E1044" s="92" t="s">
        <v>66</v>
      </c>
      <c r="F1044" s="92">
        <v>171</v>
      </c>
      <c r="G1044" s="92" t="s">
        <v>952</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1022</v>
      </c>
      <c r="D1045" s="92">
        <v>9</v>
      </c>
      <c r="E1045" s="92" t="s">
        <v>588</v>
      </c>
      <c r="F1045" s="92">
        <v>167</v>
      </c>
      <c r="G1045" s="92" t="s">
        <v>423</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182">
        <f>1352176+700000</f>
        <v>2052176</v>
      </c>
      <c r="AE1045" s="92">
        <v>0</v>
      </c>
      <c r="AF1045" s="92">
        <v>0</v>
      </c>
      <c r="AG1045" s="92">
        <v>0</v>
      </c>
      <c r="AI1045" s="256">
        <v>8.3271699999999996E-4</v>
      </c>
    </row>
    <row r="1046" spans="1:35" x14ac:dyDescent="0.25">
      <c r="A1046" t="str">
        <f t="shared" si="19"/>
        <v>28-9-167</v>
      </c>
      <c r="B1046">
        <v>28</v>
      </c>
      <c r="C1046" s="92" t="s">
        <v>1041</v>
      </c>
      <c r="D1046" s="92">
        <v>9</v>
      </c>
      <c r="E1046" s="92" t="s">
        <v>588</v>
      </c>
      <c r="F1046" s="92">
        <v>167</v>
      </c>
      <c r="G1046" s="92" t="s">
        <v>423</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182">
        <f>1352176+700000</f>
        <v>2052176</v>
      </c>
      <c r="AE1046" s="92">
        <v>0</v>
      </c>
      <c r="AF1046" s="92">
        <v>0</v>
      </c>
      <c r="AG1046" s="92">
        <v>0</v>
      </c>
      <c r="AI1046" s="256">
        <v>8.3271699999999996E-4</v>
      </c>
    </row>
    <row r="1047" spans="1:35" x14ac:dyDescent="0.25">
      <c r="A1047" t="str">
        <f t="shared" si="19"/>
        <v>21-7-164</v>
      </c>
      <c r="B1047">
        <v>21</v>
      </c>
      <c r="C1047" s="92" t="s">
        <v>1034</v>
      </c>
      <c r="D1047" s="92">
        <v>7</v>
      </c>
      <c r="E1047" s="92" t="s">
        <v>586</v>
      </c>
      <c r="F1047" s="92">
        <v>164</v>
      </c>
      <c r="G1047" s="92" t="s">
        <v>327</v>
      </c>
      <c r="H1047" s="92"/>
      <c r="I1047" s="92">
        <v>0</v>
      </c>
      <c r="J1047" s="92">
        <v>5281139</v>
      </c>
      <c r="K1047" s="92" t="s">
        <v>1061</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1042</v>
      </c>
      <c r="D1048" s="92">
        <v>7</v>
      </c>
      <c r="E1048" s="92" t="s">
        <v>586</v>
      </c>
      <c r="F1048" s="92">
        <v>165</v>
      </c>
      <c r="G1048" s="92" t="s">
        <v>447</v>
      </c>
      <c r="H1048" s="92"/>
      <c r="I1048" s="92">
        <v>1200</v>
      </c>
      <c r="J1048" s="92">
        <v>7909783</v>
      </c>
      <c r="K1048" s="92" t="s">
        <v>1061</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1042</v>
      </c>
      <c r="D1049" s="92">
        <v>9</v>
      </c>
      <c r="E1049" s="92" t="s">
        <v>588</v>
      </c>
      <c r="F1049" s="92">
        <v>87</v>
      </c>
      <c r="G1049" s="92" t="s">
        <v>910</v>
      </c>
      <c r="H1049" s="92"/>
      <c r="I1049" s="92">
        <v>2966</v>
      </c>
      <c r="J1049" s="92">
        <v>3633349</v>
      </c>
      <c r="K1049" s="92" t="s">
        <v>1061</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1042</v>
      </c>
      <c r="D1050" s="92">
        <v>17</v>
      </c>
      <c r="E1050" s="92" t="s">
        <v>593</v>
      </c>
      <c r="F1050" s="92">
        <v>34</v>
      </c>
      <c r="G1050" s="92" t="s">
        <v>451</v>
      </c>
      <c r="H1050" s="92"/>
      <c r="I1050" s="92">
        <v>21891</v>
      </c>
      <c r="J1050" s="92">
        <v>7041932</v>
      </c>
      <c r="K1050" s="92" t="s">
        <v>1061</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1042</v>
      </c>
      <c r="D1051" s="92">
        <v>4</v>
      </c>
      <c r="E1051" s="92" t="s">
        <v>66</v>
      </c>
      <c r="F1051" s="92">
        <v>200</v>
      </c>
      <c r="G1051" s="92" t="s">
        <v>901</v>
      </c>
      <c r="H1051" s="92"/>
      <c r="I1051" s="92">
        <v>0</v>
      </c>
      <c r="J1051" s="92">
        <v>7780662</v>
      </c>
      <c r="K1051" s="92" t="s">
        <v>1061</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1028</v>
      </c>
      <c r="D1052" s="92">
        <v>7</v>
      </c>
      <c r="E1052" s="92" t="s">
        <v>586</v>
      </c>
      <c r="F1052" s="92">
        <v>166</v>
      </c>
      <c r="G1052" s="92" t="s">
        <v>262</v>
      </c>
      <c r="H1052" s="92"/>
      <c r="I1052" s="92">
        <v>375</v>
      </c>
      <c r="J1052" s="92">
        <v>3507105</v>
      </c>
      <c r="K1052" s="92" t="s">
        <v>1061</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1196</v>
      </c>
      <c r="D1053" s="92">
        <v>5</v>
      </c>
      <c r="E1053" s="92" t="s">
        <v>200</v>
      </c>
      <c r="F1053" s="92">
        <v>23</v>
      </c>
      <c r="G1053" s="92" t="s">
        <v>990</v>
      </c>
      <c r="H1053" s="92"/>
      <c r="I1053" s="92">
        <v>129409</v>
      </c>
      <c r="J1053" s="92">
        <v>327479746</v>
      </c>
      <c r="K1053" s="92" t="s">
        <v>1061</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c r="AI1053">
        <v>1.15863E-4</v>
      </c>
    </row>
    <row r="1054" spans="1:35" x14ac:dyDescent="0.25">
      <c r="A1054" t="str">
        <f t="shared" si="20"/>
        <v>42-2-42</v>
      </c>
      <c r="B1054">
        <v>42</v>
      </c>
      <c r="C1054" s="92" t="s">
        <v>1196</v>
      </c>
      <c r="D1054" s="92">
        <v>2</v>
      </c>
      <c r="E1054" s="92" t="s">
        <v>53</v>
      </c>
      <c r="F1054" s="92">
        <v>42</v>
      </c>
      <c r="G1054" s="92" t="s">
        <v>550</v>
      </c>
      <c r="H1054" s="92"/>
      <c r="I1054" s="92">
        <v>0</v>
      </c>
      <c r="J1054" s="92">
        <v>327479746</v>
      </c>
      <c r="K1054" s="92" t="s">
        <v>1061</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1196</v>
      </c>
      <c r="D1055" s="92">
        <v>15</v>
      </c>
      <c r="E1055" s="92" t="s">
        <v>152</v>
      </c>
      <c r="F1055" s="92">
        <v>18</v>
      </c>
      <c r="G1055" s="92" t="s">
        <v>1267</v>
      </c>
      <c r="H1055" s="92"/>
      <c r="I1055" s="92">
        <v>133298</v>
      </c>
      <c r="J1055" s="92">
        <v>327479746</v>
      </c>
      <c r="K1055" s="92" t="s">
        <v>1061</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1196</v>
      </c>
      <c r="D1056" s="92">
        <v>11</v>
      </c>
      <c r="E1056" s="92" t="s">
        <v>1062</v>
      </c>
      <c r="F1056" s="92">
        <v>61</v>
      </c>
      <c r="G1056" s="92" t="s">
        <v>999</v>
      </c>
      <c r="H1056" s="92"/>
      <c r="I1056" s="92">
        <v>178828</v>
      </c>
      <c r="J1056" s="92">
        <v>207425653</v>
      </c>
      <c r="K1056" s="92" t="s">
        <v>1061</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1196</v>
      </c>
      <c r="D1057" s="92">
        <v>9</v>
      </c>
      <c r="E1057" s="92" t="s">
        <v>588</v>
      </c>
      <c r="F1057" s="92">
        <v>141</v>
      </c>
      <c r="G1057" s="92" t="s">
        <v>992</v>
      </c>
      <c r="H1057" s="92"/>
      <c r="I1057" s="92">
        <v>250992</v>
      </c>
      <c r="J1057" s="92">
        <v>3148617</v>
      </c>
      <c r="K1057" s="92" t="s">
        <v>1061</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1196</v>
      </c>
      <c r="D1058" s="92">
        <v>4</v>
      </c>
      <c r="E1058" s="92" t="s">
        <v>66</v>
      </c>
      <c r="F1058" s="92">
        <v>165</v>
      </c>
      <c r="G1058" s="92" t="s">
        <v>986</v>
      </c>
      <c r="H1058" s="92"/>
      <c r="I1058" s="92">
        <v>0</v>
      </c>
      <c r="J1058" s="92">
        <v>81690333</v>
      </c>
      <c r="K1058" s="92" t="s">
        <v>1061</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1041</v>
      </c>
      <c r="D1059" s="92">
        <v>10</v>
      </c>
      <c r="E1059" s="92" t="s">
        <v>589</v>
      </c>
      <c r="F1059" s="92">
        <v>19</v>
      </c>
      <c r="G1059" s="92" t="s">
        <v>893</v>
      </c>
      <c r="H1059" s="92"/>
      <c r="I1059" s="92">
        <v>31745</v>
      </c>
      <c r="J1059" s="92">
        <v>0</v>
      </c>
      <c r="K1059" s="92" t="s">
        <v>1061</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1031</v>
      </c>
      <c r="D1060" s="92">
        <v>9</v>
      </c>
      <c r="E1060" s="92" t="s">
        <v>588</v>
      </c>
      <c r="F1060" s="92">
        <v>158</v>
      </c>
      <c r="G1060" s="92" t="s">
        <v>800</v>
      </c>
      <c r="H1060" s="92"/>
      <c r="I1060" s="92">
        <v>44980</v>
      </c>
      <c r="J1060" s="92">
        <v>149049</v>
      </c>
      <c r="K1060" s="92" t="s">
        <v>1061</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1023</v>
      </c>
      <c r="D1061" s="92">
        <v>7</v>
      </c>
      <c r="E1061" s="92" t="s">
        <v>586</v>
      </c>
      <c r="F1061" s="92">
        <v>167</v>
      </c>
      <c r="G1061" s="92" t="s">
        <v>208</v>
      </c>
      <c r="H1061" s="92"/>
      <c r="I1061" s="92">
        <v>0</v>
      </c>
      <c r="J1061" s="92">
        <v>5388715</v>
      </c>
      <c r="K1061" s="92" t="s">
        <v>1061</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1027</v>
      </c>
      <c r="D1062" s="92">
        <v>9</v>
      </c>
      <c r="E1062" s="92" t="s">
        <v>588</v>
      </c>
      <c r="F1062" s="92">
        <v>88</v>
      </c>
      <c r="G1062" s="92" t="s">
        <v>242</v>
      </c>
      <c r="H1062" s="92"/>
      <c r="I1062" s="92">
        <v>7770</v>
      </c>
      <c r="J1062" s="92">
        <v>0</v>
      </c>
      <c r="K1062" s="92" t="s">
        <v>1061</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1031</v>
      </c>
      <c r="D1063" s="92">
        <v>9</v>
      </c>
      <c r="E1063" s="92" t="s">
        <v>588</v>
      </c>
      <c r="F1063" s="92">
        <v>176</v>
      </c>
      <c r="G1063" s="92" t="s">
        <v>802</v>
      </c>
      <c r="H1063" s="92"/>
      <c r="I1063" s="92">
        <v>2948</v>
      </c>
      <c r="J1063" s="92">
        <v>0</v>
      </c>
      <c r="K1063" s="92" t="s">
        <v>1061</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1053</v>
      </c>
      <c r="D1064" s="92">
        <v>7</v>
      </c>
      <c r="E1064" s="92" t="s">
        <v>586</v>
      </c>
      <c r="F1064" s="92">
        <v>168</v>
      </c>
      <c r="G1064" s="92" t="s">
        <v>569</v>
      </c>
      <c r="H1064" s="92"/>
      <c r="I1064" s="92">
        <v>961</v>
      </c>
      <c r="J1064" s="92">
        <v>23688636</v>
      </c>
      <c r="K1064" s="92" t="s">
        <v>1061</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1053</v>
      </c>
      <c r="D1065" s="92">
        <v>2</v>
      </c>
      <c r="E1065" s="92" t="s">
        <v>53</v>
      </c>
      <c r="F1065" s="92">
        <v>43</v>
      </c>
      <c r="G1065" s="92" t="s">
        <v>564</v>
      </c>
      <c r="H1065" s="92"/>
      <c r="I1065" s="92">
        <v>0</v>
      </c>
      <c r="J1065" s="92">
        <v>65133985</v>
      </c>
      <c r="K1065" s="92" t="s">
        <v>1061</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1053</v>
      </c>
      <c r="D1066" s="92">
        <v>11</v>
      </c>
      <c r="E1066" s="92" t="s">
        <v>1062</v>
      </c>
      <c r="F1066" s="92">
        <v>103</v>
      </c>
      <c r="G1066" s="92" t="s">
        <v>1257</v>
      </c>
      <c r="H1066" s="92">
        <v>1</v>
      </c>
      <c r="I1066" s="92">
        <v>0</v>
      </c>
      <c r="J1066" s="92">
        <v>65133985</v>
      </c>
      <c r="K1066" s="92" t="s">
        <v>1061</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1053</v>
      </c>
      <c r="D1067" s="92">
        <v>5</v>
      </c>
      <c r="E1067" s="92" t="s">
        <v>200</v>
      </c>
      <c r="F1067" s="92">
        <v>34</v>
      </c>
      <c r="G1067" s="92" t="s">
        <v>1172</v>
      </c>
      <c r="H1067" s="92"/>
      <c r="I1067" s="92">
        <v>0</v>
      </c>
      <c r="J1067" s="92">
        <v>65133985</v>
      </c>
      <c r="K1067" s="92" t="s">
        <v>1061</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182">
        <f>1462916+2824775</f>
        <v>4287691</v>
      </c>
      <c r="AE1067" s="92">
        <v>0</v>
      </c>
      <c r="AF1067" s="92">
        <v>0</v>
      </c>
      <c r="AG1067" s="92">
        <v>0</v>
      </c>
      <c r="AI1067" s="255">
        <v>3.3497000000000003E-4</v>
      </c>
    </row>
    <row r="1068" spans="1:35" x14ac:dyDescent="0.25">
      <c r="A1068" t="str">
        <f t="shared" si="20"/>
        <v>41-14-40</v>
      </c>
      <c r="B1068">
        <v>41</v>
      </c>
      <c r="C1068" s="92" t="s">
        <v>1052</v>
      </c>
      <c r="D1068" s="92">
        <v>14</v>
      </c>
      <c r="E1068" s="92" t="s">
        <v>571</v>
      </c>
      <c r="F1068" s="92">
        <v>40</v>
      </c>
      <c r="G1068" s="92" t="s">
        <v>984</v>
      </c>
      <c r="H1068" s="92"/>
      <c r="I1068" s="92">
        <v>0</v>
      </c>
      <c r="J1068" s="92">
        <v>14280407</v>
      </c>
      <c r="K1068" s="92" t="s">
        <v>1061</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1040</v>
      </c>
      <c r="D1069" s="92">
        <v>17</v>
      </c>
      <c r="E1069" s="92" t="s">
        <v>593</v>
      </c>
      <c r="F1069" s="92">
        <v>24</v>
      </c>
      <c r="G1069" s="92" t="s">
        <v>403</v>
      </c>
      <c r="H1069" s="92"/>
      <c r="I1069" s="92">
        <v>0</v>
      </c>
      <c r="J1069" s="92">
        <v>53591457</v>
      </c>
      <c r="K1069" s="92" t="s">
        <v>1061</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1040</v>
      </c>
      <c r="D1070" s="92">
        <v>4</v>
      </c>
      <c r="E1070" s="92" t="s">
        <v>66</v>
      </c>
      <c r="F1070" s="92">
        <v>103</v>
      </c>
      <c r="G1070" s="92" t="s">
        <v>881</v>
      </c>
      <c r="H1070" s="92"/>
      <c r="I1070" s="92">
        <v>0</v>
      </c>
      <c r="J1070" s="92">
        <v>53591457</v>
      </c>
      <c r="K1070" s="92" t="s">
        <v>1061</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1029</v>
      </c>
      <c r="D1071" s="92">
        <v>7</v>
      </c>
      <c r="E1071" s="92" t="s">
        <v>586</v>
      </c>
      <c r="F1071" s="92">
        <v>169</v>
      </c>
      <c r="G1071" s="92" t="s">
        <v>771</v>
      </c>
      <c r="H1071" s="92"/>
      <c r="I1071" s="92">
        <v>0</v>
      </c>
      <c r="J1071" s="92">
        <v>9924441</v>
      </c>
      <c r="K1071" s="92" t="s">
        <v>1061</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586</v>
      </c>
      <c r="F1072" s="92">
        <v>137</v>
      </c>
      <c r="G1072" s="92" t="s">
        <v>967</v>
      </c>
      <c r="H1072" s="92"/>
      <c r="I1072" s="92">
        <v>0</v>
      </c>
      <c r="J1072" s="92">
        <v>3948443</v>
      </c>
      <c r="K1072" s="92" t="s">
        <v>1061</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1027</v>
      </c>
      <c r="D1073" s="92">
        <v>4</v>
      </c>
      <c r="E1073" s="92" t="s">
        <v>66</v>
      </c>
      <c r="F1073" s="92">
        <v>49</v>
      </c>
      <c r="G1073" s="92" t="s">
        <v>756</v>
      </c>
      <c r="H1073" s="92"/>
      <c r="I1073" s="92">
        <v>0</v>
      </c>
      <c r="J1073" s="92">
        <v>93558568</v>
      </c>
      <c r="K1073" s="92" t="s">
        <v>1061</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1052</v>
      </c>
      <c r="D1074" s="92">
        <v>7</v>
      </c>
      <c r="E1074" s="92" t="s">
        <v>586</v>
      </c>
      <c r="F1074" s="92">
        <v>170</v>
      </c>
      <c r="G1074" s="92" t="s">
        <v>548</v>
      </c>
      <c r="H1074" s="92"/>
      <c r="I1074" s="92">
        <v>1</v>
      </c>
      <c r="J1074" s="92">
        <v>4437642</v>
      </c>
      <c r="K1074" s="92" t="s">
        <v>1061</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1029</v>
      </c>
      <c r="D1075" s="92">
        <v>7</v>
      </c>
      <c r="E1075" s="92" t="s">
        <v>586</v>
      </c>
      <c r="F1075" s="92">
        <v>171</v>
      </c>
      <c r="G1075" s="92" t="s">
        <v>274</v>
      </c>
      <c r="H1075" s="92"/>
      <c r="I1075" s="92">
        <v>0</v>
      </c>
      <c r="J1075" s="92">
        <v>712128</v>
      </c>
      <c r="K1075" s="92" t="s">
        <v>1061</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1042</v>
      </c>
      <c r="D1076" s="92">
        <v>7</v>
      </c>
      <c r="E1076" s="92" t="s">
        <v>586</v>
      </c>
      <c r="F1076" s="92">
        <v>172</v>
      </c>
      <c r="G1076" s="92" t="s">
        <v>903</v>
      </c>
      <c r="H1076" s="92"/>
      <c r="I1076" s="92">
        <v>0</v>
      </c>
      <c r="J1076" s="92">
        <v>3990307</v>
      </c>
      <c r="K1076" s="92" t="s">
        <v>1061</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1039</v>
      </c>
      <c r="D1077" s="92">
        <v>5</v>
      </c>
      <c r="E1077" s="92" t="s">
        <v>200</v>
      </c>
      <c r="F1077" s="92">
        <v>5</v>
      </c>
      <c r="G1077" s="92" t="s">
        <v>870</v>
      </c>
      <c r="H1077" s="92"/>
      <c r="I1077" s="92">
        <v>0</v>
      </c>
      <c r="J1077" s="92">
        <v>52275909</v>
      </c>
      <c r="K1077" s="92" t="s">
        <v>1061</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c r="AI1077">
        <v>1.2750899999999999E-4</v>
      </c>
    </row>
    <row r="1078" spans="1:35" x14ac:dyDescent="0.25">
      <c r="A1078" t="str">
        <f t="shared" si="20"/>
        <v>26-9-95</v>
      </c>
      <c r="B1078">
        <v>26</v>
      </c>
      <c r="C1078" s="92" t="s">
        <v>1039</v>
      </c>
      <c r="D1078" s="92">
        <v>9</v>
      </c>
      <c r="E1078" s="92" t="s">
        <v>588</v>
      </c>
      <c r="F1078" s="92">
        <v>95</v>
      </c>
      <c r="G1078" s="92" t="s">
        <v>876</v>
      </c>
      <c r="H1078" s="92"/>
      <c r="I1078" s="92">
        <v>0</v>
      </c>
      <c r="J1078" s="92">
        <v>0</v>
      </c>
      <c r="K1078" s="92" t="s">
        <v>1061</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1039</v>
      </c>
      <c r="D1079" s="92">
        <v>14</v>
      </c>
      <c r="E1079" s="92" t="s">
        <v>571</v>
      </c>
      <c r="F1079" s="92">
        <v>41</v>
      </c>
      <c r="G1079" s="92" t="s">
        <v>878</v>
      </c>
      <c r="H1079" s="92"/>
      <c r="I1079" s="92">
        <v>17071</v>
      </c>
      <c r="J1079" s="92">
        <v>70107477</v>
      </c>
      <c r="K1079" s="92" t="s">
        <v>1061</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1039</v>
      </c>
      <c r="D1080" s="92">
        <v>7</v>
      </c>
      <c r="E1080" s="92" t="s">
        <v>586</v>
      </c>
      <c r="F1080" s="92">
        <v>177</v>
      </c>
      <c r="G1080" s="92" t="s">
        <v>875</v>
      </c>
      <c r="H1080" s="92"/>
      <c r="I1080" s="92">
        <v>0</v>
      </c>
      <c r="J1080" s="92">
        <v>54725994</v>
      </c>
      <c r="K1080" s="92" t="s">
        <v>1061</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1039</v>
      </c>
      <c r="D1081" s="92">
        <v>4</v>
      </c>
      <c r="E1081" s="92" t="s">
        <v>66</v>
      </c>
      <c r="F1081" s="92">
        <v>190</v>
      </c>
      <c r="G1081" s="92" t="s">
        <v>869</v>
      </c>
      <c r="H1081" s="92"/>
      <c r="I1081" s="92">
        <v>0</v>
      </c>
      <c r="J1081" s="92">
        <v>54473460</v>
      </c>
      <c r="K1081" s="92" t="s">
        <v>1061</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1051</v>
      </c>
      <c r="D1082" s="92">
        <v>4</v>
      </c>
      <c r="E1082" s="92" t="s">
        <v>66</v>
      </c>
      <c r="F1082" s="92">
        <v>162</v>
      </c>
      <c r="G1082" s="92" t="s">
        <v>973</v>
      </c>
      <c r="H1082" s="92"/>
      <c r="I1082" s="92">
        <v>0</v>
      </c>
      <c r="J1082" s="92">
        <v>45660800</v>
      </c>
      <c r="K1082" s="92" t="s">
        <v>1061</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1194</v>
      </c>
      <c r="D1083" s="92">
        <v>7</v>
      </c>
      <c r="E1083" s="92" t="s">
        <v>586</v>
      </c>
      <c r="F1083" s="92">
        <v>173</v>
      </c>
      <c r="G1083" s="92" t="s">
        <v>128</v>
      </c>
      <c r="H1083" s="92"/>
      <c r="I1083" s="92">
        <v>0</v>
      </c>
      <c r="J1083" s="92">
        <v>12444424</v>
      </c>
      <c r="K1083" s="92" t="s">
        <v>1061</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1053</v>
      </c>
      <c r="D1084" s="92">
        <v>21</v>
      </c>
      <c r="E1084" s="92" t="s">
        <v>594</v>
      </c>
      <c r="F1084" s="92">
        <v>15</v>
      </c>
      <c r="G1084" s="92" t="s">
        <v>1007</v>
      </c>
      <c r="H1084" s="92"/>
      <c r="I1084" s="92">
        <v>1387</v>
      </c>
      <c r="J1084" s="92">
        <v>414913</v>
      </c>
      <c r="K1084" s="92" t="s">
        <v>1061</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1054</v>
      </c>
      <c r="D1085" s="92">
        <v>11</v>
      </c>
      <c r="E1085" s="92" t="s">
        <v>1062</v>
      </c>
      <c r="F1085" s="92">
        <v>104</v>
      </c>
      <c r="G1085" s="92" t="s">
        <v>1014</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1054</v>
      </c>
      <c r="D1086" s="92">
        <v>8</v>
      </c>
      <c r="E1086" s="92" t="s">
        <v>587</v>
      </c>
      <c r="F1086" s="92">
        <v>9</v>
      </c>
      <c r="G1086" s="92" t="s">
        <v>1010</v>
      </c>
      <c r="H1086" s="92"/>
      <c r="I1086" s="92">
        <v>1134</v>
      </c>
      <c r="J1086" s="92">
        <v>63323512</v>
      </c>
      <c r="K1086" s="92" t="s">
        <v>1061</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1054</v>
      </c>
      <c r="D1087" s="92">
        <v>2</v>
      </c>
      <c r="E1087" s="92" t="s">
        <v>53</v>
      </c>
      <c r="F1087" s="92">
        <v>44</v>
      </c>
      <c r="G1087" s="92" t="s">
        <v>574</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1121</v>
      </c>
    </row>
    <row r="1088" spans="1:35" x14ac:dyDescent="0.25">
      <c r="A1088" t="str">
        <f t="shared" si="20"/>
        <v>18-7-174</v>
      </c>
      <c r="B1088">
        <v>18</v>
      </c>
      <c r="C1088" s="92" t="s">
        <v>1031</v>
      </c>
      <c r="D1088" s="92">
        <v>7</v>
      </c>
      <c r="E1088" s="92" t="s">
        <v>586</v>
      </c>
      <c r="F1088" s="92">
        <v>174</v>
      </c>
      <c r="G1088" s="92" t="s">
        <v>295</v>
      </c>
      <c r="H1088" s="92"/>
      <c r="I1088" s="92">
        <v>986</v>
      </c>
      <c r="J1088" s="92">
        <v>3461224</v>
      </c>
      <c r="K1088" s="92" t="s">
        <v>1061</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1031</v>
      </c>
      <c r="D1089" s="92">
        <v>9</v>
      </c>
      <c r="E1089" s="92" t="s">
        <v>588</v>
      </c>
      <c r="F1089" s="92">
        <v>154</v>
      </c>
      <c r="G1089" s="92" t="s">
        <v>798</v>
      </c>
      <c r="H1089" s="92"/>
      <c r="I1089" s="92">
        <v>6018</v>
      </c>
      <c r="J1089" s="92">
        <v>4149666</v>
      </c>
      <c r="K1089" s="92" t="s">
        <v>1061</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1031</v>
      </c>
      <c r="D1090" s="92">
        <v>17</v>
      </c>
      <c r="E1090" s="92" t="s">
        <v>593</v>
      </c>
      <c r="F1090" s="92">
        <v>7</v>
      </c>
      <c r="G1090" s="92" t="s">
        <v>808</v>
      </c>
      <c r="H1090" s="92"/>
      <c r="I1090" s="92">
        <v>3719</v>
      </c>
      <c r="J1090" s="92">
        <v>3272975</v>
      </c>
      <c r="K1090" s="92" t="s">
        <v>1061</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1054</v>
      </c>
      <c r="D1091" s="92">
        <v>5</v>
      </c>
      <c r="E1091" s="92" t="s">
        <v>200</v>
      </c>
      <c r="F1091" s="92">
        <v>2</v>
      </c>
      <c r="G1091" s="92" t="s">
        <v>578</v>
      </c>
      <c r="H1091" s="92"/>
      <c r="I1091" s="92">
        <v>0</v>
      </c>
      <c r="J1091" s="92">
        <v>128701093</v>
      </c>
      <c r="K1091" s="92" t="s">
        <v>1061</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c r="AI1091">
        <v>2.9408599999999999E-4</v>
      </c>
    </row>
    <row r="1092" spans="1:35" x14ac:dyDescent="0.25">
      <c r="A1092" t="str">
        <f t="shared" si="20"/>
        <v>44-9-19</v>
      </c>
      <c r="B1092">
        <v>44</v>
      </c>
      <c r="C1092" s="92" t="s">
        <v>1054</v>
      </c>
      <c r="D1092" s="92">
        <v>9</v>
      </c>
      <c r="E1092" s="92" t="s">
        <v>588</v>
      </c>
      <c r="F1092" s="92">
        <v>19</v>
      </c>
      <c r="G1092" s="92" t="s">
        <v>1012</v>
      </c>
      <c r="H1092" s="92"/>
      <c r="I1092" s="92">
        <v>0</v>
      </c>
      <c r="J1092" s="92">
        <v>0</v>
      </c>
      <c r="K1092" s="92" t="s">
        <v>1061</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1054</v>
      </c>
      <c r="D1093" s="92">
        <v>4</v>
      </c>
      <c r="E1093" s="92" t="s">
        <v>66</v>
      </c>
      <c r="F1093" s="92">
        <v>179</v>
      </c>
      <c r="G1093" s="92" t="s">
        <v>1008</v>
      </c>
      <c r="H1093" s="92"/>
      <c r="I1093" s="92">
        <v>0</v>
      </c>
      <c r="J1093" s="92">
        <v>125359482</v>
      </c>
      <c r="K1093" s="92" t="s">
        <v>1061</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1054</v>
      </c>
      <c r="D1094" s="92">
        <v>12</v>
      </c>
      <c r="E1094" s="92" t="s">
        <v>71</v>
      </c>
      <c r="F1094" s="92">
        <v>22</v>
      </c>
      <c r="G1094" s="92" t="s">
        <v>583</v>
      </c>
      <c r="H1094" s="92"/>
      <c r="I1094" s="92">
        <v>0</v>
      </c>
      <c r="J1094" s="92">
        <v>128701093</v>
      </c>
      <c r="K1094" s="92" t="s">
        <v>1061</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1054</v>
      </c>
      <c r="D1095" s="92">
        <v>11</v>
      </c>
      <c r="E1095" s="92" t="s">
        <v>1062</v>
      </c>
      <c r="F1095" s="92">
        <v>63</v>
      </c>
      <c r="G1095" s="92" t="s">
        <v>1013</v>
      </c>
      <c r="H1095" s="92"/>
      <c r="I1095" s="92">
        <v>20008</v>
      </c>
      <c r="J1095" s="92">
        <v>66654019</v>
      </c>
      <c r="K1095" s="92" t="s">
        <v>1061</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1037</v>
      </c>
      <c r="D1096" s="92">
        <v>7</v>
      </c>
      <c r="E1096" s="92" t="s">
        <v>586</v>
      </c>
      <c r="F1096" s="92">
        <v>175</v>
      </c>
      <c r="G1096" s="92" t="s">
        <v>352</v>
      </c>
      <c r="H1096" s="92"/>
      <c r="I1096" s="92">
        <v>3017</v>
      </c>
      <c r="J1096" s="92">
        <v>58324708</v>
      </c>
      <c r="K1096" s="92" t="s">
        <v>1061</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1037</v>
      </c>
      <c r="D1097" s="92">
        <v>9</v>
      </c>
      <c r="E1097" s="92" t="s">
        <v>588</v>
      </c>
      <c r="F1097" s="92">
        <v>89</v>
      </c>
      <c r="G1097" s="92" t="s">
        <v>859</v>
      </c>
      <c r="H1097" s="92"/>
      <c r="I1097" s="92">
        <v>287</v>
      </c>
      <c r="J1097" s="92">
        <v>29051000</v>
      </c>
      <c r="K1097" s="92" t="s">
        <v>1061</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1037</v>
      </c>
      <c r="D1098" s="92">
        <v>11</v>
      </c>
      <c r="E1098" s="92" t="s">
        <v>1062</v>
      </c>
      <c r="F1098" s="92">
        <v>64</v>
      </c>
      <c r="G1098" s="92" t="s">
        <v>356</v>
      </c>
      <c r="H1098" s="92"/>
      <c r="I1098" s="92">
        <v>0</v>
      </c>
      <c r="J1098" s="92">
        <v>47249061</v>
      </c>
      <c r="K1098" s="92" t="s">
        <v>1061</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1037</v>
      </c>
      <c r="D1099" s="92">
        <v>17</v>
      </c>
      <c r="E1099" s="92" t="s">
        <v>593</v>
      </c>
      <c r="F1099" s="92">
        <v>12</v>
      </c>
      <c r="G1099" s="92" t="s">
        <v>360</v>
      </c>
      <c r="H1099" s="92"/>
      <c r="I1099" s="92">
        <v>0</v>
      </c>
      <c r="J1099" s="92">
        <v>70895907</v>
      </c>
      <c r="K1099" s="92" t="s">
        <v>1061</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1037</v>
      </c>
      <c r="D1100" s="92">
        <v>4</v>
      </c>
      <c r="E1100" s="92" t="s">
        <v>66</v>
      </c>
      <c r="F1100" s="92">
        <v>86</v>
      </c>
      <c r="G1100" s="92" t="s">
        <v>853</v>
      </c>
      <c r="H1100" s="92"/>
      <c r="I1100" s="92">
        <v>0</v>
      </c>
      <c r="J1100" s="92">
        <v>40807085</v>
      </c>
      <c r="K1100" s="92" t="s">
        <v>1061</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1031</v>
      </c>
      <c r="D1101" s="92">
        <v>7</v>
      </c>
      <c r="E1101" s="92" t="s">
        <v>586</v>
      </c>
      <c r="F1101" s="92">
        <v>179</v>
      </c>
      <c r="G1101" s="92" t="s">
        <v>792</v>
      </c>
      <c r="H1101" s="92"/>
      <c r="I1101" s="92">
        <v>0</v>
      </c>
      <c r="J1101" s="92">
        <v>77012</v>
      </c>
      <c r="K1101" s="92" t="s">
        <v>1061</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1016</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1027</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1022</v>
      </c>
      <c r="D1104" s="92">
        <v>7</v>
      </c>
      <c r="E1104" s="92" t="s">
        <v>586</v>
      </c>
      <c r="F1104" s="92">
        <v>176</v>
      </c>
      <c r="G1104" s="92" t="s">
        <v>187</v>
      </c>
      <c r="H1104" s="92"/>
      <c r="I1104" s="92">
        <v>13540</v>
      </c>
      <c r="J1104" s="92">
        <v>21478527</v>
      </c>
      <c r="K1104" s="92" t="s">
        <v>1061</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1022</v>
      </c>
      <c r="D1105" s="92">
        <v>14</v>
      </c>
      <c r="E1105" s="92" t="s">
        <v>571</v>
      </c>
      <c r="F1105" s="92">
        <v>63</v>
      </c>
      <c r="G1105" s="92" t="s">
        <v>191</v>
      </c>
      <c r="H1105" s="92"/>
      <c r="I1105" s="92">
        <v>0</v>
      </c>
      <c r="J1105" s="92">
        <v>42600328</v>
      </c>
      <c r="K1105" s="92" t="s">
        <v>1061</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1022</v>
      </c>
      <c r="D1106" s="92">
        <v>4</v>
      </c>
      <c r="E1106" s="92" t="s">
        <v>66</v>
      </c>
      <c r="F1106" s="92">
        <v>199</v>
      </c>
      <c r="G1106" s="92" t="s">
        <v>709</v>
      </c>
      <c r="H1106" s="92"/>
      <c r="I1106" s="92">
        <v>0</v>
      </c>
      <c r="J1106" s="92">
        <v>53572205</v>
      </c>
      <c r="K1106" s="92" t="s">
        <v>1061</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1022</v>
      </c>
      <c r="D1107" s="92">
        <v>20</v>
      </c>
      <c r="E1107" s="92" t="s">
        <v>153</v>
      </c>
      <c r="F1107" s="92">
        <v>55</v>
      </c>
      <c r="G1107" s="92" t="s">
        <v>1269</v>
      </c>
      <c r="H1107" s="92"/>
      <c r="I1107" s="92">
        <v>595</v>
      </c>
      <c r="J1107" s="92">
        <v>2299932</v>
      </c>
      <c r="K1107" s="92" t="s">
        <v>1061</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1196</v>
      </c>
      <c r="D1108" s="92">
        <v>7</v>
      </c>
      <c r="E1108" s="92" t="s">
        <v>586</v>
      </c>
      <c r="F1108" s="92">
        <v>178</v>
      </c>
      <c r="G1108" s="92" t="s">
        <v>559</v>
      </c>
      <c r="H1108" s="92"/>
      <c r="I1108" s="92">
        <v>3544</v>
      </c>
      <c r="J1108" s="92">
        <v>93836882</v>
      </c>
      <c r="K1108" s="92" t="s">
        <v>1061</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1040</v>
      </c>
      <c r="D1109" s="92">
        <v>9</v>
      </c>
      <c r="E1109" s="92" t="s">
        <v>588</v>
      </c>
      <c r="F1109" s="92">
        <v>92</v>
      </c>
      <c r="G1109" s="92" t="s">
        <v>885</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1047</v>
      </c>
      <c r="D1110" s="92">
        <v>9</v>
      </c>
      <c r="E1110" s="92" t="s">
        <v>588</v>
      </c>
      <c r="F1110" s="92">
        <v>92</v>
      </c>
      <c r="G1110" s="92" t="s">
        <v>885</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1022</v>
      </c>
      <c r="D1111" s="92">
        <v>9</v>
      </c>
      <c r="E1111" s="92" t="s">
        <v>588</v>
      </c>
      <c r="F1111" s="92">
        <v>112</v>
      </c>
      <c r="G1111" s="92" t="s">
        <v>1268</v>
      </c>
      <c r="H1111" s="92"/>
      <c r="I1111" s="92">
        <v>0</v>
      </c>
      <c r="J1111" s="92">
        <v>0</v>
      </c>
      <c r="K1111" s="92" t="s">
        <v>1061</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1037</v>
      </c>
      <c r="D1112" s="92">
        <v>11</v>
      </c>
      <c r="E1112" s="92" t="s">
        <v>1062</v>
      </c>
      <c r="F1112" s="92">
        <v>65</v>
      </c>
      <c r="G1112" s="92" t="s">
        <v>357</v>
      </c>
      <c r="H1112" s="92"/>
      <c r="I1112" s="92">
        <v>747</v>
      </c>
      <c r="J1112" s="92">
        <v>23377673</v>
      </c>
      <c r="K1112" s="92" t="s">
        <v>1061</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1022</v>
      </c>
      <c r="D1113" s="92">
        <v>9</v>
      </c>
      <c r="E1113" s="92" t="s">
        <v>588</v>
      </c>
      <c r="F1113" s="92">
        <v>128</v>
      </c>
      <c r="G1113" s="92" t="s">
        <v>713</v>
      </c>
      <c r="H1113" s="92"/>
      <c r="I1113" s="92">
        <v>2</v>
      </c>
      <c r="J1113" s="92">
        <v>0</v>
      </c>
      <c r="K1113" s="92" t="s">
        <v>1061</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1051</v>
      </c>
      <c r="D1114" s="92">
        <v>12</v>
      </c>
      <c r="E1114" s="92" t="s">
        <v>71</v>
      </c>
      <c r="F1114" s="92">
        <v>10</v>
      </c>
      <c r="G1114" s="92" t="s">
        <v>541</v>
      </c>
      <c r="H1114" s="92"/>
      <c r="I1114" s="92">
        <v>188437</v>
      </c>
      <c r="J1114" s="92">
        <v>49476166</v>
      </c>
      <c r="K1114" s="92" t="s">
        <v>1061</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1022</v>
      </c>
      <c r="D1115" s="92">
        <v>9</v>
      </c>
      <c r="E1115" s="92" t="s">
        <v>588</v>
      </c>
      <c r="F1115" s="92">
        <v>94</v>
      </c>
      <c r="G1115" s="92" t="s">
        <v>712</v>
      </c>
      <c r="H1115" s="92"/>
      <c r="I1115" s="92">
        <v>0</v>
      </c>
      <c r="J1115" s="92">
        <v>0</v>
      </c>
      <c r="K1115" s="92" t="s">
        <v>1061</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1016</v>
      </c>
      <c r="D1116" s="92">
        <v>17</v>
      </c>
      <c r="E1116" s="92" t="s">
        <v>593</v>
      </c>
      <c r="F1116" s="92">
        <v>8</v>
      </c>
      <c r="G1116" s="92" t="s">
        <v>93</v>
      </c>
      <c r="H1116" s="92"/>
      <c r="I1116" s="92">
        <v>291554</v>
      </c>
      <c r="J1116" s="92">
        <v>176108205</v>
      </c>
      <c r="K1116" s="92" t="s">
        <v>1061</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1033</v>
      </c>
      <c r="D1117" s="92">
        <v>17</v>
      </c>
      <c r="E1117" s="92" t="s">
        <v>593</v>
      </c>
      <c r="F1117" s="92">
        <v>30</v>
      </c>
      <c r="G1117" s="92" t="s">
        <v>1270</v>
      </c>
      <c r="H1117" s="92"/>
      <c r="I1117" s="92">
        <v>0</v>
      </c>
      <c r="J1117" s="92">
        <v>203632297</v>
      </c>
      <c r="K1117" s="92" t="s">
        <v>1061</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1034</v>
      </c>
      <c r="D1118" s="92">
        <v>7</v>
      </c>
      <c r="E1118" s="92" t="s">
        <v>586</v>
      </c>
      <c r="F1118" s="92">
        <v>180</v>
      </c>
      <c r="G1118" s="92" t="s">
        <v>328</v>
      </c>
      <c r="H1118" s="92"/>
      <c r="I1118" s="92">
        <v>1</v>
      </c>
      <c r="J1118" s="92">
        <v>33240515</v>
      </c>
      <c r="K1118" s="92" t="s">
        <v>1061</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1018</v>
      </c>
      <c r="D1119" s="92">
        <v>4</v>
      </c>
      <c r="E1119" s="92" t="s">
        <v>66</v>
      </c>
      <c r="F1119" s="92">
        <v>78</v>
      </c>
      <c r="G1119" s="92" t="s">
        <v>642</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1034</v>
      </c>
      <c r="D1120" s="92">
        <v>4</v>
      </c>
      <c r="E1120" s="92" t="s">
        <v>66</v>
      </c>
      <c r="F1120" s="92">
        <v>78</v>
      </c>
      <c r="G1120" s="92" t="s">
        <v>642</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1195</v>
      </c>
      <c r="D1121" s="92">
        <v>9</v>
      </c>
      <c r="E1121" s="92" t="s">
        <v>588</v>
      </c>
      <c r="F1121" s="92">
        <v>180</v>
      </c>
      <c r="G1121" s="92" t="s">
        <v>944</v>
      </c>
      <c r="H1121" s="92"/>
      <c r="I1121" s="92">
        <v>16689</v>
      </c>
      <c r="J1121" s="92">
        <v>0</v>
      </c>
      <c r="K1121" s="92" t="s">
        <v>1061</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1038</v>
      </c>
      <c r="D1122" s="92">
        <v>17</v>
      </c>
      <c r="E1122" s="92" t="s">
        <v>593</v>
      </c>
      <c r="F1122" s="92">
        <v>38</v>
      </c>
      <c r="G1122" s="92" t="s">
        <v>867</v>
      </c>
      <c r="H1122" s="92"/>
      <c r="I1122" s="92">
        <v>0</v>
      </c>
      <c r="J1122" s="92">
        <v>468488</v>
      </c>
      <c r="K1122" s="92" t="s">
        <v>1061</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1038</v>
      </c>
      <c r="D1123" s="92">
        <v>7</v>
      </c>
      <c r="E1123" s="92" t="s">
        <v>586</v>
      </c>
      <c r="F1123" s="92">
        <v>181</v>
      </c>
      <c r="G1123" s="92" t="s">
        <v>376</v>
      </c>
      <c r="H1123" s="92"/>
      <c r="I1123" s="92">
        <v>0</v>
      </c>
      <c r="J1123" s="92">
        <v>468488</v>
      </c>
      <c r="K1123" s="92" t="s">
        <v>1061</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1034</v>
      </c>
      <c r="D1124" s="92">
        <v>7</v>
      </c>
      <c r="E1124" s="92" t="s">
        <v>586</v>
      </c>
      <c r="F1124" s="92">
        <v>182</v>
      </c>
      <c r="G1124" s="92" t="s">
        <v>329</v>
      </c>
      <c r="H1124" s="92"/>
      <c r="I1124" s="92">
        <v>1</v>
      </c>
      <c r="J1124" s="92">
        <v>4396161</v>
      </c>
      <c r="K1124" s="92" t="s">
        <v>1061</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1016</v>
      </c>
      <c r="D1125" s="92">
        <v>9</v>
      </c>
      <c r="E1125" s="92" t="s">
        <v>588</v>
      </c>
      <c r="F1125" s="92">
        <v>96</v>
      </c>
      <c r="G1125" s="92" t="s">
        <v>612</v>
      </c>
      <c r="H1125" s="92"/>
      <c r="I1125" s="92">
        <v>812578</v>
      </c>
      <c r="J1125" s="92">
        <v>43851762</v>
      </c>
      <c r="K1125" s="92" t="s">
        <v>1061</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1027</v>
      </c>
      <c r="D1126" s="92">
        <v>7</v>
      </c>
      <c r="E1126" s="92" t="s">
        <v>586</v>
      </c>
      <c r="F1126" s="92">
        <v>183</v>
      </c>
      <c r="G1126" s="92" t="s">
        <v>234</v>
      </c>
      <c r="H1126" s="92"/>
      <c r="I1126" s="92">
        <v>0</v>
      </c>
      <c r="J1126" s="92">
        <v>13028445</v>
      </c>
      <c r="K1126" s="92" t="s">
        <v>1061</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1027</v>
      </c>
      <c r="D1127" s="92">
        <v>9</v>
      </c>
      <c r="E1127" s="92" t="s">
        <v>588</v>
      </c>
      <c r="F1127" s="92">
        <v>97</v>
      </c>
      <c r="G1127" s="92" t="s">
        <v>243</v>
      </c>
      <c r="H1127" s="92"/>
      <c r="I1127" s="92">
        <v>0</v>
      </c>
      <c r="J1127" s="92">
        <v>232000</v>
      </c>
      <c r="K1127" s="92" t="s">
        <v>1061</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1027</v>
      </c>
      <c r="D1128" s="92">
        <v>14</v>
      </c>
      <c r="E1128" s="92" t="s">
        <v>571</v>
      </c>
      <c r="F1128" s="92">
        <v>42</v>
      </c>
      <c r="G1128" s="92" t="s">
        <v>1092</v>
      </c>
      <c r="H1128" s="92"/>
      <c r="I1128" s="92">
        <v>0</v>
      </c>
      <c r="J1128" s="92">
        <v>11197579</v>
      </c>
      <c r="K1128" s="92" t="s">
        <v>1061</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1027</v>
      </c>
      <c r="D1129" s="92">
        <v>4</v>
      </c>
      <c r="E1129" s="92" t="s">
        <v>66</v>
      </c>
      <c r="F1129" s="92">
        <v>41</v>
      </c>
      <c r="G1129" s="92" t="s">
        <v>752</v>
      </c>
      <c r="H1129" s="92"/>
      <c r="I1129" s="92">
        <v>0</v>
      </c>
      <c r="J1129" s="92">
        <v>11161300</v>
      </c>
      <c r="K1129" s="92" t="s">
        <v>1061</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1021</v>
      </c>
      <c r="D1130" s="92">
        <v>9</v>
      </c>
      <c r="E1130" s="92" t="s">
        <v>588</v>
      </c>
      <c r="F1130" s="92">
        <v>179</v>
      </c>
      <c r="G1130" s="92" t="s">
        <v>705</v>
      </c>
      <c r="H1130" s="92"/>
      <c r="I1130" s="92">
        <v>0</v>
      </c>
      <c r="J1130" s="92">
        <v>0</v>
      </c>
      <c r="K1130" s="92" t="s">
        <v>1061</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1035</v>
      </c>
      <c r="D1131" s="92">
        <v>7</v>
      </c>
      <c r="E1131" s="92" t="s">
        <v>586</v>
      </c>
      <c r="F1131" s="92">
        <v>184</v>
      </c>
      <c r="G1131" s="92" t="s">
        <v>842</v>
      </c>
      <c r="H1131" s="92"/>
      <c r="I1131" s="92">
        <v>14</v>
      </c>
      <c r="J1131" s="92">
        <v>6820348</v>
      </c>
      <c r="K1131" s="92" t="s">
        <v>1061</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1043</v>
      </c>
      <c r="D1132" s="92">
        <v>20</v>
      </c>
      <c r="E1132" s="92" t="s">
        <v>153</v>
      </c>
      <c r="F1132" s="92">
        <v>25</v>
      </c>
      <c r="G1132" s="92" t="s">
        <v>456</v>
      </c>
      <c r="H1132" s="92"/>
      <c r="I1132" s="92">
        <v>0</v>
      </c>
      <c r="J1132" s="92">
        <v>87915</v>
      </c>
      <c r="K1132" s="92" t="s">
        <v>1061</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1044</v>
      </c>
      <c r="D1133" s="92">
        <v>9</v>
      </c>
      <c r="E1133" s="92" t="s">
        <v>588</v>
      </c>
      <c r="F1133" s="92">
        <v>185</v>
      </c>
      <c r="G1133" s="92" t="s">
        <v>464</v>
      </c>
      <c r="H1133" s="92"/>
      <c r="I1133" s="92">
        <v>1749</v>
      </c>
      <c r="J1133" s="92">
        <v>3850405</v>
      </c>
      <c r="K1133" s="92" t="s">
        <v>1061</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1038</v>
      </c>
      <c r="D1134" s="92">
        <v>7</v>
      </c>
      <c r="E1134" s="92" t="s">
        <v>586</v>
      </c>
      <c r="F1134" s="92">
        <v>185</v>
      </c>
      <c r="G1134" s="92" t="s">
        <v>377</v>
      </c>
      <c r="H1134" s="92"/>
      <c r="I1134" s="92">
        <v>232</v>
      </c>
      <c r="J1134" s="92">
        <v>53021</v>
      </c>
      <c r="K1134" s="92" t="s">
        <v>1061</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1042</v>
      </c>
      <c r="D1135" s="92">
        <v>7</v>
      </c>
      <c r="E1135" s="92" t="s">
        <v>586</v>
      </c>
      <c r="F1135" s="92">
        <v>186</v>
      </c>
      <c r="G1135" s="92" t="s">
        <v>904</v>
      </c>
      <c r="H1135" s="92"/>
      <c r="I1135" s="92">
        <v>2255</v>
      </c>
      <c r="J1135" s="92">
        <v>1280166</v>
      </c>
      <c r="K1135" s="92" t="s">
        <v>1061</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1038</v>
      </c>
      <c r="D1136" s="92">
        <v>7</v>
      </c>
      <c r="E1136" s="92" t="s">
        <v>586</v>
      </c>
      <c r="F1136" s="92">
        <v>187</v>
      </c>
      <c r="G1136" s="92" t="s">
        <v>378</v>
      </c>
      <c r="H1136" s="92"/>
      <c r="I1136" s="92">
        <v>75</v>
      </c>
      <c r="J1136" s="92">
        <v>578233</v>
      </c>
      <c r="K1136" s="92" t="s">
        <v>1061</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1020</v>
      </c>
      <c r="D1137" s="92">
        <v>7</v>
      </c>
      <c r="E1137" s="92" t="s">
        <v>586</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1023</v>
      </c>
      <c r="D1138" s="92">
        <v>7</v>
      </c>
      <c r="E1138" s="92" t="s">
        <v>586</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1041</v>
      </c>
      <c r="D1139" s="92">
        <v>9</v>
      </c>
      <c r="E1139" s="92" t="s">
        <v>588</v>
      </c>
      <c r="F1139" s="92">
        <v>100</v>
      </c>
      <c r="G1139" s="92" t="s">
        <v>424</v>
      </c>
      <c r="H1139" s="92"/>
      <c r="I1139" s="92">
        <v>14146</v>
      </c>
      <c r="J1139" s="92">
        <v>0</v>
      </c>
      <c r="K1139" s="92" t="s">
        <v>1061</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1041</v>
      </c>
      <c r="D1140" s="92">
        <v>11</v>
      </c>
      <c r="E1140" s="92" t="s">
        <v>1062</v>
      </c>
      <c r="F1140" s="92">
        <v>68</v>
      </c>
      <c r="G1140" s="92" t="s">
        <v>427</v>
      </c>
      <c r="H1140" s="92"/>
      <c r="I1140" s="92">
        <v>0</v>
      </c>
      <c r="J1140" s="92">
        <v>42559160</v>
      </c>
      <c r="K1140" s="92" t="s">
        <v>1061</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1053</v>
      </c>
      <c r="D1141" s="92">
        <v>9</v>
      </c>
      <c r="E1141" s="92" t="s">
        <v>588</v>
      </c>
      <c r="F1141" s="92">
        <v>140</v>
      </c>
      <c r="G1141" s="92" t="s">
        <v>570</v>
      </c>
      <c r="H1141" s="92"/>
      <c r="I1141" s="92">
        <v>586</v>
      </c>
      <c r="J1141" s="92">
        <v>0</v>
      </c>
      <c r="K1141" s="92" t="s">
        <v>1061</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jeE9g2ZxgiXt6ZRqa7dMeO0t3cSdTgvQGrhVtiLJ3StElGcmiiXvtkCXKEyLCJv1v4lq8bJdNPoTzi053/o1+Q==" saltValue="naLln2ZPuAfLhNhPczEkHQ=="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topLeftCell="F1" workbookViewId="0">
      <selection activeCell="L28" sqref="L28"/>
    </sheetView>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1016</v>
      </c>
      <c r="B1" t="s">
        <v>1017</v>
      </c>
      <c r="C1" t="s">
        <v>1018</v>
      </c>
      <c r="D1" t="s">
        <v>1194</v>
      </c>
      <c r="E1" t="s">
        <v>1019</v>
      </c>
      <c r="F1" t="s">
        <v>1020</v>
      </c>
      <c r="G1" t="s">
        <v>1057</v>
      </c>
      <c r="H1" t="s">
        <v>1021</v>
      </c>
      <c r="I1" t="s">
        <v>1022</v>
      </c>
      <c r="J1" t="s">
        <v>1023</v>
      </c>
      <c r="K1" t="s">
        <v>1024</v>
      </c>
      <c r="L1" t="s">
        <v>1025</v>
      </c>
      <c r="M1" t="s">
        <v>1026</v>
      </c>
      <c r="N1" t="s">
        <v>1027</v>
      </c>
      <c r="O1" t="s">
        <v>1028</v>
      </c>
      <c r="P1" t="s">
        <v>1029</v>
      </c>
      <c r="Q1" t="s">
        <v>1030</v>
      </c>
      <c r="R1" t="s">
        <v>1031</v>
      </c>
      <c r="S1" t="s">
        <v>1032</v>
      </c>
      <c r="T1" t="s">
        <v>1033</v>
      </c>
      <c r="U1" t="s">
        <v>1034</v>
      </c>
      <c r="V1" t="s">
        <v>1035</v>
      </c>
      <c r="W1" t="s">
        <v>1036</v>
      </c>
      <c r="X1" t="s">
        <v>1037</v>
      </c>
      <c r="Y1" t="s">
        <v>1038</v>
      </c>
      <c r="Z1" t="s">
        <v>1039</v>
      </c>
      <c r="AA1" t="s">
        <v>1040</v>
      </c>
      <c r="AB1" t="s">
        <v>1041</v>
      </c>
      <c r="AC1" t="s">
        <v>1042</v>
      </c>
      <c r="AD1" t="s">
        <v>1043</v>
      </c>
      <c r="AE1" t="s">
        <v>1044</v>
      </c>
      <c r="AF1" t="s">
        <v>1045</v>
      </c>
      <c r="AG1" t="s">
        <v>1046</v>
      </c>
      <c r="AH1" t="s">
        <v>1047</v>
      </c>
      <c r="AI1" t="s">
        <v>1195</v>
      </c>
      <c r="AJ1" t="s">
        <v>1048</v>
      </c>
      <c r="AK1" t="s">
        <v>1049</v>
      </c>
      <c r="AL1" t="s">
        <v>1050</v>
      </c>
      <c r="AM1" t="s">
        <v>79</v>
      </c>
      <c r="AN1" t="s">
        <v>1051</v>
      </c>
      <c r="AO1" t="s">
        <v>1052</v>
      </c>
      <c r="AP1" t="s">
        <v>1196</v>
      </c>
      <c r="AQ1" t="s">
        <v>1053</v>
      </c>
      <c r="AR1" t="s">
        <v>1054</v>
      </c>
    </row>
    <row r="2" spans="1:44" x14ac:dyDescent="0.25">
      <c r="A2" t="s">
        <v>200</v>
      </c>
      <c r="B2" t="s">
        <v>200</v>
      </c>
      <c r="C2" t="s">
        <v>200</v>
      </c>
      <c r="D2" t="s">
        <v>586</v>
      </c>
      <c r="E2" t="s">
        <v>67</v>
      </c>
      <c r="F2" t="s">
        <v>200</v>
      </c>
      <c r="G2" t="s">
        <v>200</v>
      </c>
      <c r="H2" t="s">
        <v>200</v>
      </c>
      <c r="I2" t="s">
        <v>200</v>
      </c>
      <c r="J2" t="s">
        <v>200</v>
      </c>
      <c r="K2" t="s">
        <v>1224</v>
      </c>
      <c r="L2" t="s">
        <v>586</v>
      </c>
      <c r="M2" t="s">
        <v>586</v>
      </c>
      <c r="N2" t="s">
        <v>200</v>
      </c>
      <c r="O2" t="s">
        <v>586</v>
      </c>
      <c r="P2" t="s">
        <v>586</v>
      </c>
      <c r="Q2" t="s">
        <v>586</v>
      </c>
      <c r="R2" t="s">
        <v>200</v>
      </c>
      <c r="S2" t="s">
        <v>200</v>
      </c>
      <c r="T2" t="s">
        <v>200</v>
      </c>
      <c r="U2" t="s">
        <v>586</v>
      </c>
      <c r="V2" t="s">
        <v>200</v>
      </c>
      <c r="W2" t="s">
        <v>586</v>
      </c>
      <c r="X2" t="s">
        <v>200</v>
      </c>
      <c r="Y2" t="s">
        <v>200</v>
      </c>
      <c r="Z2" t="s">
        <v>200</v>
      </c>
      <c r="AA2" t="s">
        <v>200</v>
      </c>
      <c r="AB2" t="s">
        <v>200</v>
      </c>
      <c r="AC2" t="s">
        <v>586</v>
      </c>
      <c r="AD2" t="s">
        <v>67</v>
      </c>
      <c r="AE2" t="s">
        <v>592</v>
      </c>
      <c r="AF2" t="s">
        <v>200</v>
      </c>
      <c r="AG2" t="s">
        <v>200</v>
      </c>
      <c r="AH2" t="s">
        <v>586</v>
      </c>
      <c r="AI2" t="s">
        <v>592</v>
      </c>
      <c r="AJ2" t="s">
        <v>586</v>
      </c>
      <c r="AK2" t="s">
        <v>200</v>
      </c>
      <c r="AL2" t="s">
        <v>200</v>
      </c>
      <c r="AM2" t="s">
        <v>200</v>
      </c>
      <c r="AN2" t="s">
        <v>200</v>
      </c>
      <c r="AO2" t="s">
        <v>586</v>
      </c>
      <c r="AP2" t="s">
        <v>200</v>
      </c>
      <c r="AQ2" t="s">
        <v>200</v>
      </c>
      <c r="AR2" t="s">
        <v>200</v>
      </c>
    </row>
    <row r="3" spans="1:44" x14ac:dyDescent="0.25">
      <c r="A3" t="s">
        <v>586</v>
      </c>
      <c r="B3" t="s">
        <v>586</v>
      </c>
      <c r="C3" t="s">
        <v>586</v>
      </c>
      <c r="D3" t="s">
        <v>67</v>
      </c>
      <c r="E3" t="s">
        <v>588</v>
      </c>
      <c r="F3" t="s">
        <v>586</v>
      </c>
      <c r="G3" t="s">
        <v>586</v>
      </c>
      <c r="H3" t="s">
        <v>586</v>
      </c>
      <c r="I3" t="s">
        <v>586</v>
      </c>
      <c r="J3" t="s">
        <v>586</v>
      </c>
      <c r="K3" t="s">
        <v>67</v>
      </c>
      <c r="L3" t="s">
        <v>67</v>
      </c>
      <c r="M3" t="s">
        <v>67</v>
      </c>
      <c r="N3" t="s">
        <v>586</v>
      </c>
      <c r="O3" t="s">
        <v>67</v>
      </c>
      <c r="P3" t="s">
        <v>67</v>
      </c>
      <c r="Q3" t="s">
        <v>67</v>
      </c>
      <c r="R3" t="s">
        <v>592</v>
      </c>
      <c r="S3" t="s">
        <v>586</v>
      </c>
      <c r="T3" t="s">
        <v>67</v>
      </c>
      <c r="U3" t="s">
        <v>67</v>
      </c>
      <c r="V3" t="s">
        <v>586</v>
      </c>
      <c r="W3" t="s">
        <v>67</v>
      </c>
      <c r="X3" t="s">
        <v>586</v>
      </c>
      <c r="Y3" t="s">
        <v>586</v>
      </c>
      <c r="Z3" t="s">
        <v>586</v>
      </c>
      <c r="AA3" t="s">
        <v>586</v>
      </c>
      <c r="AB3" t="s">
        <v>67</v>
      </c>
      <c r="AC3" t="s">
        <v>67</v>
      </c>
      <c r="AD3" t="s">
        <v>53</v>
      </c>
      <c r="AE3" t="s">
        <v>586</v>
      </c>
      <c r="AF3" t="s">
        <v>586</v>
      </c>
      <c r="AG3" t="s">
        <v>586</v>
      </c>
      <c r="AH3" t="s">
        <v>67</v>
      </c>
      <c r="AI3" t="s">
        <v>586</v>
      </c>
      <c r="AJ3" t="s">
        <v>67</v>
      </c>
      <c r="AK3" t="s">
        <v>586</v>
      </c>
      <c r="AL3" t="s">
        <v>586</v>
      </c>
      <c r="AM3" t="s">
        <v>586</v>
      </c>
      <c r="AN3" t="s">
        <v>67</v>
      </c>
      <c r="AO3" t="s">
        <v>67</v>
      </c>
      <c r="AP3" t="s">
        <v>586</v>
      </c>
      <c r="AQ3" t="s">
        <v>586</v>
      </c>
      <c r="AR3" t="s">
        <v>586</v>
      </c>
    </row>
    <row r="4" spans="1:44" x14ac:dyDescent="0.25">
      <c r="A4" t="s">
        <v>67</v>
      </c>
      <c r="B4" t="s">
        <v>67</v>
      </c>
      <c r="C4" t="s">
        <v>67</v>
      </c>
      <c r="D4" t="s">
        <v>1224</v>
      </c>
      <c r="E4" t="s">
        <v>70</v>
      </c>
      <c r="F4" t="s">
        <v>67</v>
      </c>
      <c r="G4" t="s">
        <v>67</v>
      </c>
      <c r="H4" t="s">
        <v>67</v>
      </c>
      <c r="I4" t="s">
        <v>67</v>
      </c>
      <c r="J4" t="s">
        <v>67</v>
      </c>
      <c r="K4" t="s">
        <v>66</v>
      </c>
      <c r="L4" t="s">
        <v>53</v>
      </c>
      <c r="M4" t="s">
        <v>53</v>
      </c>
      <c r="N4" t="s">
        <v>67</v>
      </c>
      <c r="O4" t="s">
        <v>1224</v>
      </c>
      <c r="P4" t="s">
        <v>588</v>
      </c>
      <c r="Q4" t="s">
        <v>53</v>
      </c>
      <c r="R4" t="s">
        <v>586</v>
      </c>
      <c r="S4" t="s">
        <v>67</v>
      </c>
      <c r="T4" t="s">
        <v>53</v>
      </c>
      <c r="U4" t="s">
        <v>588</v>
      </c>
      <c r="V4" t="s">
        <v>67</v>
      </c>
      <c r="W4" t="s">
        <v>590</v>
      </c>
      <c r="X4" t="s">
        <v>67</v>
      </c>
      <c r="Y4" t="s">
        <v>67</v>
      </c>
      <c r="Z4" t="s">
        <v>67</v>
      </c>
      <c r="AA4" t="s">
        <v>67</v>
      </c>
      <c r="AB4" t="s">
        <v>53</v>
      </c>
      <c r="AC4" t="s">
        <v>53</v>
      </c>
      <c r="AD4" t="s">
        <v>588</v>
      </c>
      <c r="AE4" t="s">
        <v>67</v>
      </c>
      <c r="AF4" t="s">
        <v>67</v>
      </c>
      <c r="AG4" t="s">
        <v>67</v>
      </c>
      <c r="AH4" t="s">
        <v>53</v>
      </c>
      <c r="AI4" t="s">
        <v>67</v>
      </c>
      <c r="AJ4" t="s">
        <v>53</v>
      </c>
      <c r="AK4" t="s">
        <v>67</v>
      </c>
      <c r="AL4" t="s">
        <v>67</v>
      </c>
      <c r="AM4" t="s">
        <v>67</v>
      </c>
      <c r="AN4" t="s">
        <v>588</v>
      </c>
      <c r="AO4" t="s">
        <v>1224</v>
      </c>
      <c r="AP4" t="s">
        <v>67</v>
      </c>
      <c r="AQ4" t="s">
        <v>67</v>
      </c>
      <c r="AR4" t="s">
        <v>67</v>
      </c>
    </row>
    <row r="5" spans="1:44" x14ac:dyDescent="0.25">
      <c r="A5" t="s">
        <v>590</v>
      </c>
      <c r="B5" t="s">
        <v>53</v>
      </c>
      <c r="C5" t="s">
        <v>588</v>
      </c>
      <c r="D5" t="s">
        <v>588</v>
      </c>
      <c r="E5" t="s">
        <v>571</v>
      </c>
      <c r="F5" t="s">
        <v>1224</v>
      </c>
      <c r="G5" t="s">
        <v>1224</v>
      </c>
      <c r="H5" t="s">
        <v>590</v>
      </c>
      <c r="I5" t="s">
        <v>588</v>
      </c>
      <c r="J5" t="s">
        <v>1224</v>
      </c>
      <c r="K5" t="s">
        <v>200</v>
      </c>
      <c r="L5" t="s">
        <v>588</v>
      </c>
      <c r="M5" t="s">
        <v>588</v>
      </c>
      <c r="N5" t="s">
        <v>53</v>
      </c>
      <c r="O5" t="s">
        <v>588</v>
      </c>
      <c r="P5" t="s">
        <v>589</v>
      </c>
      <c r="Q5" t="s">
        <v>571</v>
      </c>
      <c r="R5" t="s">
        <v>67</v>
      </c>
      <c r="S5" t="s">
        <v>53</v>
      </c>
      <c r="T5" t="s">
        <v>588</v>
      </c>
      <c r="U5" t="s">
        <v>70</v>
      </c>
      <c r="V5" t="s">
        <v>1224</v>
      </c>
      <c r="W5" t="s">
        <v>1224</v>
      </c>
      <c r="X5" t="s">
        <v>53</v>
      </c>
      <c r="Y5" t="s">
        <v>588</v>
      </c>
      <c r="Z5" t="s">
        <v>1224</v>
      </c>
      <c r="AA5" t="s">
        <v>53</v>
      </c>
      <c r="AB5" t="s">
        <v>588</v>
      </c>
      <c r="AC5" t="s">
        <v>588</v>
      </c>
      <c r="AD5" t="s">
        <v>571</v>
      </c>
      <c r="AE5" t="s">
        <v>53</v>
      </c>
      <c r="AF5" t="s">
        <v>53</v>
      </c>
      <c r="AG5" t="s">
        <v>1224</v>
      </c>
      <c r="AH5" t="s">
        <v>588</v>
      </c>
      <c r="AI5" t="s">
        <v>588</v>
      </c>
      <c r="AJ5" t="s">
        <v>588</v>
      </c>
      <c r="AK5" t="s">
        <v>588</v>
      </c>
      <c r="AL5" t="s">
        <v>587</v>
      </c>
      <c r="AM5" t="s">
        <v>53</v>
      </c>
      <c r="AN5" t="s">
        <v>70</v>
      </c>
      <c r="AO5" t="s">
        <v>588</v>
      </c>
      <c r="AP5" t="s">
        <v>53</v>
      </c>
      <c r="AQ5" t="s">
        <v>1224</v>
      </c>
      <c r="AR5" t="s">
        <v>587</v>
      </c>
    </row>
    <row r="6" spans="1:44" x14ac:dyDescent="0.25">
      <c r="A6" t="s">
        <v>53</v>
      </c>
      <c r="B6" t="s">
        <v>588</v>
      </c>
      <c r="C6" t="s">
        <v>70</v>
      </c>
      <c r="D6" t="s">
        <v>571</v>
      </c>
      <c r="E6" t="s">
        <v>66</v>
      </c>
      <c r="F6" t="s">
        <v>588</v>
      </c>
      <c r="G6" t="s">
        <v>588</v>
      </c>
      <c r="H6" t="s">
        <v>1224</v>
      </c>
      <c r="I6" t="s">
        <v>70</v>
      </c>
      <c r="J6" t="s">
        <v>588</v>
      </c>
      <c r="K6" t="s">
        <v>588</v>
      </c>
      <c r="L6" t="s">
        <v>71</v>
      </c>
      <c r="M6" t="s">
        <v>571</v>
      </c>
      <c r="N6" t="s">
        <v>587</v>
      </c>
      <c r="O6" t="s">
        <v>571</v>
      </c>
      <c r="P6" t="s">
        <v>70</v>
      </c>
      <c r="Q6" t="s">
        <v>66</v>
      </c>
      <c r="R6" t="s">
        <v>53</v>
      </c>
      <c r="S6" t="s">
        <v>588</v>
      </c>
      <c r="T6" t="s">
        <v>70</v>
      </c>
      <c r="U6" t="s">
        <v>571</v>
      </c>
      <c r="V6" t="s">
        <v>588</v>
      </c>
      <c r="W6" t="s">
        <v>588</v>
      </c>
      <c r="X6" t="s">
        <v>588</v>
      </c>
      <c r="Y6" t="s">
        <v>589</v>
      </c>
      <c r="Z6" t="s">
        <v>588</v>
      </c>
      <c r="AA6" t="s">
        <v>588</v>
      </c>
      <c r="AB6" t="s">
        <v>589</v>
      </c>
      <c r="AC6" t="s">
        <v>70</v>
      </c>
      <c r="AD6" t="s">
        <v>66</v>
      </c>
      <c r="AE6" t="s">
        <v>588</v>
      </c>
      <c r="AF6" t="s">
        <v>588</v>
      </c>
      <c r="AG6" t="s">
        <v>588</v>
      </c>
      <c r="AH6" t="s">
        <v>70</v>
      </c>
      <c r="AI6" t="s">
        <v>70</v>
      </c>
      <c r="AJ6" t="s">
        <v>571</v>
      </c>
      <c r="AK6" t="s">
        <v>70</v>
      </c>
      <c r="AL6" t="s">
        <v>588</v>
      </c>
      <c r="AM6" t="s">
        <v>588</v>
      </c>
      <c r="AN6" t="s">
        <v>71</v>
      </c>
      <c r="AO6" t="s">
        <v>589</v>
      </c>
      <c r="AP6" t="s">
        <v>588</v>
      </c>
      <c r="AQ6" t="s">
        <v>588</v>
      </c>
      <c r="AR6" t="s">
        <v>588</v>
      </c>
    </row>
    <row r="7" spans="1:44" x14ac:dyDescent="0.25">
      <c r="A7" t="s">
        <v>587</v>
      </c>
      <c r="B7" t="s">
        <v>589</v>
      </c>
      <c r="C7" t="s">
        <v>571</v>
      </c>
      <c r="D7" t="s">
        <v>152</v>
      </c>
      <c r="E7" t="s">
        <v>1197</v>
      </c>
      <c r="F7" t="s">
        <v>589</v>
      </c>
      <c r="G7" t="s">
        <v>589</v>
      </c>
      <c r="H7" t="s">
        <v>588</v>
      </c>
      <c r="I7" t="s">
        <v>71</v>
      </c>
      <c r="J7" t="s">
        <v>589</v>
      </c>
      <c r="K7" t="s">
        <v>571</v>
      </c>
      <c r="L7" t="s">
        <v>571</v>
      </c>
      <c r="M7" t="s">
        <v>152</v>
      </c>
      <c r="N7" t="s">
        <v>588</v>
      </c>
      <c r="O7" t="s">
        <v>66</v>
      </c>
      <c r="P7" t="s">
        <v>571</v>
      </c>
      <c r="R7" t="s">
        <v>588</v>
      </c>
      <c r="S7" t="s">
        <v>70</v>
      </c>
      <c r="T7" t="s">
        <v>71</v>
      </c>
      <c r="U7" t="s">
        <v>152</v>
      </c>
      <c r="V7" t="s">
        <v>71</v>
      </c>
      <c r="W7" t="s">
        <v>571</v>
      </c>
      <c r="X7" t="s">
        <v>70</v>
      </c>
      <c r="Y7" t="s">
        <v>70</v>
      </c>
      <c r="Z7" t="s">
        <v>589</v>
      </c>
      <c r="AA7" t="s">
        <v>70</v>
      </c>
      <c r="AB7" t="s">
        <v>70</v>
      </c>
      <c r="AC7" t="s">
        <v>571</v>
      </c>
      <c r="AD7" t="s">
        <v>1197</v>
      </c>
      <c r="AE7" t="s">
        <v>70</v>
      </c>
      <c r="AF7" t="s">
        <v>70</v>
      </c>
      <c r="AG7" t="s">
        <v>589</v>
      </c>
      <c r="AH7" t="s">
        <v>66</v>
      </c>
      <c r="AI7" t="s">
        <v>571</v>
      </c>
      <c r="AJ7" t="s">
        <v>593</v>
      </c>
      <c r="AK7" t="s">
        <v>571</v>
      </c>
      <c r="AL7" t="s">
        <v>70</v>
      </c>
      <c r="AM7" t="s">
        <v>70</v>
      </c>
      <c r="AN7" t="s">
        <v>571</v>
      </c>
      <c r="AO7" t="s">
        <v>571</v>
      </c>
      <c r="AP7" t="s">
        <v>70</v>
      </c>
      <c r="AQ7" t="s">
        <v>71</v>
      </c>
      <c r="AR7" t="s">
        <v>589</v>
      </c>
    </row>
    <row r="8" spans="1:44" x14ac:dyDescent="0.25">
      <c r="A8" t="s">
        <v>588</v>
      </c>
      <c r="B8" t="s">
        <v>571</v>
      </c>
      <c r="C8" t="s">
        <v>152</v>
      </c>
      <c r="D8" t="s">
        <v>593</v>
      </c>
      <c r="F8" t="s">
        <v>571</v>
      </c>
      <c r="G8" t="s">
        <v>571</v>
      </c>
      <c r="H8" t="s">
        <v>71</v>
      </c>
      <c r="I8" t="s">
        <v>571</v>
      </c>
      <c r="J8" t="s">
        <v>209</v>
      </c>
      <c r="L8" t="s">
        <v>66</v>
      </c>
      <c r="M8" t="s">
        <v>66</v>
      </c>
      <c r="N8" t="s">
        <v>589</v>
      </c>
      <c r="P8" t="s">
        <v>593</v>
      </c>
      <c r="R8" t="s">
        <v>70</v>
      </c>
      <c r="S8" t="s">
        <v>71</v>
      </c>
      <c r="T8" t="s">
        <v>571</v>
      </c>
      <c r="U8" t="s">
        <v>66</v>
      </c>
      <c r="V8" t="s">
        <v>571</v>
      </c>
      <c r="W8" t="s">
        <v>152</v>
      </c>
      <c r="X8" t="s">
        <v>571</v>
      </c>
      <c r="Y8" t="s">
        <v>71</v>
      </c>
      <c r="Z8" t="s">
        <v>571</v>
      </c>
      <c r="AA8" t="s">
        <v>209</v>
      </c>
      <c r="AB8" t="s">
        <v>209</v>
      </c>
      <c r="AC8" t="s">
        <v>593</v>
      </c>
      <c r="AD8" t="s">
        <v>1198</v>
      </c>
      <c r="AE8" t="s">
        <v>571</v>
      </c>
      <c r="AF8" t="s">
        <v>571</v>
      </c>
      <c r="AG8" t="s">
        <v>571</v>
      </c>
      <c r="AI8" t="s">
        <v>591</v>
      </c>
      <c r="AJ8" t="s">
        <v>66</v>
      </c>
      <c r="AK8" t="s">
        <v>66</v>
      </c>
      <c r="AL8" t="s">
        <v>152</v>
      </c>
      <c r="AM8" t="s">
        <v>71</v>
      </c>
      <c r="AN8" t="s">
        <v>66</v>
      </c>
      <c r="AO8" t="s">
        <v>152</v>
      </c>
      <c r="AP8" t="s">
        <v>209</v>
      </c>
      <c r="AQ8" t="s">
        <v>571</v>
      </c>
      <c r="AR8" t="s">
        <v>70</v>
      </c>
    </row>
    <row r="9" spans="1:44" x14ac:dyDescent="0.25">
      <c r="A9" t="s">
        <v>589</v>
      </c>
      <c r="B9" t="s">
        <v>66</v>
      </c>
      <c r="C9" t="s">
        <v>66</v>
      </c>
      <c r="D9" t="s">
        <v>66</v>
      </c>
      <c r="F9" t="s">
        <v>152</v>
      </c>
      <c r="G9" t="s">
        <v>593</v>
      </c>
      <c r="H9" t="s">
        <v>571</v>
      </c>
      <c r="I9" t="s">
        <v>593</v>
      </c>
      <c r="J9" t="s">
        <v>152</v>
      </c>
      <c r="L9" t="s">
        <v>595</v>
      </c>
      <c r="N9" t="s">
        <v>70</v>
      </c>
      <c r="P9" t="s">
        <v>66</v>
      </c>
      <c r="R9" t="s">
        <v>571</v>
      </c>
      <c r="S9" t="s">
        <v>571</v>
      </c>
      <c r="T9" t="s">
        <v>152</v>
      </c>
      <c r="V9" t="s">
        <v>152</v>
      </c>
      <c r="W9" t="s">
        <v>66</v>
      </c>
      <c r="X9" t="s">
        <v>593</v>
      </c>
      <c r="Y9" t="s">
        <v>571</v>
      </c>
      <c r="Z9" t="s">
        <v>152</v>
      </c>
      <c r="AA9" t="s">
        <v>593</v>
      </c>
      <c r="AB9" t="s">
        <v>571</v>
      </c>
      <c r="AC9" t="s">
        <v>66</v>
      </c>
      <c r="AD9" t="s">
        <v>594</v>
      </c>
      <c r="AE9" t="s">
        <v>66</v>
      </c>
      <c r="AF9" t="s">
        <v>593</v>
      </c>
      <c r="AG9" t="s">
        <v>152</v>
      </c>
      <c r="AI9" t="s">
        <v>593</v>
      </c>
      <c r="AL9" t="s">
        <v>593</v>
      </c>
      <c r="AM9" t="s">
        <v>571</v>
      </c>
      <c r="AN9" t="s">
        <v>1197</v>
      </c>
      <c r="AO9" t="s">
        <v>66</v>
      </c>
      <c r="AP9" t="s">
        <v>571</v>
      </c>
      <c r="AQ9" t="s">
        <v>152</v>
      </c>
      <c r="AR9" t="s">
        <v>71</v>
      </c>
    </row>
    <row r="10" spans="1:44" x14ac:dyDescent="0.25">
      <c r="A10" t="s">
        <v>70</v>
      </c>
      <c r="D10" t="s">
        <v>1198</v>
      </c>
      <c r="F10" t="s">
        <v>593</v>
      </c>
      <c r="G10" t="s">
        <v>66</v>
      </c>
      <c r="H10" t="s">
        <v>66</v>
      </c>
      <c r="I10" t="s">
        <v>66</v>
      </c>
      <c r="J10" t="s">
        <v>66</v>
      </c>
      <c r="N10" t="s">
        <v>209</v>
      </c>
      <c r="R10" t="s">
        <v>593</v>
      </c>
      <c r="S10" t="s">
        <v>152</v>
      </c>
      <c r="T10" t="s">
        <v>593</v>
      </c>
      <c r="V10" t="s">
        <v>66</v>
      </c>
      <c r="X10" t="s">
        <v>66</v>
      </c>
      <c r="Y10" t="s">
        <v>593</v>
      </c>
      <c r="Z10" t="s">
        <v>66</v>
      </c>
      <c r="AA10" t="s">
        <v>66</v>
      </c>
      <c r="AB10" t="s">
        <v>66</v>
      </c>
      <c r="AF10" t="s">
        <v>66</v>
      </c>
      <c r="AG10" t="s">
        <v>66</v>
      </c>
      <c r="AI10" t="s">
        <v>66</v>
      </c>
      <c r="AL10" t="s">
        <v>66</v>
      </c>
      <c r="AM10" t="s">
        <v>152</v>
      </c>
      <c r="AN10" t="s">
        <v>1198</v>
      </c>
      <c r="AO10" t="s">
        <v>593</v>
      </c>
      <c r="AP10" t="s">
        <v>152</v>
      </c>
      <c r="AQ10" t="s">
        <v>66</v>
      </c>
      <c r="AR10" t="s">
        <v>571</v>
      </c>
    </row>
    <row r="11" spans="1:44" x14ac:dyDescent="0.25">
      <c r="A11" t="s">
        <v>209</v>
      </c>
      <c r="F11" t="s">
        <v>66</v>
      </c>
      <c r="G11" t="s">
        <v>1197</v>
      </c>
      <c r="I11" t="s">
        <v>1197</v>
      </c>
      <c r="N11" t="s">
        <v>571</v>
      </c>
      <c r="R11" t="s">
        <v>66</v>
      </c>
      <c r="S11" t="s">
        <v>66</v>
      </c>
      <c r="T11" t="s">
        <v>66</v>
      </c>
      <c r="Y11" t="s">
        <v>66</v>
      </c>
      <c r="AB11" t="s">
        <v>1197</v>
      </c>
      <c r="AI11" t="s">
        <v>1198</v>
      </c>
      <c r="AM11" t="s">
        <v>66</v>
      </c>
      <c r="AN11" t="s">
        <v>594</v>
      </c>
      <c r="AP11" t="s">
        <v>593</v>
      </c>
      <c r="AQ11" t="s">
        <v>1197</v>
      </c>
      <c r="AR11" t="s">
        <v>66</v>
      </c>
    </row>
    <row r="12" spans="1:44" x14ac:dyDescent="0.25">
      <c r="A12" t="s">
        <v>571</v>
      </c>
      <c r="F12" t="s">
        <v>1197</v>
      </c>
      <c r="N12" t="s">
        <v>152</v>
      </c>
      <c r="R12" t="s">
        <v>1197</v>
      </c>
      <c r="AB12" t="s">
        <v>1198</v>
      </c>
      <c r="AP12" t="s">
        <v>66</v>
      </c>
      <c r="AQ12" t="s">
        <v>594</v>
      </c>
    </row>
    <row r="13" spans="1:44" x14ac:dyDescent="0.25">
      <c r="A13" t="s">
        <v>152</v>
      </c>
      <c r="N13" t="s">
        <v>593</v>
      </c>
      <c r="AB13" t="s">
        <v>594</v>
      </c>
    </row>
    <row r="14" spans="1:44" x14ac:dyDescent="0.25">
      <c r="A14" t="s">
        <v>593</v>
      </c>
      <c r="N14" t="s">
        <v>66</v>
      </c>
      <c r="AB14" t="s">
        <v>595</v>
      </c>
    </row>
    <row r="15" spans="1:44" x14ac:dyDescent="0.25">
      <c r="A15" t="s">
        <v>66</v>
      </c>
      <c r="N15" t="s">
        <v>1197</v>
      </c>
    </row>
    <row r="16" spans="1:44" x14ac:dyDescent="0.25">
      <c r="A16" t="s">
        <v>1197</v>
      </c>
    </row>
    <row r="18" spans="1:44" x14ac:dyDescent="0.25">
      <c r="A18" s="90" t="s">
        <v>1016</v>
      </c>
      <c r="B18" s="90" t="s">
        <v>1017</v>
      </c>
      <c r="C18" s="90" t="s">
        <v>1018</v>
      </c>
      <c r="D18" s="90" t="s">
        <v>1194</v>
      </c>
      <c r="E18" s="90" t="s">
        <v>1019</v>
      </c>
      <c r="F18" s="90" t="s">
        <v>1020</v>
      </c>
      <c r="G18" s="90" t="s">
        <v>1057</v>
      </c>
      <c r="H18" s="90" t="s">
        <v>1021</v>
      </c>
      <c r="I18" s="90" t="s">
        <v>1022</v>
      </c>
      <c r="J18" s="90" t="s">
        <v>1023</v>
      </c>
      <c r="K18" s="90" t="s">
        <v>1024</v>
      </c>
      <c r="L18" s="90" t="s">
        <v>1025</v>
      </c>
      <c r="M18" s="90" t="s">
        <v>1026</v>
      </c>
      <c r="N18" s="90" t="s">
        <v>1027</v>
      </c>
      <c r="O18" s="90" t="s">
        <v>1028</v>
      </c>
      <c r="P18" s="90" t="s">
        <v>1029</v>
      </c>
      <c r="Q18" s="90" t="s">
        <v>1030</v>
      </c>
      <c r="R18" s="90" t="s">
        <v>1031</v>
      </c>
      <c r="S18" s="90" t="s">
        <v>1032</v>
      </c>
      <c r="T18" s="90" t="s">
        <v>1033</v>
      </c>
      <c r="U18" s="90" t="s">
        <v>1034</v>
      </c>
      <c r="V18" s="90" t="s">
        <v>1035</v>
      </c>
      <c r="W18" s="90" t="s">
        <v>1036</v>
      </c>
      <c r="X18" s="90" t="s">
        <v>1037</v>
      </c>
      <c r="Y18" s="90" t="s">
        <v>1038</v>
      </c>
      <c r="Z18" s="90" t="s">
        <v>1039</v>
      </c>
      <c r="AA18" s="90" t="s">
        <v>1040</v>
      </c>
      <c r="AB18" s="90" t="s">
        <v>1041</v>
      </c>
      <c r="AC18" s="90" t="s">
        <v>1042</v>
      </c>
      <c r="AD18" s="90" t="s">
        <v>1043</v>
      </c>
      <c r="AE18" s="90" t="s">
        <v>1044</v>
      </c>
      <c r="AF18" s="90" t="s">
        <v>1045</v>
      </c>
      <c r="AG18" s="90" t="s">
        <v>1046</v>
      </c>
      <c r="AH18" s="90" t="s">
        <v>1047</v>
      </c>
      <c r="AI18" s="90" t="s">
        <v>1195</v>
      </c>
      <c r="AJ18" s="90" t="s">
        <v>1048</v>
      </c>
      <c r="AK18" s="90" t="s">
        <v>1049</v>
      </c>
      <c r="AL18" s="90" t="s">
        <v>1050</v>
      </c>
      <c r="AM18" s="90" t="s">
        <v>79</v>
      </c>
      <c r="AN18" s="90" t="s">
        <v>1051</v>
      </c>
      <c r="AO18" s="90" t="s">
        <v>1052</v>
      </c>
      <c r="AP18" s="90" t="s">
        <v>1196</v>
      </c>
      <c r="AQ18" s="90" t="s">
        <v>1053</v>
      </c>
      <c r="AR18" s="90" t="s">
        <v>1054</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215</v>
      </c>
      <c r="N20" s="90" t="s">
        <v>217</v>
      </c>
      <c r="O20" s="90" t="s">
        <v>252</v>
      </c>
      <c r="P20" s="90"/>
      <c r="Q20" s="90" t="s">
        <v>279</v>
      </c>
      <c r="R20" s="90" t="s">
        <v>284</v>
      </c>
      <c r="S20" s="90" t="s">
        <v>298</v>
      </c>
      <c r="T20" s="90" t="s">
        <v>306</v>
      </c>
      <c r="U20" s="90"/>
      <c r="V20" s="90" t="s">
        <v>330</v>
      </c>
      <c r="W20" s="90" t="s">
        <v>338</v>
      </c>
      <c r="X20" s="90" t="s">
        <v>344</v>
      </c>
      <c r="Y20" s="90"/>
      <c r="Z20" s="90" t="s">
        <v>389</v>
      </c>
      <c r="AA20" s="90" t="s">
        <v>397</v>
      </c>
      <c r="AB20" s="90" t="s">
        <v>404</v>
      </c>
      <c r="AC20" s="90" t="s">
        <v>433</v>
      </c>
      <c r="AD20" s="90" t="s">
        <v>452</v>
      </c>
      <c r="AE20" s="90" t="s">
        <v>458</v>
      </c>
      <c r="AF20" s="90" t="s">
        <v>465</v>
      </c>
      <c r="AG20" s="90" t="s">
        <v>477</v>
      </c>
      <c r="AH20" s="90" t="s">
        <v>487</v>
      </c>
      <c r="AI20" s="90"/>
      <c r="AJ20" s="90" t="s">
        <v>502</v>
      </c>
      <c r="AK20" s="90"/>
      <c r="AL20" s="90"/>
      <c r="AM20" s="90" t="s">
        <v>525</v>
      </c>
      <c r="AN20" s="90"/>
      <c r="AO20" s="90" t="s">
        <v>542</v>
      </c>
      <c r="AP20" s="90" t="s">
        <v>550</v>
      </c>
      <c r="AQ20" s="90" t="s">
        <v>564</v>
      </c>
      <c r="AR20" s="90"/>
    </row>
    <row r="21" spans="1:44" x14ac:dyDescent="0.25">
      <c r="A21" s="90" t="s">
        <v>599</v>
      </c>
      <c r="B21" s="90" t="s">
        <v>622</v>
      </c>
      <c r="C21" s="90" t="s">
        <v>99</v>
      </c>
      <c r="D21" s="90" t="s">
        <v>114</v>
      </c>
      <c r="E21" s="90" t="s">
        <v>131</v>
      </c>
      <c r="F21" s="90" t="s">
        <v>134</v>
      </c>
      <c r="G21" s="148" t="s">
        <v>155</v>
      </c>
      <c r="H21" s="90" t="s">
        <v>600</v>
      </c>
      <c r="I21" s="90" t="s">
        <v>178</v>
      </c>
      <c r="J21" s="90" t="s">
        <v>194</v>
      </c>
      <c r="K21" s="90" t="s">
        <v>735</v>
      </c>
      <c r="L21" s="90" t="s">
        <v>212</v>
      </c>
      <c r="M21" s="90" t="s">
        <v>216</v>
      </c>
      <c r="N21" s="90" t="s">
        <v>218</v>
      </c>
      <c r="O21" s="90" t="s">
        <v>253</v>
      </c>
      <c r="P21" s="90" t="s">
        <v>265</v>
      </c>
      <c r="Q21" s="90" t="s">
        <v>280</v>
      </c>
      <c r="R21" s="90" t="s">
        <v>285</v>
      </c>
      <c r="S21" s="90" t="s">
        <v>299</v>
      </c>
      <c r="T21" s="90" t="s">
        <v>307</v>
      </c>
      <c r="U21" s="90" t="s">
        <v>314</v>
      </c>
      <c r="V21" s="90" t="s">
        <v>331</v>
      </c>
      <c r="W21" s="90" t="s">
        <v>600</v>
      </c>
      <c r="X21" s="90" t="s">
        <v>345</v>
      </c>
      <c r="Y21" s="90" t="s">
        <v>362</v>
      </c>
      <c r="Z21" s="90" t="s">
        <v>390</v>
      </c>
      <c r="AA21" s="90" t="s">
        <v>398</v>
      </c>
      <c r="AB21" s="90" t="s">
        <v>405</v>
      </c>
      <c r="AC21" s="90" t="s">
        <v>434</v>
      </c>
      <c r="AD21" s="90" t="s">
        <v>453</v>
      </c>
      <c r="AE21" s="90" t="s">
        <v>459</v>
      </c>
      <c r="AF21" s="90" t="s">
        <v>466</v>
      </c>
      <c r="AG21" s="90" t="s">
        <v>478</v>
      </c>
      <c r="AH21" s="90" t="s">
        <v>488</v>
      </c>
      <c r="AI21" s="90" t="s">
        <v>494</v>
      </c>
      <c r="AJ21" s="90" t="s">
        <v>503</v>
      </c>
      <c r="AK21" s="90" t="s">
        <v>510</v>
      </c>
      <c r="AL21" s="90" t="s">
        <v>519</v>
      </c>
      <c r="AM21" s="90" t="s">
        <v>526</v>
      </c>
      <c r="AN21" s="90" t="s">
        <v>532</v>
      </c>
      <c r="AO21" s="90" t="s">
        <v>543</v>
      </c>
      <c r="AP21" s="90" t="s">
        <v>551</v>
      </c>
      <c r="AQ21" s="90" t="s">
        <v>565</v>
      </c>
      <c r="AR21" s="90" t="s">
        <v>575</v>
      </c>
    </row>
    <row r="22" spans="1:44" x14ac:dyDescent="0.25">
      <c r="A22" s="90" t="s">
        <v>600</v>
      </c>
      <c r="B22" s="90" t="s">
        <v>623</v>
      </c>
      <c r="C22" s="90" t="s">
        <v>100</v>
      </c>
      <c r="D22" s="90" t="s">
        <v>115</v>
      </c>
      <c r="E22" s="90" t="s">
        <v>664</v>
      </c>
      <c r="F22" s="90" t="s">
        <v>135</v>
      </c>
      <c r="G22" s="148" t="s">
        <v>157</v>
      </c>
      <c r="H22" s="90" t="s">
        <v>168</v>
      </c>
      <c r="I22" s="90" t="s">
        <v>180</v>
      </c>
      <c r="J22" s="90" t="s">
        <v>195</v>
      </c>
      <c r="K22" s="90" t="s">
        <v>736</v>
      </c>
      <c r="L22" s="90" t="s">
        <v>213</v>
      </c>
      <c r="M22" s="90" t="s">
        <v>746</v>
      </c>
      <c r="N22" s="90" t="s">
        <v>219</v>
      </c>
      <c r="O22" s="90" t="s">
        <v>254</v>
      </c>
      <c r="P22" s="90" t="s">
        <v>267</v>
      </c>
      <c r="Q22" s="90" t="s">
        <v>281</v>
      </c>
      <c r="R22" s="90" t="s">
        <v>286</v>
      </c>
      <c r="S22" s="90" t="s">
        <v>300</v>
      </c>
      <c r="T22" s="90" t="s">
        <v>308</v>
      </c>
      <c r="U22" s="90" t="s">
        <v>315</v>
      </c>
      <c r="V22" s="90" t="s">
        <v>332</v>
      </c>
      <c r="W22" s="90" t="s">
        <v>339</v>
      </c>
      <c r="X22" s="90" t="s">
        <v>346</v>
      </c>
      <c r="Y22" s="90" t="s">
        <v>363</v>
      </c>
      <c r="Z22" s="90" t="s">
        <v>391</v>
      </c>
      <c r="AA22" s="90" t="s">
        <v>399</v>
      </c>
      <c r="AB22" s="90" t="s">
        <v>406</v>
      </c>
      <c r="AC22" s="90" t="s">
        <v>435</v>
      </c>
      <c r="AD22" s="90" t="s">
        <v>454</v>
      </c>
      <c r="AE22" s="90" t="s">
        <v>460</v>
      </c>
      <c r="AF22" s="90" t="s">
        <v>467</v>
      </c>
      <c r="AG22" s="90" t="s">
        <v>479</v>
      </c>
      <c r="AH22" s="90" t="s">
        <v>489</v>
      </c>
      <c r="AI22" s="90" t="s">
        <v>495</v>
      </c>
      <c r="AJ22" s="90" t="s">
        <v>766</v>
      </c>
      <c r="AK22" s="90" t="s">
        <v>511</v>
      </c>
      <c r="AL22" s="90" t="s">
        <v>520</v>
      </c>
      <c r="AM22" s="90" t="s">
        <v>105</v>
      </c>
      <c r="AN22" s="90" t="s">
        <v>533</v>
      </c>
      <c r="AO22" s="90" t="s">
        <v>544</v>
      </c>
      <c r="AP22" s="90" t="s">
        <v>552</v>
      </c>
      <c r="AQ22" s="90" t="s">
        <v>566</v>
      </c>
      <c r="AR22" s="90" t="s">
        <v>576</v>
      </c>
    </row>
    <row r="23" spans="1:44" x14ac:dyDescent="0.25">
      <c r="A23" s="90" t="s">
        <v>601</v>
      </c>
      <c r="B23" s="90" t="s">
        <v>624</v>
      </c>
      <c r="C23" s="90" t="s">
        <v>101</v>
      </c>
      <c r="D23" s="90" t="s">
        <v>116</v>
      </c>
      <c r="E23" s="90" t="s">
        <v>132</v>
      </c>
      <c r="F23" s="90" t="s">
        <v>136</v>
      </c>
      <c r="G23" s="148" t="s">
        <v>158</v>
      </c>
      <c r="H23" s="90" t="s">
        <v>169</v>
      </c>
      <c r="I23" s="90" t="s">
        <v>181</v>
      </c>
      <c r="J23" s="90" t="s">
        <v>196</v>
      </c>
      <c r="K23" s="90" t="s">
        <v>737</v>
      </c>
      <c r="L23" s="90" t="s">
        <v>1342</v>
      </c>
      <c r="M23" s="90" t="s">
        <v>747</v>
      </c>
      <c r="N23" s="90" t="s">
        <v>220</v>
      </c>
      <c r="O23" s="90" t="s">
        <v>255</v>
      </c>
      <c r="P23" s="90" t="s">
        <v>268</v>
      </c>
      <c r="Q23" s="90" t="s">
        <v>784</v>
      </c>
      <c r="R23" s="90" t="s">
        <v>287</v>
      </c>
      <c r="S23" s="90" t="s">
        <v>301</v>
      </c>
      <c r="T23" s="90" t="s">
        <v>1174</v>
      </c>
      <c r="U23" s="90" t="s">
        <v>316</v>
      </c>
      <c r="V23" s="90" t="s">
        <v>333</v>
      </c>
      <c r="W23" s="90" t="s">
        <v>701</v>
      </c>
      <c r="X23" s="90" t="s">
        <v>347</v>
      </c>
      <c r="Y23" s="90" t="s">
        <v>364</v>
      </c>
      <c r="Z23" s="90" t="s">
        <v>392</v>
      </c>
      <c r="AA23" s="90" t="s">
        <v>400</v>
      </c>
      <c r="AB23" s="90" t="s">
        <v>407</v>
      </c>
      <c r="AC23" s="90" t="s">
        <v>436</v>
      </c>
      <c r="AD23" s="90" t="s">
        <v>811</v>
      </c>
      <c r="AE23" s="90" t="s">
        <v>921</v>
      </c>
      <c r="AF23" s="90" t="s">
        <v>468</v>
      </c>
      <c r="AG23" s="90" t="s">
        <v>837</v>
      </c>
      <c r="AH23" s="90" t="s">
        <v>490</v>
      </c>
      <c r="AI23" s="90" t="s">
        <v>496</v>
      </c>
      <c r="AJ23" s="90" t="s">
        <v>947</v>
      </c>
      <c r="AK23" s="90" t="s">
        <v>512</v>
      </c>
      <c r="AL23" s="90" t="s">
        <v>521</v>
      </c>
      <c r="AM23" s="90" t="s">
        <v>527</v>
      </c>
      <c r="AN23" s="90" t="s">
        <v>534</v>
      </c>
      <c r="AO23" s="90" t="s">
        <v>545</v>
      </c>
      <c r="AP23" s="90" t="s">
        <v>553</v>
      </c>
      <c r="AQ23" s="90" t="s">
        <v>567</v>
      </c>
      <c r="AR23" s="90" t="s">
        <v>577</v>
      </c>
    </row>
    <row r="24" spans="1:44" x14ac:dyDescent="0.25">
      <c r="A24" s="90" t="s">
        <v>602</v>
      </c>
      <c r="B24" s="90" t="s">
        <v>625</v>
      </c>
      <c r="C24" s="90" t="s">
        <v>102</v>
      </c>
      <c r="D24" s="90" t="s">
        <v>117</v>
      </c>
      <c r="E24" s="90" t="s">
        <v>665</v>
      </c>
      <c r="F24" s="90" t="s">
        <v>137</v>
      </c>
      <c r="G24" s="148" t="s">
        <v>159</v>
      </c>
      <c r="H24" s="90" t="s">
        <v>170</v>
      </c>
      <c r="I24" s="90" t="s">
        <v>182</v>
      </c>
      <c r="J24" s="90" t="s">
        <v>197</v>
      </c>
      <c r="K24" s="90" t="s">
        <v>738</v>
      </c>
      <c r="L24" s="90" t="s">
        <v>741</v>
      </c>
      <c r="M24" s="90" t="s">
        <v>1226</v>
      </c>
      <c r="N24" s="90" t="s">
        <v>221</v>
      </c>
      <c r="O24" s="90" t="s">
        <v>638</v>
      </c>
      <c r="P24" s="90" t="s">
        <v>269</v>
      </c>
      <c r="Q24" s="90" t="s">
        <v>282</v>
      </c>
      <c r="R24" s="90" t="s">
        <v>288</v>
      </c>
      <c r="S24" s="90" t="s">
        <v>741</v>
      </c>
      <c r="T24" s="90" t="s">
        <v>821</v>
      </c>
      <c r="U24" s="90" t="s">
        <v>317</v>
      </c>
      <c r="V24" s="90" t="s">
        <v>334</v>
      </c>
      <c r="W24" s="90" t="s">
        <v>340</v>
      </c>
      <c r="X24" s="90" t="s">
        <v>348</v>
      </c>
      <c r="Y24" s="90" t="s">
        <v>460</v>
      </c>
      <c r="Z24" s="90" t="s">
        <v>393</v>
      </c>
      <c r="AA24" s="90" t="s">
        <v>855</v>
      </c>
      <c r="AB24" s="90" t="s">
        <v>408</v>
      </c>
      <c r="AC24" s="90" t="s">
        <v>437</v>
      </c>
      <c r="AD24" s="90" t="s">
        <v>915</v>
      </c>
      <c r="AE24" s="90" t="s">
        <v>461</v>
      </c>
      <c r="AF24" s="90" t="s">
        <v>852</v>
      </c>
      <c r="AG24" s="90" t="s">
        <v>868</v>
      </c>
      <c r="AH24" s="90" t="s">
        <v>491</v>
      </c>
      <c r="AI24" s="90" t="s">
        <v>497</v>
      </c>
      <c r="AJ24" s="90" t="s">
        <v>504</v>
      </c>
      <c r="AK24" s="90" t="s">
        <v>606</v>
      </c>
      <c r="AL24" s="90" t="s">
        <v>961</v>
      </c>
      <c r="AM24" s="90" t="s">
        <v>768</v>
      </c>
      <c r="AN24" s="90" t="s">
        <v>535</v>
      </c>
      <c r="AO24" s="90" t="s">
        <v>980</v>
      </c>
      <c r="AP24" s="90" t="s">
        <v>554</v>
      </c>
      <c r="AQ24" s="90" t="s">
        <v>626</v>
      </c>
      <c r="AR24" s="90" t="s">
        <v>961</v>
      </c>
    </row>
    <row r="25" spans="1:44" x14ac:dyDescent="0.25">
      <c r="A25" s="90" t="s">
        <v>603</v>
      </c>
      <c r="B25" s="90" t="s">
        <v>626</v>
      </c>
      <c r="C25" s="90" t="s">
        <v>103</v>
      </c>
      <c r="D25" s="90" t="s">
        <v>655</v>
      </c>
      <c r="E25" s="90" t="s">
        <v>666</v>
      </c>
      <c r="F25" s="90" t="s">
        <v>138</v>
      </c>
      <c r="G25" s="148" t="s">
        <v>156</v>
      </c>
      <c r="H25" s="90" t="s">
        <v>604</v>
      </c>
      <c r="I25" s="90" t="s">
        <v>183</v>
      </c>
      <c r="J25" s="90" t="s">
        <v>198</v>
      </c>
      <c r="K25" s="90" t="s">
        <v>739</v>
      </c>
      <c r="L25" s="90" t="s">
        <v>742</v>
      </c>
      <c r="M25" s="90" t="s">
        <v>748</v>
      </c>
      <c r="N25" s="90" t="s">
        <v>222</v>
      </c>
      <c r="O25" s="90" t="s">
        <v>640</v>
      </c>
      <c r="P25" s="90" t="s">
        <v>266</v>
      </c>
      <c r="Q25" s="90" t="s">
        <v>283</v>
      </c>
      <c r="R25" s="90" t="s">
        <v>785</v>
      </c>
      <c r="S25" s="90" t="s">
        <v>811</v>
      </c>
      <c r="T25" s="90" t="s">
        <v>822</v>
      </c>
      <c r="U25" s="90" t="s">
        <v>318</v>
      </c>
      <c r="V25" s="90" t="s">
        <v>335</v>
      </c>
      <c r="W25" s="90" t="s">
        <v>341</v>
      </c>
      <c r="X25" s="90" t="s">
        <v>852</v>
      </c>
      <c r="Y25" s="90" t="s">
        <v>365</v>
      </c>
      <c r="Z25" s="90" t="s">
        <v>197</v>
      </c>
      <c r="AA25" s="90" t="s">
        <v>881</v>
      </c>
      <c r="AB25" s="90" t="s">
        <v>409</v>
      </c>
      <c r="AC25" s="90" t="s">
        <v>438</v>
      </c>
      <c r="AD25" s="90" t="s">
        <v>916</v>
      </c>
      <c r="AE25" s="90" t="s">
        <v>462</v>
      </c>
      <c r="AF25" s="90" t="s">
        <v>855</v>
      </c>
      <c r="AG25" s="90" t="s">
        <v>938</v>
      </c>
      <c r="AH25" s="90" t="s">
        <v>492</v>
      </c>
      <c r="AI25" s="90" t="s">
        <v>785</v>
      </c>
      <c r="AJ25" s="90" t="s">
        <v>948</v>
      </c>
      <c r="AK25" s="90" t="s">
        <v>821</v>
      </c>
      <c r="AL25" s="90" t="s">
        <v>962</v>
      </c>
      <c r="AM25" s="90" t="s">
        <v>965</v>
      </c>
      <c r="AN25" s="90" t="s">
        <v>536</v>
      </c>
      <c r="AO25" s="90" t="s">
        <v>546</v>
      </c>
      <c r="AP25" s="90" t="s">
        <v>555</v>
      </c>
      <c r="AQ25" s="90" t="s">
        <v>1000</v>
      </c>
      <c r="AR25" s="90" t="s">
        <v>1008</v>
      </c>
    </row>
    <row r="26" spans="1:44" x14ac:dyDescent="0.25">
      <c r="A26" s="90" t="s">
        <v>225</v>
      </c>
      <c r="B26" s="90" t="s">
        <v>627</v>
      </c>
      <c r="C26" s="90" t="s">
        <v>104</v>
      </c>
      <c r="D26" s="90" t="s">
        <v>656</v>
      </c>
      <c r="E26" s="90" t="s">
        <v>667</v>
      </c>
      <c r="F26" s="90" t="s">
        <v>675</v>
      </c>
      <c r="G26" s="148" t="s">
        <v>690</v>
      </c>
      <c r="H26" s="90" t="s">
        <v>698</v>
      </c>
      <c r="I26" s="90" t="s">
        <v>184</v>
      </c>
      <c r="J26" s="90" t="s">
        <v>199</v>
      </c>
      <c r="K26" s="90" t="s">
        <v>740</v>
      </c>
      <c r="L26" s="90" t="s">
        <v>743</v>
      </c>
      <c r="M26" s="90" t="s">
        <v>749</v>
      </c>
      <c r="N26" s="90" t="s">
        <v>223</v>
      </c>
      <c r="O26" s="90" t="s">
        <v>762</v>
      </c>
      <c r="P26" s="90" t="s">
        <v>766</v>
      </c>
      <c r="Q26" s="90"/>
      <c r="R26" s="90" t="s">
        <v>786</v>
      </c>
      <c r="S26" s="90" t="s">
        <v>742</v>
      </c>
      <c r="T26" s="90" t="s">
        <v>823</v>
      </c>
      <c r="U26" s="90" t="s">
        <v>640</v>
      </c>
      <c r="V26" s="90" t="s">
        <v>336</v>
      </c>
      <c r="W26" s="90" t="s">
        <v>342</v>
      </c>
      <c r="X26" s="90" t="s">
        <v>853</v>
      </c>
      <c r="Y26" s="90" t="s">
        <v>366</v>
      </c>
      <c r="Z26" s="90" t="s">
        <v>394</v>
      </c>
      <c r="AA26" s="90" t="s">
        <v>882</v>
      </c>
      <c r="AB26" s="90" t="s">
        <v>410</v>
      </c>
      <c r="AC26" s="90" t="s">
        <v>439</v>
      </c>
      <c r="AD26" s="90" t="s">
        <v>813</v>
      </c>
      <c r="AE26" s="90" t="s">
        <v>785</v>
      </c>
      <c r="AF26" s="90" t="s">
        <v>882</v>
      </c>
      <c r="AG26" s="90" t="s">
        <v>838</v>
      </c>
      <c r="AH26" s="90" t="s">
        <v>266</v>
      </c>
      <c r="AI26" s="90" t="s">
        <v>899</v>
      </c>
      <c r="AJ26" s="90" t="s">
        <v>506</v>
      </c>
      <c r="AK26" s="90" t="s">
        <v>757</v>
      </c>
      <c r="AL26" s="90" t="s">
        <v>963</v>
      </c>
      <c r="AM26" s="90" t="s">
        <v>966</v>
      </c>
      <c r="AN26" s="90" t="s">
        <v>537</v>
      </c>
      <c r="AO26" s="90" t="s">
        <v>981</v>
      </c>
      <c r="AP26" s="90" t="s">
        <v>556</v>
      </c>
      <c r="AQ26" s="90" t="s">
        <v>1172</v>
      </c>
      <c r="AR26" s="90" t="s">
        <v>627</v>
      </c>
    </row>
    <row r="27" spans="1:44" x14ac:dyDescent="0.25">
      <c r="A27" s="90" t="s">
        <v>604</v>
      </c>
      <c r="B27" s="90" t="s">
        <v>628</v>
      </c>
      <c r="C27" s="90" t="s">
        <v>105</v>
      </c>
      <c r="D27" s="90" t="s">
        <v>657</v>
      </c>
      <c r="E27" s="90" t="s">
        <v>668</v>
      </c>
      <c r="F27" s="90" t="s">
        <v>676</v>
      </c>
      <c r="G27" s="148" t="s">
        <v>160</v>
      </c>
      <c r="H27" s="90" t="s">
        <v>699</v>
      </c>
      <c r="I27" s="90" t="s">
        <v>185</v>
      </c>
      <c r="J27" s="90" t="s">
        <v>679</v>
      </c>
      <c r="K27" s="90" t="s">
        <v>1229</v>
      </c>
      <c r="L27" s="90" t="s">
        <v>744</v>
      </c>
      <c r="M27" s="90"/>
      <c r="N27" s="90" t="s">
        <v>224</v>
      </c>
      <c r="O27" s="90" t="s">
        <v>657</v>
      </c>
      <c r="P27" s="90" t="s">
        <v>767</v>
      </c>
      <c r="Q27" s="90"/>
      <c r="R27" s="90" t="s">
        <v>787</v>
      </c>
      <c r="S27" s="90" t="s">
        <v>812</v>
      </c>
      <c r="T27" s="90" t="s">
        <v>824</v>
      </c>
      <c r="U27" s="90" t="s">
        <v>641</v>
      </c>
      <c r="V27" s="90" t="s">
        <v>337</v>
      </c>
      <c r="W27" s="90" t="s">
        <v>848</v>
      </c>
      <c r="X27" s="90" t="s">
        <v>854</v>
      </c>
      <c r="Y27" s="90" t="s">
        <v>367</v>
      </c>
      <c r="Z27" s="90" t="s">
        <v>868</v>
      </c>
      <c r="AA27" s="90" t="s">
        <v>767</v>
      </c>
      <c r="AB27" s="90" t="s">
        <v>411</v>
      </c>
      <c r="AC27" s="90" t="s">
        <v>440</v>
      </c>
      <c r="AD27" s="90" t="s">
        <v>917</v>
      </c>
      <c r="AE27" s="90" t="s">
        <v>860</v>
      </c>
      <c r="AF27" s="90" t="s">
        <v>931</v>
      </c>
      <c r="AG27" s="90" t="s">
        <v>480</v>
      </c>
      <c r="AH27" s="90" t="s">
        <v>767</v>
      </c>
      <c r="AI27" s="90" t="s">
        <v>786</v>
      </c>
      <c r="AJ27" s="90" t="s">
        <v>505</v>
      </c>
      <c r="AK27" s="90" t="s">
        <v>951</v>
      </c>
      <c r="AL27" s="90" t="s">
        <v>1259</v>
      </c>
      <c r="AM27" s="90" t="s">
        <v>1263</v>
      </c>
      <c r="AN27" s="90" t="s">
        <v>538</v>
      </c>
      <c r="AO27" s="90" t="s">
        <v>982</v>
      </c>
      <c r="AP27" s="90" t="s">
        <v>557</v>
      </c>
      <c r="AQ27" s="90" t="s">
        <v>568</v>
      </c>
      <c r="AR27" s="90" t="s">
        <v>1009</v>
      </c>
    </row>
    <row r="28" spans="1:44" x14ac:dyDescent="0.25">
      <c r="A28" s="90" t="s">
        <v>81</v>
      </c>
      <c r="B28" s="90" t="s">
        <v>629</v>
      </c>
      <c r="C28" s="90" t="s">
        <v>638</v>
      </c>
      <c r="D28" s="90" t="s">
        <v>118</v>
      </c>
      <c r="E28" s="90" t="s">
        <v>422</v>
      </c>
      <c r="F28" s="90" t="s">
        <v>677</v>
      </c>
      <c r="G28" s="148" t="s">
        <v>161</v>
      </c>
      <c r="H28" s="90" t="s">
        <v>700</v>
      </c>
      <c r="I28" s="90" t="s">
        <v>186</v>
      </c>
      <c r="J28" s="90" t="s">
        <v>725</v>
      </c>
      <c r="L28" s="90" t="s">
        <v>1359</v>
      </c>
      <c r="M28" s="90"/>
      <c r="N28" s="90" t="s">
        <v>226</v>
      </c>
      <c r="O28" s="90" t="s">
        <v>256</v>
      </c>
      <c r="P28" s="90" t="s">
        <v>768</v>
      </c>
      <c r="Q28" s="90"/>
      <c r="R28" s="90" t="s">
        <v>788</v>
      </c>
      <c r="S28" s="90" t="s">
        <v>302</v>
      </c>
      <c r="T28" s="90" t="s">
        <v>309</v>
      </c>
      <c r="U28" s="90" t="s">
        <v>642</v>
      </c>
      <c r="V28" s="90" t="s">
        <v>837</v>
      </c>
      <c r="W28" s="90" t="s">
        <v>849</v>
      </c>
      <c r="X28" s="90" t="s">
        <v>823</v>
      </c>
      <c r="Y28" s="90" t="s">
        <v>1320</v>
      </c>
      <c r="Z28" s="90" t="s">
        <v>727</v>
      </c>
      <c r="AA28" s="90" t="s">
        <v>401</v>
      </c>
      <c r="AB28" s="90" t="s">
        <v>412</v>
      </c>
      <c r="AC28" s="90" t="s">
        <v>441</v>
      </c>
      <c r="AD28" s="90" t="s">
        <v>918</v>
      </c>
      <c r="AE28" s="90" t="s">
        <v>787</v>
      </c>
      <c r="AF28" s="90" t="s">
        <v>932</v>
      </c>
      <c r="AG28" s="90" t="s">
        <v>481</v>
      </c>
      <c r="AH28" s="90" t="s">
        <v>939</v>
      </c>
      <c r="AI28" s="90" t="s">
        <v>862</v>
      </c>
      <c r="AJ28" s="90" t="s">
        <v>949</v>
      </c>
      <c r="AK28" s="90" t="s">
        <v>824</v>
      </c>
      <c r="AL28" s="90" t="s">
        <v>522</v>
      </c>
      <c r="AM28" s="90" t="s">
        <v>528</v>
      </c>
      <c r="AN28" s="90" t="s">
        <v>665</v>
      </c>
      <c r="AO28" s="90" t="s">
        <v>547</v>
      </c>
      <c r="AP28" s="90" t="s">
        <v>558</v>
      </c>
      <c r="AQ28" s="90" t="s">
        <v>569</v>
      </c>
      <c r="AR28" s="90" t="s">
        <v>578</v>
      </c>
    </row>
    <row r="29" spans="1:44" x14ac:dyDescent="0.25">
      <c r="A29" s="90" t="s">
        <v>605</v>
      </c>
      <c r="B29" s="90" t="s">
        <v>630</v>
      </c>
      <c r="C29" s="90" t="s">
        <v>639</v>
      </c>
      <c r="D29" s="90" t="s">
        <v>120</v>
      </c>
      <c r="E29" s="90" t="s">
        <v>669</v>
      </c>
      <c r="F29" s="90" t="s">
        <v>678</v>
      </c>
      <c r="G29" s="148" t="s">
        <v>162</v>
      </c>
      <c r="H29" s="90" t="s">
        <v>701</v>
      </c>
      <c r="I29" s="90" t="s">
        <v>179</v>
      </c>
      <c r="J29" s="90" t="s">
        <v>726</v>
      </c>
      <c r="K29" s="90"/>
      <c r="L29" s="90" t="s">
        <v>745</v>
      </c>
      <c r="M29" s="90"/>
      <c r="N29" s="90" t="s">
        <v>225</v>
      </c>
      <c r="O29" s="90" t="s">
        <v>257</v>
      </c>
      <c r="P29" s="90" t="s">
        <v>769</v>
      </c>
      <c r="Q29" s="90"/>
      <c r="R29" s="90" t="s">
        <v>789</v>
      </c>
      <c r="S29" s="90" t="s">
        <v>303</v>
      </c>
      <c r="T29" s="90" t="s">
        <v>825</v>
      </c>
      <c r="U29" s="90" t="s">
        <v>319</v>
      </c>
      <c r="V29" s="90" t="s">
        <v>838</v>
      </c>
      <c r="W29" s="90" t="s">
        <v>239</v>
      </c>
      <c r="X29" s="90" t="s">
        <v>855</v>
      </c>
      <c r="Y29" s="90" t="s">
        <v>860</v>
      </c>
      <c r="Z29" s="90" t="s">
        <v>869</v>
      </c>
      <c r="AA29" s="90" t="s">
        <v>402</v>
      </c>
      <c r="AB29" s="90" t="s">
        <v>413</v>
      </c>
      <c r="AC29" s="90" t="s">
        <v>898</v>
      </c>
      <c r="AD29" s="90" t="s">
        <v>919</v>
      </c>
      <c r="AE29" s="90" t="s">
        <v>861</v>
      </c>
      <c r="AF29" s="90" t="s">
        <v>767</v>
      </c>
      <c r="AG29" s="90" t="s">
        <v>482</v>
      </c>
      <c r="AH29" s="90" t="s">
        <v>940</v>
      </c>
      <c r="AI29" s="90" t="s">
        <v>942</v>
      </c>
      <c r="AJ29" s="90" t="s">
        <v>950</v>
      </c>
      <c r="AK29" s="90" t="s">
        <v>758</v>
      </c>
      <c r="AL29" s="90" t="s">
        <v>964</v>
      </c>
      <c r="AM29" s="90" t="s">
        <v>967</v>
      </c>
      <c r="AN29" s="90" t="s">
        <v>889</v>
      </c>
      <c r="AO29" s="90" t="s">
        <v>548</v>
      </c>
      <c r="AP29" s="90" t="s">
        <v>766</v>
      </c>
      <c r="AQ29" s="90" t="s">
        <v>1001</v>
      </c>
      <c r="AR29" s="90" t="s">
        <v>580</v>
      </c>
    </row>
    <row r="30" spans="1:44" x14ac:dyDescent="0.25">
      <c r="A30" s="90" t="s">
        <v>606</v>
      </c>
      <c r="B30" s="90" t="s">
        <v>631</v>
      </c>
      <c r="C30" s="90" t="s">
        <v>640</v>
      </c>
      <c r="D30" s="90" t="s">
        <v>121</v>
      </c>
      <c r="E30" s="90" t="s">
        <v>539</v>
      </c>
      <c r="F30" s="90" t="s">
        <v>679</v>
      </c>
      <c r="G30" s="148" t="s">
        <v>163</v>
      </c>
      <c r="H30" s="90" t="s">
        <v>1343</v>
      </c>
      <c r="I30" s="90" t="s">
        <v>707</v>
      </c>
      <c r="J30" s="90" t="s">
        <v>680</v>
      </c>
      <c r="K30" s="90"/>
      <c r="L30" s="90" t="s">
        <v>214</v>
      </c>
      <c r="M30" s="90"/>
      <c r="N30" s="90" t="s">
        <v>81</v>
      </c>
      <c r="O30" s="90" t="s">
        <v>763</v>
      </c>
      <c r="P30" s="90" t="s">
        <v>270</v>
      </c>
      <c r="Q30" s="90"/>
      <c r="R30" s="90" t="s">
        <v>289</v>
      </c>
      <c r="S30" s="90" t="s">
        <v>813</v>
      </c>
      <c r="T30" s="90" t="s">
        <v>826</v>
      </c>
      <c r="U30" s="90" t="s">
        <v>320</v>
      </c>
      <c r="V30" s="90" t="s">
        <v>1234</v>
      </c>
      <c r="W30" s="90" t="s">
        <v>343</v>
      </c>
      <c r="X30" s="90" t="s">
        <v>856</v>
      </c>
      <c r="Y30" s="90" t="s">
        <v>787</v>
      </c>
      <c r="Z30" s="90" t="s">
        <v>870</v>
      </c>
      <c r="AA30" s="90" t="s">
        <v>883</v>
      </c>
      <c r="AB30" s="90" t="s">
        <v>414</v>
      </c>
      <c r="AC30" s="90" t="s">
        <v>899</v>
      </c>
      <c r="AD30" s="90" t="s">
        <v>920</v>
      </c>
      <c r="AE30" s="90" t="s">
        <v>862</v>
      </c>
      <c r="AF30" s="90" t="s">
        <v>469</v>
      </c>
      <c r="AG30" s="90" t="s">
        <v>483</v>
      </c>
      <c r="AH30" s="90" t="s">
        <v>941</v>
      </c>
      <c r="AI30" s="90" t="s">
        <v>943</v>
      </c>
      <c r="AJ30" s="90" t="s">
        <v>507</v>
      </c>
      <c r="AK30" s="90" t="s">
        <v>952</v>
      </c>
      <c r="AL30" s="90" t="s">
        <v>1260</v>
      </c>
      <c r="AM30" s="90" t="s">
        <v>968</v>
      </c>
      <c r="AN30" s="90" t="s">
        <v>972</v>
      </c>
      <c r="AO30" s="90" t="s">
        <v>983</v>
      </c>
      <c r="AP30" s="90" t="s">
        <v>854</v>
      </c>
      <c r="AQ30" s="90" t="s">
        <v>1002</v>
      </c>
      <c r="AR30" s="90" t="s">
        <v>581</v>
      </c>
    </row>
    <row r="31" spans="1:44" x14ac:dyDescent="0.25">
      <c r="A31" s="90" t="s">
        <v>82</v>
      </c>
      <c r="B31" s="90" t="s">
        <v>632</v>
      </c>
      <c r="C31" s="90" t="s">
        <v>641</v>
      </c>
      <c r="D31" s="90" t="s">
        <v>122</v>
      </c>
      <c r="E31" s="90" t="s">
        <v>670</v>
      </c>
      <c r="F31" s="90" t="s">
        <v>680</v>
      </c>
      <c r="G31" s="148" t="s">
        <v>164</v>
      </c>
      <c r="H31" s="90" t="s">
        <v>171</v>
      </c>
      <c r="I31" s="90" t="s">
        <v>708</v>
      </c>
      <c r="J31" s="90" t="s">
        <v>657</v>
      </c>
      <c r="K31" s="90"/>
      <c r="L31" s="90"/>
      <c r="M31" s="90"/>
      <c r="N31" s="90" t="s">
        <v>605</v>
      </c>
      <c r="O31" s="90" t="s">
        <v>202</v>
      </c>
      <c r="P31" s="90" t="s">
        <v>271</v>
      </c>
      <c r="Q31" s="90"/>
      <c r="R31" s="90" t="s">
        <v>790</v>
      </c>
      <c r="S31" s="90" t="s">
        <v>814</v>
      </c>
      <c r="T31" s="90" t="s">
        <v>827</v>
      </c>
      <c r="U31" s="90" t="s">
        <v>321</v>
      </c>
      <c r="V31" s="90" t="s">
        <v>1250</v>
      </c>
      <c r="W31" s="90" t="s">
        <v>851</v>
      </c>
      <c r="X31" s="90" t="s">
        <v>349</v>
      </c>
      <c r="Y31" s="90" t="s">
        <v>861</v>
      </c>
      <c r="Z31" s="90" t="s">
        <v>395</v>
      </c>
      <c r="AA31" s="90" t="s">
        <v>1091</v>
      </c>
      <c r="AB31" s="90" t="s">
        <v>415</v>
      </c>
      <c r="AC31" s="90" t="s">
        <v>786</v>
      </c>
      <c r="AD31" s="90" t="s">
        <v>455</v>
      </c>
      <c r="AE31" s="90" t="s">
        <v>922</v>
      </c>
      <c r="AF31" s="90" t="s">
        <v>933</v>
      </c>
      <c r="AG31" s="90" t="s">
        <v>484</v>
      </c>
      <c r="AH31" s="90" t="s">
        <v>692</v>
      </c>
      <c r="AI31" s="90" t="s">
        <v>922</v>
      </c>
      <c r="AJ31" s="90" t="s">
        <v>508</v>
      </c>
      <c r="AK31" s="90" t="s">
        <v>953</v>
      </c>
      <c r="AL31" s="90" t="s">
        <v>523</v>
      </c>
      <c r="AM31" s="90" t="s">
        <v>969</v>
      </c>
      <c r="AN31" s="90" t="s">
        <v>973</v>
      </c>
      <c r="AO31" s="90" t="s">
        <v>549</v>
      </c>
      <c r="AP31" s="90" t="s">
        <v>823</v>
      </c>
      <c r="AQ31" s="90" t="s">
        <v>570</v>
      </c>
      <c r="AR31" s="90" t="s">
        <v>579</v>
      </c>
    </row>
    <row r="32" spans="1:44" x14ac:dyDescent="0.25">
      <c r="A32" s="90" t="s">
        <v>83</v>
      </c>
      <c r="B32" s="90" t="s">
        <v>633</v>
      </c>
      <c r="C32" s="90" t="s">
        <v>642</v>
      </c>
      <c r="D32" s="90" t="s">
        <v>125</v>
      </c>
      <c r="E32" s="90" t="s">
        <v>671</v>
      </c>
      <c r="F32" s="90" t="s">
        <v>681</v>
      </c>
      <c r="G32" s="148" t="s">
        <v>165</v>
      </c>
      <c r="H32" s="90" t="s">
        <v>342</v>
      </c>
      <c r="I32" s="90" t="s">
        <v>709</v>
      </c>
      <c r="J32" s="90" t="s">
        <v>727</v>
      </c>
      <c r="K32" s="90"/>
      <c r="L32" s="90"/>
      <c r="M32" s="90"/>
      <c r="N32" s="90" t="s">
        <v>750</v>
      </c>
      <c r="O32" s="90" t="s">
        <v>258</v>
      </c>
      <c r="P32" s="90" t="s">
        <v>770</v>
      </c>
      <c r="Q32" s="90"/>
      <c r="R32" s="90" t="s">
        <v>290</v>
      </c>
      <c r="S32" s="90" t="s">
        <v>815</v>
      </c>
      <c r="T32" s="90" t="s">
        <v>828</v>
      </c>
      <c r="U32" s="90" t="s">
        <v>322</v>
      </c>
      <c r="V32" s="90" t="s">
        <v>839</v>
      </c>
      <c r="W32" s="90" t="s">
        <v>621</v>
      </c>
      <c r="X32" s="90" t="s">
        <v>350</v>
      </c>
      <c r="Y32" s="90" t="s">
        <v>862</v>
      </c>
      <c r="Z32" s="90" t="s">
        <v>871</v>
      </c>
      <c r="AA32" s="90" t="s">
        <v>884</v>
      </c>
      <c r="AB32" s="90" t="s">
        <v>416</v>
      </c>
      <c r="AC32" s="90" t="s">
        <v>900</v>
      </c>
      <c r="AD32" s="90" t="s">
        <v>456</v>
      </c>
      <c r="AE32" s="90" t="s">
        <v>923</v>
      </c>
      <c r="AF32" s="90" t="s">
        <v>471</v>
      </c>
      <c r="AG32" s="90" t="s">
        <v>485</v>
      </c>
      <c r="AH32" s="90" t="s">
        <v>885</v>
      </c>
      <c r="AI32" s="90" t="s">
        <v>923</v>
      </c>
      <c r="AJ32" s="90"/>
      <c r="AK32" s="90" t="s">
        <v>1344</v>
      </c>
      <c r="AL32" s="90" t="s">
        <v>240</v>
      </c>
      <c r="AM32" s="90" t="s">
        <v>970</v>
      </c>
      <c r="AN32" s="90" t="s">
        <v>974</v>
      </c>
      <c r="AO32" s="90" t="s">
        <v>984</v>
      </c>
      <c r="AP32" s="90" t="s">
        <v>986</v>
      </c>
      <c r="AQ32" s="90" t="s">
        <v>1003</v>
      </c>
      <c r="AR32" s="90" t="s">
        <v>1010</v>
      </c>
    </row>
    <row r="33" spans="1:44" x14ac:dyDescent="0.25">
      <c r="A33" s="90" t="s">
        <v>607</v>
      </c>
      <c r="B33" s="90" t="s">
        <v>95</v>
      </c>
      <c r="C33" s="90" t="s">
        <v>643</v>
      </c>
      <c r="D33" s="90" t="s">
        <v>126</v>
      </c>
      <c r="E33" s="90" t="s">
        <v>673</v>
      </c>
      <c r="F33" s="90" t="s">
        <v>139</v>
      </c>
      <c r="G33" s="148" t="s">
        <v>691</v>
      </c>
      <c r="H33" s="90" t="s">
        <v>702</v>
      </c>
      <c r="I33" s="90" t="s">
        <v>710</v>
      </c>
      <c r="J33" s="90" t="s">
        <v>728</v>
      </c>
      <c r="K33" s="90"/>
      <c r="L33" s="90"/>
      <c r="M33" s="90"/>
      <c r="N33" s="90" t="s">
        <v>751</v>
      </c>
      <c r="O33" s="90" t="s">
        <v>259</v>
      </c>
      <c r="P33" s="90" t="s">
        <v>771</v>
      </c>
      <c r="Q33" s="90"/>
      <c r="R33" s="90" t="s">
        <v>291</v>
      </c>
      <c r="S33" s="90" t="s">
        <v>816</v>
      </c>
      <c r="T33" s="90" t="s">
        <v>829</v>
      </c>
      <c r="U33" s="90" t="s">
        <v>323</v>
      </c>
      <c r="V33" s="90" t="s">
        <v>840</v>
      </c>
      <c r="W33" s="90"/>
      <c r="X33" s="90" t="s">
        <v>351</v>
      </c>
      <c r="Y33" s="90" t="s">
        <v>628</v>
      </c>
      <c r="Z33" s="90" t="s">
        <v>872</v>
      </c>
      <c r="AA33" s="90" t="s">
        <v>885</v>
      </c>
      <c r="AB33" s="90" t="s">
        <v>417</v>
      </c>
      <c r="AC33" s="90" t="s">
        <v>901</v>
      </c>
      <c r="AD33" s="90" t="s">
        <v>457</v>
      </c>
      <c r="AE33" s="90" t="s">
        <v>372</v>
      </c>
      <c r="AF33" s="90" t="s">
        <v>470</v>
      </c>
      <c r="AG33" s="90" t="s">
        <v>486</v>
      </c>
      <c r="AH33" s="90" t="s">
        <v>1246</v>
      </c>
      <c r="AI33" s="90" t="s">
        <v>443</v>
      </c>
      <c r="AJ33" s="90"/>
      <c r="AK33" s="90" t="s">
        <v>513</v>
      </c>
      <c r="AL33" s="90" t="s">
        <v>524</v>
      </c>
      <c r="AM33" s="90" t="s">
        <v>1264</v>
      </c>
      <c r="AN33" s="90" t="s">
        <v>1265</v>
      </c>
      <c r="AO33" s="90" t="s">
        <v>985</v>
      </c>
      <c r="AP33" s="90" t="s">
        <v>856</v>
      </c>
      <c r="AQ33" s="90" t="s">
        <v>1158</v>
      </c>
      <c r="AR33" s="90" t="s">
        <v>1011</v>
      </c>
    </row>
    <row r="34" spans="1:44" x14ac:dyDescent="0.25">
      <c r="A34" s="90" t="s">
        <v>84</v>
      </c>
      <c r="B34" s="90" t="s">
        <v>634</v>
      </c>
      <c r="C34" s="90" t="s">
        <v>106</v>
      </c>
      <c r="D34" s="90" t="s">
        <v>127</v>
      </c>
      <c r="E34" s="90" t="s">
        <v>674</v>
      </c>
      <c r="F34" s="90" t="s">
        <v>140</v>
      </c>
      <c r="G34" s="148" t="s">
        <v>1090</v>
      </c>
      <c r="H34" s="90" t="s">
        <v>703</v>
      </c>
      <c r="I34" s="90" t="s">
        <v>187</v>
      </c>
      <c r="J34" s="90" t="s">
        <v>201</v>
      </c>
      <c r="K34" s="90"/>
      <c r="L34" s="90"/>
      <c r="M34" s="90"/>
      <c r="N34" s="90" t="s">
        <v>752</v>
      </c>
      <c r="O34" s="90" t="s">
        <v>108</v>
      </c>
      <c r="P34" s="90" t="s">
        <v>274</v>
      </c>
      <c r="Q34" s="90"/>
      <c r="R34" s="90" t="s">
        <v>791</v>
      </c>
      <c r="S34" s="90" t="s">
        <v>1359</v>
      </c>
      <c r="T34" s="90" t="s">
        <v>830</v>
      </c>
      <c r="U34" s="90" t="s">
        <v>324</v>
      </c>
      <c r="V34" s="90" t="s">
        <v>841</v>
      </c>
      <c r="W34" s="90"/>
      <c r="X34" s="90" t="s">
        <v>352</v>
      </c>
      <c r="Y34" s="90" t="s">
        <v>1389</v>
      </c>
      <c r="Z34" s="90" t="s">
        <v>873</v>
      </c>
      <c r="AA34" s="90" t="s">
        <v>886</v>
      </c>
      <c r="AB34" s="90" t="s">
        <v>887</v>
      </c>
      <c r="AC34" s="90" t="s">
        <v>788</v>
      </c>
      <c r="AD34" s="90"/>
      <c r="AE34" s="90" t="s">
        <v>924</v>
      </c>
      <c r="AF34" s="90" t="s">
        <v>934</v>
      </c>
      <c r="AG34" s="90" t="s">
        <v>1243</v>
      </c>
      <c r="AH34" s="90"/>
      <c r="AI34" s="90" t="s">
        <v>498</v>
      </c>
      <c r="AJ34" s="90"/>
      <c r="AK34" s="90" t="s">
        <v>514</v>
      </c>
      <c r="AL34" s="90" t="s">
        <v>1089</v>
      </c>
      <c r="AM34" s="90" t="s">
        <v>971</v>
      </c>
      <c r="AN34" s="90" t="s">
        <v>540</v>
      </c>
      <c r="AO34" s="90" t="s">
        <v>1347</v>
      </c>
      <c r="AP34" s="90" t="s">
        <v>987</v>
      </c>
      <c r="AQ34" s="90" t="s">
        <v>1159</v>
      </c>
      <c r="AR34" s="90" t="s">
        <v>1012</v>
      </c>
    </row>
    <row r="35" spans="1:44" x14ac:dyDescent="0.25">
      <c r="A35" s="90" t="s">
        <v>85</v>
      </c>
      <c r="B35" s="90" t="s">
        <v>635</v>
      </c>
      <c r="C35" s="90" t="s">
        <v>107</v>
      </c>
      <c r="D35" s="90" t="s">
        <v>128</v>
      </c>
      <c r="F35" s="90" t="s">
        <v>141</v>
      </c>
      <c r="G35" s="148" t="s">
        <v>692</v>
      </c>
      <c r="H35" s="90" t="s">
        <v>704</v>
      </c>
      <c r="I35" s="90" t="s">
        <v>711</v>
      </c>
      <c r="J35" s="90" t="s">
        <v>395</v>
      </c>
      <c r="K35" s="90"/>
      <c r="L35" s="90"/>
      <c r="M35" s="90"/>
      <c r="N35" s="90" t="s">
        <v>753</v>
      </c>
      <c r="O35" s="90" t="s">
        <v>260</v>
      </c>
      <c r="P35" s="90" t="s">
        <v>273</v>
      </c>
      <c r="Q35" s="90"/>
      <c r="R35" s="90" t="s">
        <v>292</v>
      </c>
      <c r="S35" s="90" t="s">
        <v>817</v>
      </c>
      <c r="T35" s="90" t="s">
        <v>1247</v>
      </c>
      <c r="U35" s="90" t="s">
        <v>325</v>
      </c>
      <c r="V35" s="90" t="s">
        <v>486</v>
      </c>
      <c r="W35" s="90"/>
      <c r="X35" s="90" t="s">
        <v>560</v>
      </c>
      <c r="Y35" s="90" t="s">
        <v>1390</v>
      </c>
      <c r="Z35" s="90" t="s">
        <v>874</v>
      </c>
      <c r="AA35" s="90" t="s">
        <v>1238</v>
      </c>
      <c r="AB35" s="90" t="s">
        <v>707</v>
      </c>
      <c r="AC35" s="90" t="s">
        <v>902</v>
      </c>
      <c r="AD35" s="90"/>
      <c r="AE35" s="90" t="s">
        <v>463</v>
      </c>
      <c r="AF35" s="90" t="s">
        <v>935</v>
      </c>
      <c r="AG35" s="90" t="s">
        <v>731</v>
      </c>
      <c r="AH35" s="90"/>
      <c r="AI35" s="90" t="s">
        <v>499</v>
      </c>
      <c r="AJ35" s="90"/>
      <c r="AK35" s="90" t="s">
        <v>515</v>
      </c>
      <c r="AL35" s="90" t="s">
        <v>1258</v>
      </c>
      <c r="AM35" s="90" t="s">
        <v>530</v>
      </c>
      <c r="AN35" s="90" t="s">
        <v>890</v>
      </c>
      <c r="AO35" s="90"/>
      <c r="AP35" s="90" t="s">
        <v>988</v>
      </c>
      <c r="AQ35" s="90" t="s">
        <v>572</v>
      </c>
      <c r="AR35" s="90" t="s">
        <v>582</v>
      </c>
    </row>
    <row r="36" spans="1:44" x14ac:dyDescent="0.25">
      <c r="A36" s="90" t="s">
        <v>86</v>
      </c>
      <c r="B36" s="90" t="s">
        <v>636</v>
      </c>
      <c r="C36" s="90" t="s">
        <v>108</v>
      </c>
      <c r="D36" s="90" t="s">
        <v>119</v>
      </c>
      <c r="F36" s="90" t="s">
        <v>142</v>
      </c>
      <c r="G36" s="148" t="s">
        <v>693</v>
      </c>
      <c r="H36" s="90" t="s">
        <v>705</v>
      </c>
      <c r="I36" s="90" t="s">
        <v>421</v>
      </c>
      <c r="J36" s="90" t="s">
        <v>202</v>
      </c>
      <c r="K36" s="90"/>
      <c r="L36" s="90"/>
      <c r="M36" s="90"/>
      <c r="N36" s="90" t="s">
        <v>754</v>
      </c>
      <c r="O36" s="90" t="s">
        <v>261</v>
      </c>
      <c r="P36" s="90" t="s">
        <v>272</v>
      </c>
      <c r="Q36" s="90"/>
      <c r="R36" s="90" t="s">
        <v>293</v>
      </c>
      <c r="S36" s="90" t="s">
        <v>304</v>
      </c>
      <c r="T36" s="90" t="s">
        <v>310</v>
      </c>
      <c r="U36" s="90" t="s">
        <v>326</v>
      </c>
      <c r="V36" s="90" t="s">
        <v>842</v>
      </c>
      <c r="W36" s="90"/>
      <c r="X36" s="90" t="s">
        <v>857</v>
      </c>
      <c r="Y36" s="253" t="s">
        <v>1149</v>
      </c>
      <c r="Z36" s="90" t="s">
        <v>206</v>
      </c>
      <c r="AA36" s="90" t="s">
        <v>1266</v>
      </c>
      <c r="AB36" s="90" t="s">
        <v>888</v>
      </c>
      <c r="AC36" s="90" t="s">
        <v>442</v>
      </c>
      <c r="AD36" s="90"/>
      <c r="AE36" s="90" t="s">
        <v>382</v>
      </c>
      <c r="AF36" s="90" t="s">
        <v>936</v>
      </c>
      <c r="AG36" s="90" t="s">
        <v>148</v>
      </c>
      <c r="AH36" s="90"/>
      <c r="AI36" s="90" t="s">
        <v>446</v>
      </c>
      <c r="AJ36" s="90"/>
      <c r="AK36" s="90" t="s">
        <v>954</v>
      </c>
      <c r="AL36" s="90" t="s">
        <v>1261</v>
      </c>
      <c r="AM36" s="90" t="s">
        <v>529</v>
      </c>
      <c r="AN36" s="90" t="s">
        <v>975</v>
      </c>
      <c r="AO36" s="90"/>
      <c r="AP36" s="90" t="s">
        <v>989</v>
      </c>
      <c r="AQ36" s="90" t="s">
        <v>573</v>
      </c>
      <c r="AR36" s="90" t="s">
        <v>96</v>
      </c>
    </row>
    <row r="37" spans="1:44" x14ac:dyDescent="0.25">
      <c r="A37" s="90" t="s">
        <v>87</v>
      </c>
      <c r="B37" s="90" t="s">
        <v>1002</v>
      </c>
      <c r="C37" s="90" t="s">
        <v>110</v>
      </c>
      <c r="D37" s="90" t="s">
        <v>123</v>
      </c>
      <c r="E37" s="90"/>
      <c r="F37" s="90" t="s">
        <v>143</v>
      </c>
      <c r="G37" s="148" t="s">
        <v>1226</v>
      </c>
      <c r="H37" s="90" t="s">
        <v>1166</v>
      </c>
      <c r="I37" s="90" t="s">
        <v>712</v>
      </c>
      <c r="J37" s="90" t="s">
        <v>203</v>
      </c>
      <c r="K37" s="90"/>
      <c r="L37" s="90"/>
      <c r="M37" s="90"/>
      <c r="N37" s="90" t="s">
        <v>606</v>
      </c>
      <c r="O37" s="90" t="s">
        <v>262</v>
      </c>
      <c r="P37" s="90" t="s">
        <v>772</v>
      </c>
      <c r="Q37" s="90"/>
      <c r="R37" s="90" t="s">
        <v>294</v>
      </c>
      <c r="S37" s="90" t="s">
        <v>818</v>
      </c>
      <c r="T37" s="90" t="s">
        <v>311</v>
      </c>
      <c r="U37" s="90" t="s">
        <v>261</v>
      </c>
      <c r="V37" s="90" t="s">
        <v>843</v>
      </c>
      <c r="W37" s="90"/>
      <c r="X37" s="90" t="s">
        <v>858</v>
      </c>
      <c r="Y37" s="90" t="s">
        <v>368</v>
      </c>
      <c r="Z37" s="90" t="s">
        <v>875</v>
      </c>
      <c r="AA37" s="90" t="s">
        <v>1239</v>
      </c>
      <c r="AB37" s="90" t="s">
        <v>666</v>
      </c>
      <c r="AC37" s="90" t="s">
        <v>443</v>
      </c>
      <c r="AD37" s="90"/>
      <c r="AE37" s="90" t="s">
        <v>925</v>
      </c>
      <c r="AF37" s="90" t="s">
        <v>472</v>
      </c>
      <c r="AG37" s="90" t="s">
        <v>1245</v>
      </c>
      <c r="AH37" s="90"/>
      <c r="AI37" s="90" t="s">
        <v>791</v>
      </c>
      <c r="AJ37" s="90"/>
      <c r="AK37" s="90" t="s">
        <v>955</v>
      </c>
      <c r="AM37" s="90" t="s">
        <v>1262</v>
      </c>
      <c r="AN37" s="90" t="s">
        <v>976</v>
      </c>
      <c r="AO37" s="90"/>
      <c r="AP37" s="90" t="s">
        <v>952</v>
      </c>
      <c r="AQ37" s="90" t="s">
        <v>1004</v>
      </c>
      <c r="AR37" s="90" t="s">
        <v>1013</v>
      </c>
    </row>
    <row r="38" spans="1:44" x14ac:dyDescent="0.25">
      <c r="A38" s="90" t="s">
        <v>88</v>
      </c>
      <c r="B38" s="90" t="s">
        <v>96</v>
      </c>
      <c r="C38" s="90" t="s">
        <v>109</v>
      </c>
      <c r="D38" s="90" t="s">
        <v>124</v>
      </c>
      <c r="E38" s="90"/>
      <c r="F38" s="90" t="s">
        <v>682</v>
      </c>
      <c r="G38" s="148" t="s">
        <v>1345</v>
      </c>
      <c r="H38" s="90" t="s">
        <v>1346</v>
      </c>
      <c r="I38" s="90" t="s">
        <v>1268</v>
      </c>
      <c r="J38" s="90" t="s">
        <v>729</v>
      </c>
      <c r="K38" s="90"/>
      <c r="L38" s="90"/>
      <c r="M38" s="90"/>
      <c r="N38" s="90" t="s">
        <v>755</v>
      </c>
      <c r="O38" s="90" t="s">
        <v>658</v>
      </c>
      <c r="P38" s="90" t="s">
        <v>692</v>
      </c>
      <c r="Q38" s="90"/>
      <c r="R38" s="90" t="s">
        <v>295</v>
      </c>
      <c r="S38" s="90" t="s">
        <v>305</v>
      </c>
      <c r="T38" s="90" t="s">
        <v>312</v>
      </c>
      <c r="U38" s="90" t="s">
        <v>327</v>
      </c>
      <c r="V38" s="90" t="s">
        <v>1251</v>
      </c>
      <c r="W38" s="90"/>
      <c r="X38" s="90" t="s">
        <v>859</v>
      </c>
      <c r="Y38" s="90" t="s">
        <v>369</v>
      </c>
      <c r="Z38" s="90" t="s">
        <v>843</v>
      </c>
      <c r="AA38" s="90" t="s">
        <v>403</v>
      </c>
      <c r="AB38" s="90" t="s">
        <v>889</v>
      </c>
      <c r="AC38" s="90" t="s">
        <v>444</v>
      </c>
      <c r="AD38" s="90"/>
      <c r="AE38" s="90" t="s">
        <v>464</v>
      </c>
      <c r="AF38" s="90" t="s">
        <v>473</v>
      </c>
      <c r="AG38" s="90" t="s">
        <v>846</v>
      </c>
      <c r="AH38" s="90"/>
      <c r="AI38" s="90" t="s">
        <v>500</v>
      </c>
      <c r="AJ38" s="90"/>
      <c r="AK38" s="90" t="s">
        <v>825</v>
      </c>
      <c r="AL38" s="90"/>
      <c r="AM38" s="90"/>
      <c r="AN38" s="90" t="s">
        <v>539</v>
      </c>
      <c r="AO38" s="90"/>
      <c r="AP38" s="90" t="s">
        <v>953</v>
      </c>
      <c r="AQ38" s="90" t="s">
        <v>1005</v>
      </c>
      <c r="AR38" s="90" t="s">
        <v>583</v>
      </c>
    </row>
    <row r="39" spans="1:44" x14ac:dyDescent="0.25">
      <c r="A39" s="90" t="s">
        <v>608</v>
      </c>
      <c r="B39" s="90" t="s">
        <v>97</v>
      </c>
      <c r="C39" s="90" t="s">
        <v>111</v>
      </c>
      <c r="D39" s="90" t="s">
        <v>658</v>
      </c>
      <c r="E39" s="90"/>
      <c r="F39" s="90" t="s">
        <v>144</v>
      </c>
      <c r="G39" s="148" t="s">
        <v>694</v>
      </c>
      <c r="H39" s="90" t="s">
        <v>172</v>
      </c>
      <c r="I39" s="90" t="s">
        <v>713</v>
      </c>
      <c r="J39" s="90" t="s">
        <v>204</v>
      </c>
      <c r="K39" s="90"/>
      <c r="L39" s="90"/>
      <c r="M39" s="90"/>
      <c r="N39" s="90" t="s">
        <v>756</v>
      </c>
      <c r="O39" s="90" t="s">
        <v>764</v>
      </c>
      <c r="P39" s="90" t="s">
        <v>1249</v>
      </c>
      <c r="Q39" s="90"/>
      <c r="R39" s="90" t="s">
        <v>792</v>
      </c>
      <c r="S39" s="90" t="s">
        <v>819</v>
      </c>
      <c r="T39" s="90" t="s">
        <v>1231</v>
      </c>
      <c r="U39" s="90" t="s">
        <v>328</v>
      </c>
      <c r="V39" s="90" t="s">
        <v>844</v>
      </c>
      <c r="W39" s="90"/>
      <c r="X39" s="90" t="s">
        <v>353</v>
      </c>
      <c r="Y39" s="90" t="s">
        <v>370</v>
      </c>
      <c r="Z39" s="90" t="s">
        <v>876</v>
      </c>
      <c r="AA39" s="90"/>
      <c r="AB39" s="90" t="s">
        <v>667</v>
      </c>
      <c r="AC39" s="90" t="s">
        <v>445</v>
      </c>
      <c r="AD39" s="90"/>
      <c r="AE39" s="90" t="s">
        <v>926</v>
      </c>
      <c r="AF39" s="90" t="s">
        <v>474</v>
      </c>
      <c r="AG39" s="90" t="s">
        <v>1242</v>
      </c>
      <c r="AH39" s="90"/>
      <c r="AI39" s="90" t="s">
        <v>463</v>
      </c>
      <c r="AJ39" s="90"/>
      <c r="AK39" s="90" t="s">
        <v>236</v>
      </c>
      <c r="AL39" s="90"/>
      <c r="AM39" s="90"/>
      <c r="AN39" s="90" t="s">
        <v>977</v>
      </c>
      <c r="AO39" s="90"/>
      <c r="AP39" s="90" t="s">
        <v>769</v>
      </c>
      <c r="AQ39" s="90" t="s">
        <v>1006</v>
      </c>
      <c r="AR39" s="90" t="s">
        <v>1015</v>
      </c>
    </row>
    <row r="40" spans="1:44" x14ac:dyDescent="0.25">
      <c r="A40" s="90" t="s">
        <v>609</v>
      </c>
      <c r="B40" s="90" t="s">
        <v>637</v>
      </c>
      <c r="C40" s="90" t="s">
        <v>644</v>
      </c>
      <c r="D40" s="90" t="s">
        <v>659</v>
      </c>
      <c r="E40" s="90"/>
      <c r="F40" s="90" t="s">
        <v>145</v>
      </c>
      <c r="G40" s="148" t="s">
        <v>166</v>
      </c>
      <c r="H40" s="90" t="s">
        <v>173</v>
      </c>
      <c r="I40" s="90" t="s">
        <v>714</v>
      </c>
      <c r="J40" s="90" t="s">
        <v>205</v>
      </c>
      <c r="K40" s="90"/>
      <c r="L40" s="90"/>
      <c r="M40" s="90"/>
      <c r="N40" s="90" t="s">
        <v>757</v>
      </c>
      <c r="O40" s="90" t="s">
        <v>263</v>
      </c>
      <c r="P40" s="90" t="s">
        <v>773</v>
      </c>
      <c r="Q40" s="90"/>
      <c r="R40" s="90" t="s">
        <v>793</v>
      </c>
      <c r="S40" s="90" t="s">
        <v>820</v>
      </c>
      <c r="T40" s="90" t="s">
        <v>831</v>
      </c>
      <c r="U40" s="90" t="s">
        <v>329</v>
      </c>
      <c r="V40" s="90" t="s">
        <v>845</v>
      </c>
      <c r="W40" s="90"/>
      <c r="X40" s="90" t="s">
        <v>354</v>
      </c>
      <c r="Y40" s="90" t="s">
        <v>371</v>
      </c>
      <c r="Z40" s="90" t="s">
        <v>877</v>
      </c>
      <c r="AA40" s="90"/>
      <c r="AB40" s="90" t="s">
        <v>1240</v>
      </c>
      <c r="AC40" s="90" t="s">
        <v>446</v>
      </c>
      <c r="AD40" s="90"/>
      <c r="AE40" s="90" t="s">
        <v>927</v>
      </c>
      <c r="AF40" s="90" t="s">
        <v>475</v>
      </c>
      <c r="AH40" s="90"/>
      <c r="AI40" s="90" t="s">
        <v>294</v>
      </c>
      <c r="AJ40" s="90"/>
      <c r="AK40" s="90" t="s">
        <v>237</v>
      </c>
      <c r="AL40" s="90"/>
      <c r="AM40" s="90"/>
      <c r="AN40" s="90" t="s">
        <v>541</v>
      </c>
      <c r="AO40" s="90"/>
      <c r="AP40" s="90" t="s">
        <v>990</v>
      </c>
      <c r="AQ40" s="90" t="s">
        <v>1007</v>
      </c>
      <c r="AR40" s="90" t="s">
        <v>584</v>
      </c>
    </row>
    <row r="41" spans="1:44" x14ac:dyDescent="0.25">
      <c r="A41" s="90" t="s">
        <v>342</v>
      </c>
      <c r="B41" s="90"/>
      <c r="C41" s="90" t="s">
        <v>645</v>
      </c>
      <c r="D41" s="90" t="s">
        <v>661</v>
      </c>
      <c r="E41" s="90"/>
      <c r="F41" s="90" t="s">
        <v>146</v>
      </c>
      <c r="G41" s="148" t="s">
        <v>695</v>
      </c>
      <c r="H41" s="90" t="s">
        <v>174</v>
      </c>
      <c r="I41" s="90" t="s">
        <v>715</v>
      </c>
      <c r="J41" s="90" t="s">
        <v>206</v>
      </c>
      <c r="K41" s="90"/>
      <c r="L41" s="90"/>
      <c r="M41" s="90"/>
      <c r="N41" s="90" t="s">
        <v>758</v>
      </c>
      <c r="P41" s="90" t="s">
        <v>774</v>
      </c>
      <c r="Q41" s="90"/>
      <c r="R41" s="90" t="s">
        <v>794</v>
      </c>
      <c r="S41" s="90"/>
      <c r="T41" s="90" t="s">
        <v>1270</v>
      </c>
      <c r="U41" s="90" t="s">
        <v>832</v>
      </c>
      <c r="V41" s="90" t="s">
        <v>1252</v>
      </c>
      <c r="W41" s="90"/>
      <c r="X41" s="90" t="s">
        <v>355</v>
      </c>
      <c r="Y41" s="90" t="s">
        <v>372</v>
      </c>
      <c r="Z41" s="90" t="s">
        <v>731</v>
      </c>
      <c r="AA41" s="90"/>
      <c r="AB41" s="90" t="s">
        <v>890</v>
      </c>
      <c r="AC41" s="90" t="s">
        <v>447</v>
      </c>
      <c r="AD41" s="90"/>
      <c r="AE41" s="90" t="s">
        <v>928</v>
      </c>
      <c r="AF41" s="90" t="s">
        <v>476</v>
      </c>
      <c r="AG41" s="90"/>
      <c r="AH41" s="90"/>
      <c r="AI41" s="90" t="s">
        <v>906</v>
      </c>
      <c r="AJ41" s="90"/>
      <c r="AK41" s="90" t="s">
        <v>956</v>
      </c>
      <c r="AL41" s="90"/>
      <c r="AM41" s="90"/>
      <c r="AN41" s="90" t="s">
        <v>978</v>
      </c>
      <c r="AO41" s="90"/>
      <c r="AP41" s="90" t="s">
        <v>559</v>
      </c>
    </row>
    <row r="42" spans="1:44" x14ac:dyDescent="0.25">
      <c r="A42" s="90" t="s">
        <v>610</v>
      </c>
      <c r="B42" s="90"/>
      <c r="C42" s="90" t="s">
        <v>646</v>
      </c>
      <c r="D42" s="90" t="s">
        <v>129</v>
      </c>
      <c r="E42" s="90"/>
      <c r="F42" s="90" t="s">
        <v>147</v>
      </c>
      <c r="G42" s="148" t="s">
        <v>696</v>
      </c>
      <c r="H42" s="90" t="s">
        <v>176</v>
      </c>
      <c r="I42" s="90" t="s">
        <v>716</v>
      </c>
      <c r="J42" s="90" t="s">
        <v>146</v>
      </c>
      <c r="K42" s="90"/>
      <c r="L42" s="90"/>
      <c r="M42" s="90"/>
      <c r="N42" s="90" t="s">
        <v>227</v>
      </c>
      <c r="O42" s="90"/>
      <c r="P42" s="90" t="s">
        <v>775</v>
      </c>
      <c r="Q42" s="90"/>
      <c r="R42" s="90" t="s">
        <v>795</v>
      </c>
      <c r="S42" s="90"/>
      <c r="T42" s="90"/>
      <c r="U42" s="90" t="s">
        <v>833</v>
      </c>
      <c r="V42" s="90" t="s">
        <v>1235</v>
      </c>
      <c r="W42" s="90"/>
      <c r="X42" s="90" t="s">
        <v>356</v>
      </c>
      <c r="Y42" s="90" t="s">
        <v>373</v>
      </c>
      <c r="Z42" s="90" t="s">
        <v>148</v>
      </c>
      <c r="AA42" s="90"/>
      <c r="AB42" s="90" t="s">
        <v>419</v>
      </c>
      <c r="AC42" s="90" t="s">
        <v>903</v>
      </c>
      <c r="AD42" s="90"/>
      <c r="AE42" s="90" t="s">
        <v>929</v>
      </c>
      <c r="AF42" s="90" t="s">
        <v>937</v>
      </c>
      <c r="AG42" s="90"/>
      <c r="AH42" s="90"/>
      <c r="AI42" s="90" t="s">
        <v>796</v>
      </c>
      <c r="AJ42" s="90"/>
      <c r="AK42" s="90" t="s">
        <v>957</v>
      </c>
      <c r="AL42" s="90"/>
      <c r="AM42" s="90"/>
      <c r="AN42" s="90" t="s">
        <v>895</v>
      </c>
      <c r="AO42" s="90"/>
      <c r="AP42" s="90" t="s">
        <v>991</v>
      </c>
      <c r="AQ42" s="90"/>
      <c r="AR42" s="90"/>
    </row>
    <row r="43" spans="1:44" x14ac:dyDescent="0.25">
      <c r="A43" s="90" t="s">
        <v>238</v>
      </c>
      <c r="B43" s="90"/>
      <c r="C43" s="90" t="s">
        <v>647</v>
      </c>
      <c r="D43" s="90" t="s">
        <v>662</v>
      </c>
      <c r="E43" s="90"/>
      <c r="F43" s="90" t="s">
        <v>683</v>
      </c>
      <c r="G43" s="148" t="s">
        <v>697</v>
      </c>
      <c r="H43" s="90" t="s">
        <v>175</v>
      </c>
      <c r="I43" s="90" t="s">
        <v>717</v>
      </c>
      <c r="J43" s="90" t="s">
        <v>208</v>
      </c>
      <c r="K43" s="90"/>
      <c r="L43" s="90"/>
      <c r="M43" s="90"/>
      <c r="N43" s="90" t="s">
        <v>607</v>
      </c>
      <c r="O43" s="90"/>
      <c r="P43" s="90" t="s">
        <v>776</v>
      </c>
      <c r="Q43" s="90"/>
      <c r="R43" s="90" t="s">
        <v>796</v>
      </c>
      <c r="S43" s="90"/>
      <c r="T43" s="90"/>
      <c r="U43" s="90" t="s">
        <v>651</v>
      </c>
      <c r="V43" s="90" t="s">
        <v>846</v>
      </c>
      <c r="W43" s="90"/>
      <c r="X43" s="90" t="s">
        <v>357</v>
      </c>
      <c r="Y43" s="90" t="s">
        <v>374</v>
      </c>
      <c r="Z43" s="90" t="s">
        <v>396</v>
      </c>
      <c r="AA43" s="90"/>
      <c r="AB43" s="90" t="s">
        <v>421</v>
      </c>
      <c r="AC43" s="90" t="s">
        <v>904</v>
      </c>
      <c r="AD43" s="90"/>
      <c r="AE43" s="90" t="s">
        <v>930</v>
      </c>
      <c r="AF43" s="90"/>
      <c r="AG43" s="90"/>
      <c r="AH43" s="90"/>
      <c r="AI43" s="90" t="s">
        <v>799</v>
      </c>
      <c r="AJ43" s="90"/>
      <c r="AK43" s="90" t="s">
        <v>958</v>
      </c>
      <c r="AL43" s="90"/>
      <c r="AM43" s="90"/>
      <c r="AN43" s="90" t="s">
        <v>428</v>
      </c>
      <c r="AO43" s="90"/>
      <c r="AP43" s="90" t="s">
        <v>560</v>
      </c>
      <c r="AQ43" s="90"/>
      <c r="AR43" s="90"/>
    </row>
    <row r="44" spans="1:44" x14ac:dyDescent="0.25">
      <c r="A44" s="90" t="s">
        <v>611</v>
      </c>
      <c r="B44" s="90"/>
      <c r="C44" s="90" t="s">
        <v>648</v>
      </c>
      <c r="D44" s="90" t="s">
        <v>1173</v>
      </c>
      <c r="E44" s="90"/>
      <c r="F44" s="90" t="s">
        <v>684</v>
      </c>
      <c r="G44" s="90"/>
      <c r="H44" s="90" t="s">
        <v>621</v>
      </c>
      <c r="I44" s="90" t="s">
        <v>423</v>
      </c>
      <c r="J44" s="90" t="s">
        <v>147</v>
      </c>
      <c r="K44" s="90"/>
      <c r="L44" s="90"/>
      <c r="M44" s="90"/>
      <c r="N44" s="90" t="s">
        <v>228</v>
      </c>
      <c r="O44" s="90"/>
      <c r="P44" s="90" t="s">
        <v>275</v>
      </c>
      <c r="Q44" s="90"/>
      <c r="R44" s="90" t="s">
        <v>797</v>
      </c>
      <c r="S44" s="90"/>
      <c r="T44" s="90"/>
      <c r="U44" s="90" t="s">
        <v>835</v>
      </c>
      <c r="V44" s="90" t="s">
        <v>847</v>
      </c>
      <c r="W44" s="90"/>
      <c r="X44" s="90" t="s">
        <v>358</v>
      </c>
      <c r="Y44" s="90" t="s">
        <v>375</v>
      </c>
      <c r="Z44" s="90" t="s">
        <v>878</v>
      </c>
      <c r="AA44" s="90"/>
      <c r="AB44" s="90" t="s">
        <v>422</v>
      </c>
      <c r="AC44" s="90" t="s">
        <v>905</v>
      </c>
      <c r="AD44" s="90"/>
      <c r="AE44" s="90" t="s">
        <v>866</v>
      </c>
      <c r="AF44" s="90"/>
      <c r="AG44" s="90"/>
      <c r="AH44" s="90"/>
      <c r="AI44" s="90" t="s">
        <v>944</v>
      </c>
      <c r="AJ44" s="90"/>
      <c r="AK44" s="90" t="s">
        <v>959</v>
      </c>
      <c r="AL44" s="90"/>
      <c r="AM44" s="90"/>
      <c r="AN44" s="90" t="s">
        <v>430</v>
      </c>
      <c r="AO44" s="90"/>
      <c r="AP44" s="90" t="s">
        <v>858</v>
      </c>
      <c r="AQ44" s="90"/>
      <c r="AR44" s="90"/>
    </row>
    <row r="45" spans="1:44" x14ac:dyDescent="0.25">
      <c r="A45" s="90" t="s">
        <v>241</v>
      </c>
      <c r="B45" s="90"/>
      <c r="C45" s="90" t="s">
        <v>649</v>
      </c>
      <c r="D45" s="90" t="s">
        <v>663</v>
      </c>
      <c r="E45" s="90"/>
      <c r="F45" s="90" t="s">
        <v>685</v>
      </c>
      <c r="G45" s="90"/>
      <c r="H45" s="90"/>
      <c r="I45" s="90" t="s">
        <v>718</v>
      </c>
      <c r="J45" s="90" t="s">
        <v>207</v>
      </c>
      <c r="K45" s="90"/>
      <c r="L45" s="90"/>
      <c r="M45" s="90"/>
      <c r="N45" s="90" t="s">
        <v>85</v>
      </c>
      <c r="O45" s="90"/>
      <c r="P45" s="90" t="s">
        <v>276</v>
      </c>
      <c r="Q45" s="90"/>
      <c r="R45" s="90" t="s">
        <v>798</v>
      </c>
      <c r="S45" s="90"/>
      <c r="T45" s="90"/>
      <c r="U45" s="90" t="s">
        <v>836</v>
      </c>
      <c r="W45" s="90"/>
      <c r="X45" s="90" t="s">
        <v>360</v>
      </c>
      <c r="Y45" s="90" t="s">
        <v>376</v>
      </c>
      <c r="Z45" s="90" t="s">
        <v>734</v>
      </c>
      <c r="AA45" s="90"/>
      <c r="AB45" s="90" t="s">
        <v>424</v>
      </c>
      <c r="AC45" s="90" t="s">
        <v>906</v>
      </c>
      <c r="AD45" s="90"/>
      <c r="AE45" s="90"/>
      <c r="AF45" s="90"/>
      <c r="AG45" s="90"/>
      <c r="AH45" s="90"/>
      <c r="AI45" s="90" t="s">
        <v>501</v>
      </c>
      <c r="AJ45" s="90"/>
      <c r="AK45" s="90" t="s">
        <v>517</v>
      </c>
      <c r="AL45" s="90"/>
      <c r="AM45" s="90"/>
      <c r="AN45" s="90" t="s">
        <v>1175</v>
      </c>
      <c r="AO45" s="90"/>
      <c r="AP45" s="90" t="s">
        <v>992</v>
      </c>
      <c r="AQ45" s="90"/>
      <c r="AR45" s="90"/>
    </row>
    <row r="46" spans="1:44" x14ac:dyDescent="0.25">
      <c r="A46" s="90" t="s">
        <v>612</v>
      </c>
      <c r="B46" s="90"/>
      <c r="C46" s="90" t="s">
        <v>650</v>
      </c>
      <c r="D46" s="90"/>
      <c r="E46" s="90"/>
      <c r="F46" s="90" t="s">
        <v>148</v>
      </c>
      <c r="G46" s="90"/>
      <c r="H46" s="90"/>
      <c r="I46" s="90" t="s">
        <v>719</v>
      </c>
      <c r="J46" s="90" t="s">
        <v>1232</v>
      </c>
      <c r="K46" s="90"/>
      <c r="L46" s="90"/>
      <c r="M46" s="90"/>
      <c r="N46" s="90" t="s">
        <v>229</v>
      </c>
      <c r="O46" s="90"/>
      <c r="P46" s="90" t="s">
        <v>777</v>
      </c>
      <c r="Q46" s="90"/>
      <c r="R46" s="90" t="s">
        <v>799</v>
      </c>
      <c r="S46" s="90"/>
      <c r="T46" s="90"/>
      <c r="V46" s="90"/>
      <c r="W46" s="90"/>
      <c r="X46" s="90" t="s">
        <v>359</v>
      </c>
      <c r="Y46" s="90" t="s">
        <v>377</v>
      </c>
      <c r="Z46" s="90" t="s">
        <v>879</v>
      </c>
      <c r="AA46" s="90"/>
      <c r="AB46" s="90" t="s">
        <v>418</v>
      </c>
      <c r="AC46" s="90" t="s">
        <v>907</v>
      </c>
      <c r="AD46" s="90"/>
      <c r="AE46" s="90"/>
      <c r="AF46" s="90"/>
      <c r="AG46" s="90"/>
      <c r="AH46" s="90"/>
      <c r="AI46" s="90" t="s">
        <v>913</v>
      </c>
      <c r="AJ46" s="90"/>
      <c r="AK46" s="90" t="s">
        <v>516</v>
      </c>
      <c r="AL46" s="90"/>
      <c r="AM46" s="90"/>
      <c r="AN46" s="90" t="s">
        <v>431</v>
      </c>
      <c r="AO46" s="90"/>
      <c r="AP46" s="90" t="s">
        <v>993</v>
      </c>
      <c r="AQ46" s="90"/>
      <c r="AR46" s="90"/>
    </row>
    <row r="47" spans="1:44" x14ac:dyDescent="0.25">
      <c r="A47" s="90" t="s">
        <v>613</v>
      </c>
      <c r="B47" s="90"/>
      <c r="C47" s="90" t="s">
        <v>651</v>
      </c>
      <c r="D47" s="90"/>
      <c r="E47" s="90"/>
      <c r="F47" s="90" t="s">
        <v>149</v>
      </c>
      <c r="G47" s="90"/>
      <c r="H47" s="90"/>
      <c r="I47" s="90" t="s">
        <v>720</v>
      </c>
      <c r="J47" s="90" t="s">
        <v>730</v>
      </c>
      <c r="K47" s="90"/>
      <c r="L47" s="90"/>
      <c r="M47" s="90"/>
      <c r="N47" s="90" t="s">
        <v>86</v>
      </c>
      <c r="O47" s="90"/>
      <c r="P47" s="90" t="s">
        <v>778</v>
      </c>
      <c r="Q47" s="90"/>
      <c r="R47" s="90" t="s">
        <v>800</v>
      </c>
      <c r="S47" s="90"/>
      <c r="T47" s="90"/>
      <c r="V47" s="90"/>
      <c r="W47" s="90"/>
      <c r="X47" s="90"/>
      <c r="Y47" s="90" t="s">
        <v>378</v>
      </c>
      <c r="Z47" s="90" t="s">
        <v>880</v>
      </c>
      <c r="AA47" s="90"/>
      <c r="AB47" s="90" t="s">
        <v>423</v>
      </c>
      <c r="AC47" s="90" t="s">
        <v>908</v>
      </c>
      <c r="AD47" s="90"/>
      <c r="AE47" s="90"/>
      <c r="AF47" s="90"/>
      <c r="AG47" s="90"/>
      <c r="AH47" s="90"/>
      <c r="AI47" s="90" t="s">
        <v>866</v>
      </c>
      <c r="AJ47" s="90"/>
      <c r="AK47" s="90" t="s">
        <v>248</v>
      </c>
      <c r="AL47" s="90"/>
      <c r="AM47" s="90"/>
      <c r="AN47" s="90" t="s">
        <v>979</v>
      </c>
      <c r="AO47" s="90"/>
      <c r="AP47" s="90" t="s">
        <v>994</v>
      </c>
      <c r="AQ47" s="90"/>
      <c r="AR47" s="90"/>
    </row>
    <row r="48" spans="1:44" x14ac:dyDescent="0.25">
      <c r="A48" s="90" t="s">
        <v>89</v>
      </c>
      <c r="B48" s="90"/>
      <c r="C48" s="90" t="s">
        <v>112</v>
      </c>
      <c r="D48" s="90"/>
      <c r="E48" s="90"/>
      <c r="F48" s="90" t="s">
        <v>151</v>
      </c>
      <c r="G48" s="90"/>
      <c r="H48" s="90"/>
      <c r="I48" s="90" t="s">
        <v>188</v>
      </c>
      <c r="J48" s="90" t="s">
        <v>731</v>
      </c>
      <c r="K48" s="90"/>
      <c r="L48" s="90"/>
      <c r="M48" s="90"/>
      <c r="N48" s="90" t="s">
        <v>230</v>
      </c>
      <c r="O48" s="90"/>
      <c r="P48" s="90" t="s">
        <v>780</v>
      </c>
      <c r="Q48" s="90"/>
      <c r="R48" s="90" t="s">
        <v>801</v>
      </c>
      <c r="S48" s="90"/>
      <c r="T48" s="90"/>
      <c r="U48" s="90"/>
      <c r="V48" s="90"/>
      <c r="W48" s="90"/>
      <c r="X48" s="90"/>
      <c r="Y48" s="90" t="s">
        <v>379</v>
      </c>
      <c r="AA48" s="90"/>
      <c r="AB48" s="90" t="s">
        <v>891</v>
      </c>
      <c r="AC48" s="90" t="s">
        <v>909</v>
      </c>
      <c r="AD48" s="90"/>
      <c r="AE48" s="90"/>
      <c r="AF48" s="90"/>
      <c r="AG48" s="90"/>
      <c r="AH48" s="90"/>
      <c r="AI48" s="90" t="s">
        <v>945</v>
      </c>
      <c r="AJ48" s="90"/>
      <c r="AK48" s="90" t="s">
        <v>1148</v>
      </c>
      <c r="AL48" s="90"/>
      <c r="AM48" s="90"/>
      <c r="AN48" s="90"/>
      <c r="AO48" s="90"/>
      <c r="AP48" s="90" t="s">
        <v>775</v>
      </c>
      <c r="AQ48" s="90"/>
      <c r="AR48" s="90"/>
    </row>
    <row r="49" spans="1:44" x14ac:dyDescent="0.25">
      <c r="A49" s="90" t="s">
        <v>614</v>
      </c>
      <c r="B49" s="90"/>
      <c r="C49" s="90" t="s">
        <v>653</v>
      </c>
      <c r="D49" s="90"/>
      <c r="E49" s="90"/>
      <c r="F49" s="90" t="s">
        <v>1248</v>
      </c>
      <c r="G49" s="90"/>
      <c r="H49" s="90"/>
      <c r="I49" s="90" t="s">
        <v>189</v>
      </c>
      <c r="J49" s="90" t="s">
        <v>732</v>
      </c>
      <c r="K49" s="90"/>
      <c r="L49" s="90"/>
      <c r="M49" s="90"/>
      <c r="N49" s="90" t="s">
        <v>231</v>
      </c>
      <c r="O49" s="90"/>
      <c r="P49" s="90" t="s">
        <v>781</v>
      </c>
      <c r="Q49" s="90"/>
      <c r="R49" s="90" t="s">
        <v>802</v>
      </c>
      <c r="S49" s="90"/>
      <c r="T49" s="90"/>
      <c r="U49" s="90"/>
      <c r="V49" s="90"/>
      <c r="W49" s="90"/>
      <c r="X49" s="90"/>
      <c r="Y49" s="90" t="s">
        <v>380</v>
      </c>
      <c r="Z49" s="90"/>
      <c r="AA49" s="90"/>
      <c r="AB49" s="90" t="s">
        <v>420</v>
      </c>
      <c r="AC49" s="90" t="s">
        <v>910</v>
      </c>
      <c r="AD49" s="90"/>
      <c r="AE49" s="90"/>
      <c r="AF49" s="90"/>
      <c r="AG49" s="90"/>
      <c r="AH49" s="90"/>
      <c r="AI49" s="90" t="s">
        <v>914</v>
      </c>
      <c r="AJ49" s="90"/>
      <c r="AK49" s="90"/>
      <c r="AL49" s="90"/>
      <c r="AM49" s="90"/>
      <c r="AN49" s="90"/>
      <c r="AO49" s="90"/>
      <c r="AP49" s="90" t="s">
        <v>995</v>
      </c>
      <c r="AQ49" s="90"/>
      <c r="AR49" s="90"/>
    </row>
    <row r="50" spans="1:44" x14ac:dyDescent="0.25">
      <c r="A50" s="90" t="s">
        <v>615</v>
      </c>
      <c r="B50" s="90"/>
      <c r="C50" s="90" t="s">
        <v>654</v>
      </c>
      <c r="D50" s="90"/>
      <c r="E50" s="90"/>
      <c r="F50" s="90" t="s">
        <v>687</v>
      </c>
      <c r="G50" s="90"/>
      <c r="H50" s="90"/>
      <c r="I50" s="90" t="s">
        <v>190</v>
      </c>
      <c r="J50" s="90" t="s">
        <v>148</v>
      </c>
      <c r="K50" s="90"/>
      <c r="L50" s="90"/>
      <c r="M50" s="90"/>
      <c r="N50" s="90" t="s">
        <v>233</v>
      </c>
      <c r="O50" s="90"/>
      <c r="P50" s="90" t="s">
        <v>782</v>
      </c>
      <c r="Q50" s="90"/>
      <c r="R50" s="90" t="s">
        <v>803</v>
      </c>
      <c r="S50" s="90"/>
      <c r="T50" s="90"/>
      <c r="U50" s="90"/>
      <c r="V50" s="90"/>
      <c r="W50" s="90"/>
      <c r="X50" s="90"/>
      <c r="Y50" s="90" t="s">
        <v>382</v>
      </c>
      <c r="Z50" s="90"/>
      <c r="AA50" s="90"/>
      <c r="AB50" s="90" t="s">
        <v>892</v>
      </c>
      <c r="AC50" s="90" t="s">
        <v>911</v>
      </c>
      <c r="AD50" s="90"/>
      <c r="AE50" s="90"/>
      <c r="AF50" s="90"/>
      <c r="AG50" s="90"/>
      <c r="AH50" s="90"/>
      <c r="AI50" s="90" t="s">
        <v>946</v>
      </c>
      <c r="AJ50" s="90"/>
      <c r="AK50" s="90"/>
      <c r="AL50" s="90"/>
      <c r="AM50" s="90"/>
      <c r="AN50" s="90"/>
      <c r="AO50" s="90"/>
      <c r="AP50" s="90" t="s">
        <v>996</v>
      </c>
      <c r="AQ50" s="90"/>
      <c r="AR50" s="90"/>
    </row>
    <row r="51" spans="1:44" x14ac:dyDescent="0.25">
      <c r="A51" s="90" t="s">
        <v>91</v>
      </c>
      <c r="B51" s="90"/>
      <c r="D51" s="90"/>
      <c r="E51" s="90"/>
      <c r="F51" s="90" t="s">
        <v>150</v>
      </c>
      <c r="G51" s="90"/>
      <c r="H51" s="90"/>
      <c r="I51" s="90" t="s">
        <v>191</v>
      </c>
      <c r="J51" s="90" t="s">
        <v>733</v>
      </c>
      <c r="K51" s="90"/>
      <c r="L51" s="90"/>
      <c r="M51" s="90"/>
      <c r="N51" s="90" t="s">
        <v>234</v>
      </c>
      <c r="O51" s="90"/>
      <c r="P51" s="90" t="s">
        <v>783</v>
      </c>
      <c r="Q51" s="90"/>
      <c r="R51" s="90" t="s">
        <v>804</v>
      </c>
      <c r="S51" s="90"/>
      <c r="T51" s="90"/>
      <c r="U51" s="90"/>
      <c r="V51" s="90"/>
      <c r="W51" s="90"/>
      <c r="X51" s="90"/>
      <c r="Y51" s="90" t="s">
        <v>381</v>
      </c>
      <c r="Z51" s="90"/>
      <c r="AA51" s="90"/>
      <c r="AB51" s="90" t="s">
        <v>893</v>
      </c>
      <c r="AC51" s="90" t="s">
        <v>912</v>
      </c>
      <c r="AD51" s="90"/>
      <c r="AE51" s="90"/>
      <c r="AF51" s="90"/>
      <c r="AG51" s="90"/>
      <c r="AH51" s="90"/>
      <c r="AJ51" s="90"/>
      <c r="AK51" s="90"/>
      <c r="AL51" s="90"/>
      <c r="AM51" s="90"/>
      <c r="AN51" s="90"/>
      <c r="AO51" s="90"/>
      <c r="AP51" s="90" t="s">
        <v>997</v>
      </c>
      <c r="AQ51" s="90"/>
      <c r="AR51" s="90"/>
    </row>
    <row r="52" spans="1:44" x14ac:dyDescent="0.25">
      <c r="A52" s="90" t="s">
        <v>92</v>
      </c>
      <c r="B52" s="90"/>
      <c r="C52" s="90"/>
      <c r="D52" s="90"/>
      <c r="E52" s="90"/>
      <c r="F52" s="90" t="s">
        <v>688</v>
      </c>
      <c r="G52" s="90"/>
      <c r="H52" s="90"/>
      <c r="I52" s="90" t="s">
        <v>192</v>
      </c>
      <c r="J52" s="90" t="s">
        <v>734</v>
      </c>
      <c r="K52" s="90"/>
      <c r="L52" s="90"/>
      <c r="M52" s="90"/>
      <c r="N52" s="90" t="s">
        <v>232</v>
      </c>
      <c r="O52" s="90"/>
      <c r="P52" s="90" t="s">
        <v>278</v>
      </c>
      <c r="Q52" s="90"/>
      <c r="R52" s="90" t="s">
        <v>297</v>
      </c>
      <c r="S52" s="90"/>
      <c r="T52" s="90"/>
      <c r="U52" s="90"/>
      <c r="V52" s="90"/>
      <c r="W52" s="90"/>
      <c r="X52" s="90"/>
      <c r="Y52" s="90" t="s">
        <v>383</v>
      </c>
      <c r="Z52" s="90"/>
      <c r="AA52" s="90"/>
      <c r="AB52" s="90" t="s">
        <v>894</v>
      </c>
      <c r="AC52" s="90" t="s">
        <v>913</v>
      </c>
      <c r="AD52" s="90"/>
      <c r="AE52" s="90"/>
      <c r="AF52" s="90"/>
      <c r="AG52" s="90"/>
      <c r="AH52" s="90"/>
      <c r="AI52" s="90"/>
      <c r="AJ52" s="90"/>
      <c r="AK52" s="90"/>
      <c r="AL52" s="90"/>
      <c r="AM52" s="90"/>
      <c r="AN52" s="90"/>
      <c r="AO52" s="90"/>
      <c r="AP52" s="90" t="s">
        <v>998</v>
      </c>
      <c r="AQ52" s="90"/>
      <c r="AR52" s="90"/>
    </row>
    <row r="53" spans="1:44" x14ac:dyDescent="0.25">
      <c r="A53" s="90" t="s">
        <v>90</v>
      </c>
      <c r="B53" s="90"/>
      <c r="C53" s="90"/>
      <c r="D53" s="90"/>
      <c r="E53" s="90"/>
      <c r="F53" s="90" t="s">
        <v>1147</v>
      </c>
      <c r="G53" s="90"/>
      <c r="H53" s="90"/>
      <c r="I53" s="90" t="s">
        <v>721</v>
      </c>
      <c r="K53" s="90"/>
      <c r="L53" s="90"/>
      <c r="M53" s="90"/>
      <c r="N53" s="90" t="s">
        <v>250</v>
      </c>
      <c r="O53" s="90"/>
      <c r="P53" s="90" t="s">
        <v>277</v>
      </c>
      <c r="Q53" s="90"/>
      <c r="R53" s="90" t="s">
        <v>296</v>
      </c>
      <c r="S53" s="90"/>
      <c r="T53" s="90"/>
      <c r="U53" s="90"/>
      <c r="V53" s="90"/>
      <c r="W53" s="90"/>
      <c r="X53" s="90"/>
      <c r="Y53" s="90" t="s">
        <v>384</v>
      </c>
      <c r="Z53" s="90"/>
      <c r="AA53" s="90"/>
      <c r="AB53" s="90" t="s">
        <v>425</v>
      </c>
      <c r="AC53" s="90" t="s">
        <v>1241</v>
      </c>
      <c r="AD53" s="90"/>
      <c r="AE53" s="90"/>
      <c r="AF53" s="90"/>
      <c r="AG53" s="90"/>
      <c r="AH53" s="90"/>
      <c r="AI53" s="90"/>
      <c r="AJ53" s="90"/>
      <c r="AK53" s="90"/>
      <c r="AL53" s="90"/>
      <c r="AM53" s="90"/>
      <c r="AN53" s="90"/>
      <c r="AO53" s="90"/>
      <c r="AP53" s="90" t="s">
        <v>780</v>
      </c>
      <c r="AQ53" s="90"/>
      <c r="AR53" s="90"/>
    </row>
    <row r="54" spans="1:44" x14ac:dyDescent="0.25">
      <c r="A54" s="90" t="s">
        <v>616</v>
      </c>
      <c r="B54" s="90"/>
      <c r="C54" s="90"/>
      <c r="D54" s="90"/>
      <c r="E54" s="90"/>
      <c r="F54" s="90" t="s">
        <v>689</v>
      </c>
      <c r="G54" s="90"/>
      <c r="H54" s="90"/>
      <c r="I54" s="90" t="s">
        <v>722</v>
      </c>
      <c r="J54" s="90"/>
      <c r="K54" s="90"/>
      <c r="L54" s="90"/>
      <c r="M54" s="90"/>
      <c r="N54" s="90" t="s">
        <v>249</v>
      </c>
      <c r="O54" s="90"/>
      <c r="Q54" s="90"/>
      <c r="R54" s="90" t="s">
        <v>805</v>
      </c>
      <c r="S54" s="90"/>
      <c r="T54" s="90"/>
      <c r="U54" s="90"/>
      <c r="V54" s="90"/>
      <c r="W54" s="90"/>
      <c r="X54" s="90"/>
      <c r="Y54" s="90" t="s">
        <v>385</v>
      </c>
      <c r="Z54" s="90"/>
      <c r="AA54" s="90"/>
      <c r="AB54" s="90" t="s">
        <v>426</v>
      </c>
      <c r="AC54" s="90" t="s">
        <v>914</v>
      </c>
      <c r="AD54" s="90"/>
      <c r="AE54" s="90"/>
      <c r="AF54" s="90"/>
      <c r="AG54" s="90"/>
      <c r="AH54" s="90"/>
      <c r="AI54" s="90"/>
      <c r="AJ54" s="90"/>
      <c r="AK54" s="90"/>
      <c r="AL54" s="90"/>
      <c r="AM54" s="90"/>
      <c r="AN54" s="90"/>
      <c r="AO54" s="90"/>
      <c r="AP54" s="90" t="s">
        <v>999</v>
      </c>
      <c r="AQ54" s="90"/>
      <c r="AR54" s="90"/>
    </row>
    <row r="55" spans="1:44" x14ac:dyDescent="0.25">
      <c r="A55" s="90" t="s">
        <v>93</v>
      </c>
      <c r="B55" s="90"/>
      <c r="C55" s="90"/>
      <c r="D55" s="90"/>
      <c r="E55" s="90"/>
      <c r="F55" s="90"/>
      <c r="G55" s="90"/>
      <c r="H55" s="90"/>
      <c r="I55" s="90" t="s">
        <v>723</v>
      </c>
      <c r="J55" s="90"/>
      <c r="K55" s="90"/>
      <c r="L55" s="90"/>
      <c r="M55" s="90"/>
      <c r="N55" s="90" t="s">
        <v>235</v>
      </c>
      <c r="O55" s="90"/>
      <c r="P55" s="90"/>
      <c r="Q55" s="90"/>
      <c r="R55" s="90" t="s">
        <v>806</v>
      </c>
      <c r="S55" s="90"/>
      <c r="T55" s="90"/>
      <c r="U55" s="90"/>
      <c r="V55" s="90"/>
      <c r="W55" s="90"/>
      <c r="X55" s="90"/>
      <c r="Y55" s="90" t="s">
        <v>386</v>
      </c>
      <c r="Z55" s="90"/>
      <c r="AA55" s="90"/>
      <c r="AB55" s="90" t="s">
        <v>427</v>
      </c>
      <c r="AC55" s="90" t="s">
        <v>450</v>
      </c>
      <c r="AD55" s="90"/>
      <c r="AE55" s="90"/>
      <c r="AF55" s="90"/>
      <c r="AG55" s="90"/>
      <c r="AH55" s="90"/>
      <c r="AI55" s="90"/>
      <c r="AJ55" s="90"/>
      <c r="AK55" s="90"/>
      <c r="AL55" s="90"/>
      <c r="AM55" s="90"/>
      <c r="AN55" s="90"/>
      <c r="AO55" s="90"/>
      <c r="AP55" s="90" t="s">
        <v>1266</v>
      </c>
      <c r="AQ55" s="90"/>
      <c r="AR55" s="90"/>
    </row>
    <row r="56" spans="1:44" x14ac:dyDescent="0.25">
      <c r="A56" s="90" t="s">
        <v>617</v>
      </c>
      <c r="B56" s="90"/>
      <c r="C56" s="90"/>
      <c r="D56" s="90"/>
      <c r="E56" s="90"/>
      <c r="F56" s="90"/>
      <c r="G56" s="90"/>
      <c r="H56" s="90"/>
      <c r="I56" s="90" t="s">
        <v>1100</v>
      </c>
      <c r="J56" s="90"/>
      <c r="K56" s="90"/>
      <c r="L56" s="90"/>
      <c r="M56" s="90"/>
      <c r="N56" s="90" t="s">
        <v>236</v>
      </c>
      <c r="O56" s="90"/>
      <c r="P56" s="90"/>
      <c r="Q56" s="90"/>
      <c r="R56" s="90" t="s">
        <v>807</v>
      </c>
      <c r="S56" s="90"/>
      <c r="T56" s="90"/>
      <c r="U56" s="90"/>
      <c r="V56" s="90"/>
      <c r="W56" s="90"/>
      <c r="X56" s="90"/>
      <c r="Y56" s="90" t="s">
        <v>387</v>
      </c>
      <c r="Z56" s="90"/>
      <c r="AA56" s="90"/>
      <c r="AB56" s="90" t="s">
        <v>1254</v>
      </c>
      <c r="AC56" s="90" t="s">
        <v>448</v>
      </c>
      <c r="AD56" s="90"/>
      <c r="AE56" s="90"/>
      <c r="AF56" s="90"/>
      <c r="AG56" s="90"/>
      <c r="AH56" s="90"/>
      <c r="AI56" s="90"/>
      <c r="AJ56" s="90"/>
      <c r="AK56" s="90"/>
      <c r="AL56" s="90"/>
      <c r="AM56" s="90"/>
      <c r="AN56" s="90"/>
      <c r="AO56" s="90"/>
      <c r="AP56" s="90" t="s">
        <v>561</v>
      </c>
      <c r="AQ56" s="90"/>
      <c r="AR56" s="90"/>
    </row>
    <row r="57" spans="1:44" x14ac:dyDescent="0.25">
      <c r="A57" s="90" t="s">
        <v>618</v>
      </c>
      <c r="B57" s="90"/>
      <c r="C57" s="90"/>
      <c r="D57" s="90"/>
      <c r="E57" s="90"/>
      <c r="F57" s="90"/>
      <c r="G57" s="90"/>
      <c r="H57" s="90"/>
      <c r="I57" s="90" t="s">
        <v>1269</v>
      </c>
      <c r="J57" s="90"/>
      <c r="K57" s="90"/>
      <c r="L57" s="90"/>
      <c r="M57" s="90"/>
      <c r="N57" s="90" t="s">
        <v>610</v>
      </c>
      <c r="O57" s="90"/>
      <c r="P57" s="90"/>
      <c r="Q57" s="90"/>
      <c r="R57" s="90" t="s">
        <v>808</v>
      </c>
      <c r="S57" s="90"/>
      <c r="T57" s="90"/>
      <c r="U57" s="90"/>
      <c r="V57" s="90"/>
      <c r="W57" s="90"/>
      <c r="X57" s="90"/>
      <c r="Y57" s="90" t="s">
        <v>864</v>
      </c>
      <c r="Z57" s="90"/>
      <c r="AA57" s="90"/>
      <c r="AB57" s="90" t="s">
        <v>895</v>
      </c>
      <c r="AC57" s="90" t="s">
        <v>451</v>
      </c>
      <c r="AD57" s="90"/>
      <c r="AE57" s="90"/>
      <c r="AF57" s="90"/>
      <c r="AG57" s="90"/>
      <c r="AH57" s="90"/>
      <c r="AI57" s="90"/>
      <c r="AJ57" s="90"/>
      <c r="AK57" s="90"/>
      <c r="AL57" s="90"/>
      <c r="AM57" s="90"/>
      <c r="AN57" s="90"/>
      <c r="AO57" s="90"/>
      <c r="AP57" s="90" t="s">
        <v>1267</v>
      </c>
      <c r="AQ57" s="90"/>
      <c r="AR57" s="90"/>
    </row>
    <row r="58" spans="1:44" x14ac:dyDescent="0.25">
      <c r="A58" s="90" t="s">
        <v>619</v>
      </c>
      <c r="B58" s="90"/>
      <c r="C58" s="90"/>
      <c r="D58" s="90"/>
      <c r="E58" s="90"/>
      <c r="F58" s="90"/>
      <c r="G58" s="90"/>
      <c r="H58" s="90"/>
      <c r="I58" s="90" t="s">
        <v>724</v>
      </c>
      <c r="J58" s="90"/>
      <c r="K58" s="90"/>
      <c r="L58" s="90"/>
      <c r="M58" s="90"/>
      <c r="N58" s="90" t="s">
        <v>237</v>
      </c>
      <c r="O58" s="90"/>
      <c r="P58" s="90"/>
      <c r="Q58" s="90"/>
      <c r="R58" s="90" t="s">
        <v>809</v>
      </c>
      <c r="S58" s="90"/>
      <c r="T58" s="90"/>
      <c r="U58" s="90"/>
      <c r="V58" s="90"/>
      <c r="W58" s="90"/>
      <c r="X58" s="90"/>
      <c r="Y58" s="90" t="s">
        <v>865</v>
      </c>
      <c r="Z58" s="90"/>
      <c r="AA58" s="90"/>
      <c r="AB58" s="90" t="s">
        <v>428</v>
      </c>
      <c r="AC58" s="90" t="s">
        <v>449</v>
      </c>
      <c r="AD58" s="90"/>
      <c r="AE58" s="90"/>
      <c r="AF58" s="90"/>
      <c r="AG58" s="90"/>
      <c r="AH58" s="90"/>
      <c r="AI58" s="90"/>
      <c r="AJ58" s="90"/>
      <c r="AK58" s="90"/>
      <c r="AL58" s="90"/>
      <c r="AM58" s="90"/>
      <c r="AN58" s="90"/>
      <c r="AO58" s="90"/>
      <c r="AP58" s="90" t="s">
        <v>562</v>
      </c>
      <c r="AQ58" s="90"/>
      <c r="AR58" s="90"/>
    </row>
    <row r="59" spans="1:44" x14ac:dyDescent="0.25">
      <c r="A59" s="90" t="s">
        <v>620</v>
      </c>
      <c r="B59" s="90"/>
      <c r="C59" s="90"/>
      <c r="D59" s="90"/>
      <c r="E59" s="90"/>
      <c r="F59" s="90"/>
      <c r="G59" s="90"/>
      <c r="H59" s="90"/>
      <c r="I59" s="90"/>
      <c r="J59" s="90"/>
      <c r="K59" s="90"/>
      <c r="L59" s="90"/>
      <c r="M59" s="90"/>
      <c r="N59" s="90" t="s">
        <v>238</v>
      </c>
      <c r="O59" s="90"/>
      <c r="P59" s="90"/>
      <c r="Q59" s="90"/>
      <c r="R59" s="90" t="s">
        <v>810</v>
      </c>
      <c r="S59" s="90"/>
      <c r="T59" s="90"/>
      <c r="U59" s="90"/>
      <c r="V59" s="90"/>
      <c r="W59" s="90"/>
      <c r="X59" s="90"/>
      <c r="Y59" s="90" t="s">
        <v>388</v>
      </c>
      <c r="Z59" s="90"/>
      <c r="AA59" s="90"/>
      <c r="AB59" s="90" t="s">
        <v>429</v>
      </c>
      <c r="AC59" s="90"/>
      <c r="AD59" s="90"/>
      <c r="AE59" s="90"/>
      <c r="AF59" s="90"/>
      <c r="AG59" s="90"/>
      <c r="AH59" s="90"/>
      <c r="AI59" s="90"/>
      <c r="AJ59" s="90"/>
      <c r="AK59" s="90"/>
      <c r="AL59" s="90"/>
      <c r="AM59" s="90"/>
      <c r="AN59" s="90"/>
      <c r="AO59" s="90"/>
      <c r="AP59" s="90" t="s">
        <v>563</v>
      </c>
      <c r="AQ59" s="90"/>
      <c r="AR59" s="90"/>
    </row>
    <row r="60" spans="1:44" x14ac:dyDescent="0.25">
      <c r="A60" s="90" t="s">
        <v>621</v>
      </c>
      <c r="B60" s="90"/>
      <c r="C60" s="90"/>
      <c r="D60" s="90"/>
      <c r="E60" s="90"/>
      <c r="F60" s="90"/>
      <c r="G60" s="90"/>
      <c r="H60" s="90"/>
      <c r="I60" s="90"/>
      <c r="J60" s="90"/>
      <c r="K60" s="90"/>
      <c r="L60" s="90"/>
      <c r="M60" s="90"/>
      <c r="N60" s="90" t="s">
        <v>239</v>
      </c>
      <c r="O60" s="90"/>
      <c r="P60" s="90"/>
      <c r="Q60" s="90"/>
      <c r="R60" s="90"/>
      <c r="S60" s="90"/>
      <c r="T60" s="90"/>
      <c r="U60" s="90"/>
      <c r="V60" s="90"/>
      <c r="W60" s="90"/>
      <c r="X60" s="90"/>
      <c r="Y60" s="90" t="s">
        <v>866</v>
      </c>
      <c r="Z60" s="90"/>
      <c r="AA60" s="90"/>
      <c r="AB60" s="90" t="s">
        <v>896</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759</v>
      </c>
      <c r="O61" s="90"/>
      <c r="P61" s="90"/>
      <c r="Q61" s="90"/>
      <c r="R61" s="90"/>
      <c r="S61" s="90"/>
      <c r="T61" s="90"/>
      <c r="U61" s="90"/>
      <c r="V61" s="90"/>
      <c r="W61" s="90"/>
      <c r="X61" s="90"/>
      <c r="Y61" s="90" t="s">
        <v>867</v>
      </c>
      <c r="Z61" s="90"/>
      <c r="AA61" s="90"/>
      <c r="AB61" s="90" t="s">
        <v>430</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240</v>
      </c>
      <c r="O62" s="90"/>
      <c r="P62" s="90"/>
      <c r="Q62" s="90"/>
      <c r="R62" s="90"/>
      <c r="S62" s="90"/>
      <c r="T62" s="90"/>
      <c r="U62" s="90"/>
      <c r="V62" s="90"/>
      <c r="W62" s="90"/>
      <c r="X62" s="90"/>
      <c r="Y62" s="90"/>
      <c r="Z62" s="90"/>
      <c r="AA62" s="90"/>
      <c r="AB62" s="90" t="s">
        <v>1088</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241</v>
      </c>
      <c r="O63" s="90"/>
      <c r="P63" s="90"/>
      <c r="Q63" s="90"/>
      <c r="R63" s="90"/>
      <c r="S63" s="90"/>
      <c r="T63" s="90"/>
      <c r="U63" s="90"/>
      <c r="V63" s="90"/>
      <c r="W63" s="90"/>
      <c r="X63" s="90"/>
      <c r="Y63" s="90"/>
      <c r="Z63" s="90"/>
      <c r="AA63" s="90"/>
      <c r="AB63" s="90" t="s">
        <v>1151</v>
      </c>
      <c r="AC63" s="90"/>
      <c r="AD63" s="90"/>
      <c r="AE63" s="90"/>
      <c r="AF63" s="90"/>
      <c r="AG63" s="90"/>
      <c r="AH63" s="90"/>
      <c r="AI63" s="90"/>
      <c r="AJ63" s="90"/>
      <c r="AK63" s="90"/>
      <c r="AL63" s="90"/>
      <c r="AM63" s="90"/>
      <c r="AN63" s="90"/>
      <c r="AO63" s="90"/>
      <c r="AP63" s="90"/>
      <c r="AQ63" s="90"/>
      <c r="AR63" s="90"/>
    </row>
    <row r="64" spans="1:44" x14ac:dyDescent="0.25">
      <c r="N64" s="90" t="s">
        <v>242</v>
      </c>
      <c r="AB64" s="90" t="s">
        <v>431</v>
      </c>
    </row>
    <row r="65" spans="14:28" x14ac:dyDescent="0.25">
      <c r="N65" s="90" t="s">
        <v>243</v>
      </c>
      <c r="AB65" s="90" t="s">
        <v>432</v>
      </c>
    </row>
    <row r="66" spans="14:28" x14ac:dyDescent="0.25">
      <c r="N66" s="90" t="s">
        <v>89</v>
      </c>
      <c r="AB66" s="90" t="s">
        <v>1150</v>
      </c>
    </row>
    <row r="67" spans="14:28" x14ac:dyDescent="0.25">
      <c r="N67" s="90" t="s">
        <v>244</v>
      </c>
      <c r="AB67" s="90" t="s">
        <v>897</v>
      </c>
    </row>
    <row r="68" spans="14:28" x14ac:dyDescent="0.25">
      <c r="N68" s="90" t="s">
        <v>245</v>
      </c>
    </row>
    <row r="69" spans="14:28" x14ac:dyDescent="0.25">
      <c r="N69" s="90" t="s">
        <v>246</v>
      </c>
    </row>
    <row r="70" spans="14:28" x14ac:dyDescent="0.25">
      <c r="N70" s="90" t="s">
        <v>247</v>
      </c>
    </row>
    <row r="71" spans="14:28" x14ac:dyDescent="0.25">
      <c r="N71" s="90" t="s">
        <v>1271</v>
      </c>
    </row>
    <row r="72" spans="14:28" x14ac:dyDescent="0.25">
      <c r="N72" s="90" t="s">
        <v>615</v>
      </c>
    </row>
    <row r="73" spans="14:28" x14ac:dyDescent="0.25">
      <c r="N73" s="90" t="s">
        <v>91</v>
      </c>
    </row>
    <row r="74" spans="14:28" x14ac:dyDescent="0.25">
      <c r="N74" s="90" t="s">
        <v>1092</v>
      </c>
    </row>
    <row r="75" spans="14:28" x14ac:dyDescent="0.25">
      <c r="N75" s="90" t="s">
        <v>248</v>
      </c>
    </row>
    <row r="76" spans="14:28" x14ac:dyDescent="0.25">
      <c r="N76" s="90" t="s">
        <v>1148</v>
      </c>
    </row>
    <row r="77" spans="14:28" x14ac:dyDescent="0.25">
      <c r="N77" s="90" t="s">
        <v>760</v>
      </c>
    </row>
    <row r="78" spans="14:28" x14ac:dyDescent="0.25">
      <c r="N78" s="90" t="s">
        <v>761</v>
      </c>
    </row>
    <row r="79" spans="14:28" x14ac:dyDescent="0.25">
      <c r="N79" s="90" t="s">
        <v>251</v>
      </c>
    </row>
    <row r="80" spans="14:28" x14ac:dyDescent="0.25">
      <c r="N80" s="90" t="s">
        <v>618</v>
      </c>
    </row>
  </sheetData>
  <sheetProtection algorithmName="SHA-512" hashValue="jD2l9ZdMR0TQikGlttSGdd7VIJiO41PlkWNEsV23Fn0y+U6aa7TVE9ZHxSmO2pkWYnZY3DVEmIG5VKSU5XmrAg==" saltValue="Im/mSjDORzp8W3HVKk7qOA=="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C10" sqref="C10"/>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1202</v>
      </c>
      <c r="C2" s="150"/>
      <c r="D2" s="150"/>
      <c r="E2" s="150"/>
      <c r="F2" s="150"/>
      <c r="G2" s="150"/>
      <c r="H2" s="150"/>
      <c r="I2" s="150"/>
    </row>
    <row r="3" spans="1:12" x14ac:dyDescent="0.2">
      <c r="A3" s="26" t="s">
        <v>63</v>
      </c>
      <c r="B3" s="1"/>
    </row>
    <row r="4" spans="1:12" ht="21" x14ac:dyDescent="0.2">
      <c r="A4" s="56" t="s">
        <v>1065</v>
      </c>
      <c r="B4" s="150" t="s">
        <v>1201</v>
      </c>
      <c r="C4" s="150"/>
      <c r="D4" s="150"/>
      <c r="E4" s="150"/>
      <c r="F4" s="150"/>
      <c r="G4" s="150"/>
      <c r="H4" s="150"/>
      <c r="I4" s="150"/>
      <c r="J4" s="150"/>
      <c r="K4" s="150"/>
      <c r="L4" s="150"/>
    </row>
    <row r="5" spans="1:12" ht="21" x14ac:dyDescent="0.2">
      <c r="B5" s="91" t="s">
        <v>597</v>
      </c>
      <c r="C5" s="91" t="s">
        <v>1080</v>
      </c>
      <c r="D5" s="196"/>
    </row>
    <row r="6" spans="1:12" x14ac:dyDescent="0.2">
      <c r="B6" s="55" t="s">
        <v>67</v>
      </c>
      <c r="C6" s="1" t="s">
        <v>1216</v>
      </c>
      <c r="D6" s="55" t="s">
        <v>1066</v>
      </c>
    </row>
    <row r="7" spans="1:12" x14ac:dyDescent="0.2">
      <c r="B7" s="55" t="s">
        <v>53</v>
      </c>
      <c r="C7" s="1" t="s">
        <v>1215</v>
      </c>
      <c r="D7" s="55" t="s">
        <v>1067</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1193</v>
      </c>
    </row>
    <row r="16" spans="1:12" x14ac:dyDescent="0.2">
      <c r="B16" s="55" t="s">
        <v>98</v>
      </c>
    </row>
    <row r="17" spans="2:26" x14ac:dyDescent="0.2">
      <c r="B17" s="55" t="s">
        <v>130</v>
      </c>
      <c r="E17" s="55"/>
    </row>
    <row r="18" spans="2:26" x14ac:dyDescent="0.2">
      <c r="B18" s="55" t="s">
        <v>177</v>
      </c>
      <c r="E18" s="55"/>
    </row>
    <row r="19" spans="2:26" x14ac:dyDescent="0.2">
      <c r="B19" s="55" t="s">
        <v>264</v>
      </c>
      <c r="E19" s="55"/>
    </row>
    <row r="20" spans="2:26" x14ac:dyDescent="0.2">
      <c r="B20" s="55" t="s">
        <v>313</v>
      </c>
      <c r="E20" s="55"/>
    </row>
    <row r="21" spans="2:26" x14ac:dyDescent="0.2">
      <c r="B21" s="55" t="s">
        <v>361</v>
      </c>
      <c r="E21" s="55"/>
    </row>
    <row r="22" spans="2:26" x14ac:dyDescent="0.2">
      <c r="B22" s="55" t="s">
        <v>493</v>
      </c>
      <c r="E22" s="55"/>
    </row>
    <row r="23" spans="2:26" x14ac:dyDescent="0.2">
      <c r="B23" s="55" t="s">
        <v>509</v>
      </c>
      <c r="E23" s="55"/>
    </row>
    <row r="24" spans="2:26" x14ac:dyDescent="0.2">
      <c r="B24" s="55" t="s">
        <v>518</v>
      </c>
      <c r="E24" s="55"/>
    </row>
    <row r="25" spans="2:26" x14ac:dyDescent="0.2">
      <c r="B25" s="178" t="s">
        <v>531</v>
      </c>
      <c r="C25" s="179" t="s">
        <v>1200</v>
      </c>
      <c r="E25" s="55"/>
    </row>
    <row r="26" spans="2:26" x14ac:dyDescent="0.2">
      <c r="B26" s="55" t="s">
        <v>574</v>
      </c>
    </row>
    <row r="27" spans="2:26" x14ac:dyDescent="0.2">
      <c r="B27" s="55"/>
    </row>
    <row r="28" spans="2:26" x14ac:dyDescent="0.2">
      <c r="B28" s="180" t="s">
        <v>598</v>
      </c>
      <c r="C28" s="180" t="s">
        <v>1055</v>
      </c>
      <c r="D28" s="180" t="s">
        <v>1056</v>
      </c>
      <c r="E28" s="180" t="s">
        <v>1273</v>
      </c>
      <c r="F28" s="180" t="s">
        <v>1274</v>
      </c>
      <c r="G28" s="180" t="s">
        <v>1275</v>
      </c>
      <c r="H28" s="180" t="s">
        <v>1276</v>
      </c>
      <c r="I28" s="180" t="s">
        <v>1277</v>
      </c>
      <c r="J28" s="180" t="s">
        <v>1278</v>
      </c>
      <c r="K28" s="180" t="s">
        <v>1306</v>
      </c>
      <c r="L28" s="180" t="s">
        <v>1279</v>
      </c>
      <c r="M28" s="180" t="s">
        <v>1280</v>
      </c>
      <c r="N28" s="180" t="s">
        <v>1281</v>
      </c>
      <c r="O28" s="180" t="s">
        <v>1282</v>
      </c>
      <c r="P28" s="180" t="s">
        <v>1283</v>
      </c>
      <c r="Q28" s="180" t="s">
        <v>1284</v>
      </c>
      <c r="R28" s="180" t="s">
        <v>1285</v>
      </c>
      <c r="S28" s="180" t="s">
        <v>1286</v>
      </c>
      <c r="T28" s="180" t="s">
        <v>1287</v>
      </c>
      <c r="U28" s="180" t="s">
        <v>1288</v>
      </c>
      <c r="V28" s="180" t="s">
        <v>1289</v>
      </c>
      <c r="W28" s="180" t="s">
        <v>1290</v>
      </c>
      <c r="X28" s="180" t="s">
        <v>1291</v>
      </c>
      <c r="Y28" s="180" t="s">
        <v>1292</v>
      </c>
      <c r="Z28" s="180" t="s">
        <v>1293</v>
      </c>
    </row>
    <row r="29" spans="2:26" x14ac:dyDescent="0.2">
      <c r="B29" s="180"/>
      <c r="C29" s="180"/>
      <c r="D29" s="180"/>
    </row>
    <row r="30" spans="2:26" x14ac:dyDescent="0.2">
      <c r="B30" s="180" t="s">
        <v>200</v>
      </c>
      <c r="C30" s="180" t="s">
        <v>768</v>
      </c>
      <c r="D30" s="180" t="s">
        <v>1029</v>
      </c>
      <c r="E30" s="179" t="s">
        <v>1304</v>
      </c>
      <c r="F30" s="179" t="s">
        <v>1304</v>
      </c>
      <c r="G30" s="179" t="s">
        <v>1304</v>
      </c>
      <c r="H30" s="179" t="s">
        <v>1304</v>
      </c>
      <c r="I30" s="179" t="s">
        <v>1304</v>
      </c>
      <c r="J30" s="179" t="s">
        <v>1304</v>
      </c>
      <c r="K30" s="179" t="s">
        <v>1304</v>
      </c>
      <c r="L30" s="179" t="s">
        <v>1304</v>
      </c>
      <c r="M30" s="179" t="s">
        <v>1304</v>
      </c>
      <c r="N30" s="179" t="s">
        <v>1304</v>
      </c>
      <c r="O30" s="179" t="s">
        <v>1304</v>
      </c>
      <c r="P30" s="179" t="s">
        <v>1304</v>
      </c>
      <c r="Q30" s="179" t="s">
        <v>1304</v>
      </c>
      <c r="R30" s="179" t="s">
        <v>1304</v>
      </c>
      <c r="S30" s="179" t="s">
        <v>1304</v>
      </c>
      <c r="T30" s="179" t="s">
        <v>1304</v>
      </c>
      <c r="U30" s="179" t="s">
        <v>1304</v>
      </c>
      <c r="V30" s="179" t="s">
        <v>1305</v>
      </c>
      <c r="W30" s="179" t="s">
        <v>1304</v>
      </c>
      <c r="X30" s="179" t="s">
        <v>1304</v>
      </c>
      <c r="Y30" s="179" t="s">
        <v>1304</v>
      </c>
      <c r="Z30" s="179" t="s">
        <v>1304</v>
      </c>
    </row>
    <row r="31" spans="2:26" x14ac:dyDescent="0.2">
      <c r="B31" s="180" t="s">
        <v>592</v>
      </c>
      <c r="C31" s="180" t="s">
        <v>768</v>
      </c>
      <c r="D31" s="180" t="s">
        <v>79</v>
      </c>
      <c r="E31" s="179" t="s">
        <v>1298</v>
      </c>
      <c r="F31" s="179" t="s">
        <v>1298</v>
      </c>
      <c r="G31" s="179" t="s">
        <v>1298</v>
      </c>
      <c r="H31" s="179" t="s">
        <v>1298</v>
      </c>
      <c r="I31" s="179" t="s">
        <v>1298</v>
      </c>
      <c r="J31" s="179" t="s">
        <v>1298</v>
      </c>
      <c r="K31" s="179" t="s">
        <v>1298</v>
      </c>
      <c r="L31" s="179" t="s">
        <v>1298</v>
      </c>
      <c r="M31" s="179" t="s">
        <v>1298</v>
      </c>
      <c r="N31" s="179" t="s">
        <v>1298</v>
      </c>
      <c r="O31" s="179" t="s">
        <v>1298</v>
      </c>
      <c r="P31" s="179" t="s">
        <v>1298</v>
      </c>
      <c r="Q31" s="179" t="s">
        <v>1298</v>
      </c>
      <c r="R31" s="179" t="s">
        <v>1298</v>
      </c>
      <c r="S31" s="179" t="s">
        <v>1298</v>
      </c>
      <c r="T31" s="179" t="s">
        <v>1298</v>
      </c>
      <c r="U31" s="179" t="s">
        <v>1298</v>
      </c>
      <c r="V31" s="179" t="s">
        <v>1298</v>
      </c>
      <c r="W31" s="179" t="s">
        <v>1298</v>
      </c>
      <c r="X31" s="179" t="s">
        <v>1298</v>
      </c>
      <c r="Y31" s="179" t="s">
        <v>1298</v>
      </c>
      <c r="Z31" s="179" t="s">
        <v>1298</v>
      </c>
    </row>
    <row r="32" spans="2:26" x14ac:dyDescent="0.2">
      <c r="B32" s="180" t="s">
        <v>586</v>
      </c>
      <c r="C32" s="180" t="s">
        <v>621</v>
      </c>
      <c r="D32" s="180" t="s">
        <v>1016</v>
      </c>
      <c r="E32" s="179" t="s">
        <v>1308</v>
      </c>
      <c r="F32" s="179" t="s">
        <v>1308</v>
      </c>
      <c r="G32" s="179" t="s">
        <v>1308</v>
      </c>
      <c r="H32" s="179" t="s">
        <v>1308</v>
      </c>
      <c r="I32" s="179" t="s">
        <v>1308</v>
      </c>
      <c r="J32" s="179" t="s">
        <v>1308</v>
      </c>
      <c r="K32" s="179" t="s">
        <v>1308</v>
      </c>
      <c r="L32" s="179" t="s">
        <v>1308</v>
      </c>
      <c r="M32" s="179" t="s">
        <v>1308</v>
      </c>
      <c r="N32" s="179" t="s">
        <v>1308</v>
      </c>
      <c r="O32" s="179" t="s">
        <v>1308</v>
      </c>
      <c r="P32" s="179" t="s">
        <v>1308</v>
      </c>
      <c r="Q32" s="179" t="s">
        <v>1308</v>
      </c>
      <c r="R32" s="179" t="s">
        <v>1308</v>
      </c>
      <c r="S32" s="179" t="s">
        <v>1308</v>
      </c>
      <c r="T32" s="179" t="s">
        <v>1308</v>
      </c>
      <c r="U32" s="179" t="s">
        <v>1308</v>
      </c>
      <c r="V32" s="179" t="s">
        <v>1308</v>
      </c>
      <c r="W32" s="179" t="s">
        <v>1308</v>
      </c>
      <c r="X32" s="179" t="s">
        <v>1308</v>
      </c>
      <c r="Y32" s="179" t="s">
        <v>1308</v>
      </c>
      <c r="Z32" s="179" t="s">
        <v>1308</v>
      </c>
    </row>
    <row r="33" spans="2:26" x14ac:dyDescent="0.2">
      <c r="B33" s="180" t="s">
        <v>67</v>
      </c>
      <c r="C33" s="180" t="s">
        <v>621</v>
      </c>
      <c r="D33" s="180" t="s">
        <v>1021</v>
      </c>
      <c r="E33" s="179" t="s">
        <v>1296</v>
      </c>
      <c r="F33" s="179" t="s">
        <v>1296</v>
      </c>
      <c r="G33" s="179" t="s">
        <v>1296</v>
      </c>
      <c r="H33" s="179" t="s">
        <v>1296</v>
      </c>
      <c r="I33" s="179" t="s">
        <v>1296</v>
      </c>
      <c r="J33" s="179" t="s">
        <v>1296</v>
      </c>
      <c r="K33" s="179" t="s">
        <v>1296</v>
      </c>
      <c r="L33" s="179" t="s">
        <v>1296</v>
      </c>
      <c r="M33" s="179" t="s">
        <v>1296</v>
      </c>
      <c r="N33" s="179" t="s">
        <v>1296</v>
      </c>
      <c r="O33" s="179" t="s">
        <v>1296</v>
      </c>
      <c r="P33" s="179" t="s">
        <v>1296</v>
      </c>
      <c r="Q33" s="179" t="s">
        <v>1300</v>
      </c>
      <c r="R33" s="179" t="s">
        <v>1300</v>
      </c>
      <c r="S33" s="179" t="s">
        <v>1296</v>
      </c>
      <c r="T33" s="179" t="s">
        <v>1296</v>
      </c>
      <c r="U33" s="179" t="s">
        <v>1296</v>
      </c>
      <c r="V33" s="179" t="s">
        <v>1300</v>
      </c>
      <c r="W33" s="179" t="s">
        <v>1296</v>
      </c>
      <c r="X33" s="179" t="s">
        <v>1296</v>
      </c>
      <c r="Y33" s="179" t="s">
        <v>1296</v>
      </c>
      <c r="Z33" s="179" t="s">
        <v>1296</v>
      </c>
    </row>
    <row r="34" spans="2:26" x14ac:dyDescent="0.2">
      <c r="B34" s="180" t="s">
        <v>590</v>
      </c>
      <c r="C34" s="180" t="s">
        <v>621</v>
      </c>
      <c r="D34" s="180" t="s">
        <v>1036</v>
      </c>
      <c r="E34" s="179" t="s">
        <v>1299</v>
      </c>
      <c r="I34" s="179"/>
      <c r="J34" s="179"/>
      <c r="L34" s="179"/>
      <c r="M34" s="179" t="s">
        <v>1299</v>
      </c>
      <c r="N34" s="179"/>
      <c r="O34" s="179"/>
      <c r="P34" s="179"/>
      <c r="Q34" s="179" t="s">
        <v>1296</v>
      </c>
      <c r="R34" s="179" t="s">
        <v>1296</v>
      </c>
      <c r="T34" s="179"/>
      <c r="U34" s="179"/>
      <c r="V34" s="179" t="s">
        <v>1302</v>
      </c>
    </row>
    <row r="35" spans="2:26" x14ac:dyDescent="0.2">
      <c r="B35" s="180" t="s">
        <v>53</v>
      </c>
      <c r="C35" s="180" t="s">
        <v>658</v>
      </c>
      <c r="D35" s="180" t="s">
        <v>1194</v>
      </c>
      <c r="E35" s="179" t="s">
        <v>1297</v>
      </c>
      <c r="M35" s="179" t="s">
        <v>1297</v>
      </c>
      <c r="Q35" s="179"/>
      <c r="V35" s="179" t="s">
        <v>1296</v>
      </c>
    </row>
    <row r="36" spans="2:26" x14ac:dyDescent="0.2">
      <c r="B36" s="180" t="s">
        <v>1199</v>
      </c>
      <c r="C36" s="180" t="s">
        <v>658</v>
      </c>
      <c r="D36" s="180" t="s">
        <v>1028</v>
      </c>
      <c r="V36" s="179" t="s">
        <v>1301</v>
      </c>
    </row>
    <row r="37" spans="2:26" x14ac:dyDescent="0.2">
      <c r="B37" s="180" t="s">
        <v>587</v>
      </c>
      <c r="C37" s="180" t="s">
        <v>1226</v>
      </c>
      <c r="D37" s="180" t="s">
        <v>1057</v>
      </c>
      <c r="M37" s="179"/>
      <c r="V37" s="179"/>
    </row>
    <row r="38" spans="2:26" x14ac:dyDescent="0.2">
      <c r="B38" s="180" t="s">
        <v>588</v>
      </c>
      <c r="C38" s="180" t="s">
        <v>1226</v>
      </c>
      <c r="D38" s="180" t="s">
        <v>1026</v>
      </c>
    </row>
    <row r="39" spans="2:26" x14ac:dyDescent="0.2">
      <c r="B39" s="180" t="s">
        <v>589</v>
      </c>
      <c r="C39" s="180" t="s">
        <v>796</v>
      </c>
      <c r="D39" s="180" t="s">
        <v>1031</v>
      </c>
    </row>
    <row r="40" spans="2:26" x14ac:dyDescent="0.2">
      <c r="B40" s="180" t="s">
        <v>70</v>
      </c>
      <c r="C40" s="180" t="s">
        <v>796</v>
      </c>
      <c r="D40" s="180" t="s">
        <v>1195</v>
      </c>
    </row>
    <row r="41" spans="2:26" x14ac:dyDescent="0.2">
      <c r="B41" s="180" t="s">
        <v>71</v>
      </c>
      <c r="C41" s="180" t="s">
        <v>560</v>
      </c>
      <c r="D41" s="180" t="s">
        <v>1037</v>
      </c>
    </row>
    <row r="42" spans="2:26" x14ac:dyDescent="0.2">
      <c r="B42" s="180" t="s">
        <v>209</v>
      </c>
      <c r="C42" s="180" t="s">
        <v>560</v>
      </c>
      <c r="D42" s="180" t="s">
        <v>1196</v>
      </c>
    </row>
    <row r="43" spans="2:26" x14ac:dyDescent="0.2">
      <c r="B43" s="180" t="s">
        <v>571</v>
      </c>
      <c r="C43" s="180" t="s">
        <v>823</v>
      </c>
      <c r="D43" s="180" t="s">
        <v>1033</v>
      </c>
    </row>
    <row r="44" spans="2:26" x14ac:dyDescent="0.2">
      <c r="B44" s="180" t="s">
        <v>152</v>
      </c>
      <c r="C44" s="180" t="s">
        <v>823</v>
      </c>
      <c r="D44" s="180" t="s">
        <v>1037</v>
      </c>
    </row>
    <row r="45" spans="2:26" x14ac:dyDescent="0.2">
      <c r="B45" s="180" t="s">
        <v>591</v>
      </c>
      <c r="C45" s="180" t="s">
        <v>823</v>
      </c>
      <c r="D45" s="180" t="s">
        <v>1196</v>
      </c>
    </row>
    <row r="46" spans="2:26" x14ac:dyDescent="0.2">
      <c r="B46" s="180" t="s">
        <v>593</v>
      </c>
      <c r="C46" s="180" t="s">
        <v>604</v>
      </c>
      <c r="D46" s="180" t="s">
        <v>1016</v>
      </c>
    </row>
    <row r="47" spans="2:26" x14ac:dyDescent="0.2">
      <c r="B47" s="180" t="s">
        <v>66</v>
      </c>
      <c r="C47" s="180" t="s">
        <v>604</v>
      </c>
      <c r="D47" s="180" t="s">
        <v>1021</v>
      </c>
    </row>
    <row r="48" spans="2:26" x14ac:dyDescent="0.2">
      <c r="B48" s="180" t="s">
        <v>1197</v>
      </c>
      <c r="C48" s="180" t="s">
        <v>680</v>
      </c>
      <c r="D48" s="180" t="s">
        <v>1020</v>
      </c>
    </row>
    <row r="49" spans="2:4" x14ac:dyDescent="0.2">
      <c r="B49" s="180" t="s">
        <v>1198</v>
      </c>
      <c r="C49" s="180" t="s">
        <v>680</v>
      </c>
      <c r="D49" s="180" t="s">
        <v>1023</v>
      </c>
    </row>
    <row r="50" spans="2:4" x14ac:dyDescent="0.2">
      <c r="B50" s="180" t="s">
        <v>594</v>
      </c>
      <c r="C50" s="180" t="s">
        <v>824</v>
      </c>
      <c r="D50" s="180" t="s">
        <v>1033</v>
      </c>
    </row>
    <row r="51" spans="2:4" x14ac:dyDescent="0.2">
      <c r="B51" s="180" t="s">
        <v>595</v>
      </c>
      <c r="C51" s="180" t="s">
        <v>824</v>
      </c>
      <c r="D51" s="180" t="s">
        <v>1049</v>
      </c>
    </row>
    <row r="52" spans="2:4" x14ac:dyDescent="0.2">
      <c r="B52" s="180"/>
      <c r="C52" s="180" t="s">
        <v>856</v>
      </c>
      <c r="D52" s="180" t="s">
        <v>1037</v>
      </c>
    </row>
    <row r="53" spans="2:4" x14ac:dyDescent="0.2">
      <c r="B53" s="180"/>
      <c r="C53" s="180" t="s">
        <v>856</v>
      </c>
      <c r="D53" s="180" t="s">
        <v>1196</v>
      </c>
    </row>
    <row r="54" spans="2:4" x14ac:dyDescent="0.2">
      <c r="B54" s="180"/>
      <c r="C54" s="180" t="s">
        <v>741</v>
      </c>
      <c r="D54" s="180" t="s">
        <v>1025</v>
      </c>
    </row>
    <row r="55" spans="2:4" x14ac:dyDescent="0.2">
      <c r="B55" s="180"/>
      <c r="C55" s="180" t="s">
        <v>741</v>
      </c>
      <c r="D55" s="180" t="s">
        <v>1032</v>
      </c>
    </row>
    <row r="56" spans="2:4" x14ac:dyDescent="0.2">
      <c r="B56" s="180"/>
      <c r="C56" s="180" t="s">
        <v>627</v>
      </c>
      <c r="D56" s="180" t="s">
        <v>1017</v>
      </c>
    </row>
    <row r="57" spans="2:4" x14ac:dyDescent="0.2">
      <c r="B57" s="180"/>
      <c r="C57" s="180" t="s">
        <v>627</v>
      </c>
      <c r="D57" s="180" t="s">
        <v>1054</v>
      </c>
    </row>
    <row r="58" spans="2:4" x14ac:dyDescent="0.2">
      <c r="B58" s="180"/>
      <c r="C58" s="180" t="s">
        <v>766</v>
      </c>
      <c r="D58" s="180" t="s">
        <v>1029</v>
      </c>
    </row>
    <row r="59" spans="2:4" x14ac:dyDescent="0.2">
      <c r="B59" s="180"/>
      <c r="C59" s="180" t="s">
        <v>766</v>
      </c>
      <c r="D59" s="180" t="s">
        <v>1048</v>
      </c>
    </row>
    <row r="60" spans="2:4" x14ac:dyDescent="0.2">
      <c r="B60" s="180"/>
      <c r="C60" s="180" t="s">
        <v>766</v>
      </c>
      <c r="D60" s="180" t="s">
        <v>1196</v>
      </c>
    </row>
    <row r="61" spans="2:4" x14ac:dyDescent="0.2">
      <c r="B61" s="180"/>
      <c r="C61" s="180" t="s">
        <v>953</v>
      </c>
      <c r="D61" s="180" t="s">
        <v>1049</v>
      </c>
    </row>
    <row r="62" spans="2:4" x14ac:dyDescent="0.2">
      <c r="B62" s="180"/>
      <c r="C62" s="180" t="s">
        <v>953</v>
      </c>
      <c r="D62" s="180" t="s">
        <v>1196</v>
      </c>
    </row>
    <row r="63" spans="2:4" x14ac:dyDescent="0.2">
      <c r="B63" s="180"/>
      <c r="C63" s="180" t="s">
        <v>431</v>
      </c>
      <c r="D63" s="180" t="s">
        <v>1041</v>
      </c>
    </row>
    <row r="64" spans="2:4" x14ac:dyDescent="0.2">
      <c r="B64" s="180"/>
      <c r="C64" s="180" t="s">
        <v>431</v>
      </c>
      <c r="D64" s="180" t="s">
        <v>1051</v>
      </c>
    </row>
    <row r="65" spans="2:4" x14ac:dyDescent="0.2">
      <c r="B65" s="180"/>
      <c r="C65" s="180" t="s">
        <v>395</v>
      </c>
      <c r="D65" s="180" t="s">
        <v>1023</v>
      </c>
    </row>
    <row r="66" spans="2:4" x14ac:dyDescent="0.2">
      <c r="B66" s="180"/>
      <c r="C66" s="180" t="s">
        <v>395</v>
      </c>
      <c r="D66" s="180" t="s">
        <v>1039</v>
      </c>
    </row>
    <row r="67" spans="2:4" x14ac:dyDescent="0.2">
      <c r="B67" s="180"/>
      <c r="C67" s="180" t="s">
        <v>811</v>
      </c>
      <c r="D67" s="180" t="s">
        <v>1032</v>
      </c>
    </row>
    <row r="68" spans="2:4" x14ac:dyDescent="0.2">
      <c r="B68" s="180"/>
      <c r="C68" s="180" t="s">
        <v>811</v>
      </c>
      <c r="D68" s="180" t="s">
        <v>1043</v>
      </c>
    </row>
    <row r="69" spans="2:4" x14ac:dyDescent="0.2">
      <c r="B69" s="180"/>
      <c r="C69" s="180" t="s">
        <v>266</v>
      </c>
      <c r="D69" s="180" t="s">
        <v>1029</v>
      </c>
    </row>
    <row r="70" spans="2:4" x14ac:dyDescent="0.2">
      <c r="B70" s="180"/>
      <c r="C70" s="180" t="s">
        <v>266</v>
      </c>
      <c r="D70" s="180" t="s">
        <v>1047</v>
      </c>
    </row>
    <row r="71" spans="2:4" x14ac:dyDescent="0.2">
      <c r="B71" s="180"/>
      <c r="C71" s="180" t="s">
        <v>600</v>
      </c>
      <c r="D71" s="180" t="s">
        <v>1016</v>
      </c>
    </row>
    <row r="72" spans="2:4" x14ac:dyDescent="0.2">
      <c r="B72" s="180"/>
      <c r="C72" s="180" t="s">
        <v>600</v>
      </c>
      <c r="D72" s="180" t="s">
        <v>1021</v>
      </c>
    </row>
    <row r="73" spans="2:4" x14ac:dyDescent="0.2">
      <c r="B73" s="180"/>
      <c r="C73" s="180" t="s">
        <v>600</v>
      </c>
      <c r="D73" s="180" t="s">
        <v>1036</v>
      </c>
    </row>
    <row r="74" spans="2:4" x14ac:dyDescent="0.2">
      <c r="B74" s="180"/>
      <c r="C74" s="180" t="s">
        <v>460</v>
      </c>
      <c r="D74" s="180" t="s">
        <v>1038</v>
      </c>
    </row>
    <row r="75" spans="2:4" x14ac:dyDescent="0.2">
      <c r="B75" s="180"/>
      <c r="C75" s="180" t="s">
        <v>460</v>
      </c>
      <c r="D75" s="180" t="s">
        <v>1044</v>
      </c>
    </row>
    <row r="76" spans="2:4" x14ac:dyDescent="0.2">
      <c r="B76" s="180"/>
      <c r="C76" s="180" t="s">
        <v>105</v>
      </c>
      <c r="D76" s="180" t="s">
        <v>1018</v>
      </c>
    </row>
    <row r="77" spans="2:4" x14ac:dyDescent="0.2">
      <c r="B77" s="180"/>
      <c r="C77" s="180" t="s">
        <v>105</v>
      </c>
      <c r="D77" s="180" t="s">
        <v>79</v>
      </c>
    </row>
    <row r="78" spans="2:4" x14ac:dyDescent="0.2">
      <c r="B78" s="180"/>
      <c r="C78" s="180" t="s">
        <v>197</v>
      </c>
      <c r="D78" s="180" t="s">
        <v>1023</v>
      </c>
    </row>
    <row r="79" spans="2:4" x14ac:dyDescent="0.2">
      <c r="B79" s="180"/>
      <c r="C79" s="180" t="s">
        <v>197</v>
      </c>
      <c r="D79" s="180" t="s">
        <v>1039</v>
      </c>
    </row>
    <row r="80" spans="2:4" x14ac:dyDescent="0.2">
      <c r="B80" s="180"/>
      <c r="C80" s="180" t="s">
        <v>225</v>
      </c>
      <c r="D80" s="180" t="s">
        <v>1016</v>
      </c>
    </row>
    <row r="81" spans="2:4" x14ac:dyDescent="0.2">
      <c r="B81" s="180"/>
      <c r="C81" s="180" t="s">
        <v>225</v>
      </c>
      <c r="D81" s="180" t="s">
        <v>1027</v>
      </c>
    </row>
    <row r="82" spans="2:4" x14ac:dyDescent="0.2">
      <c r="B82" s="180"/>
      <c r="C82" s="180" t="s">
        <v>615</v>
      </c>
      <c r="D82" s="180" t="s">
        <v>1016</v>
      </c>
    </row>
    <row r="83" spans="2:4" x14ac:dyDescent="0.2">
      <c r="B83" s="180"/>
      <c r="C83" s="180" t="s">
        <v>615</v>
      </c>
      <c r="D83" s="180" t="s">
        <v>1027</v>
      </c>
    </row>
    <row r="84" spans="2:4" x14ac:dyDescent="0.2">
      <c r="B84" s="180"/>
      <c r="C84" s="180" t="s">
        <v>895</v>
      </c>
      <c r="D84" s="180" t="s">
        <v>1041</v>
      </c>
    </row>
    <row r="85" spans="2:4" x14ac:dyDescent="0.2">
      <c r="B85" s="180"/>
      <c r="C85" s="180" t="s">
        <v>895</v>
      </c>
      <c r="D85" s="180" t="s">
        <v>1051</v>
      </c>
    </row>
    <row r="86" spans="2:4" x14ac:dyDescent="0.2">
      <c r="B86" s="180"/>
      <c r="C86" s="180" t="s">
        <v>428</v>
      </c>
      <c r="D86" s="180" t="s">
        <v>1041</v>
      </c>
    </row>
    <row r="87" spans="2:4" x14ac:dyDescent="0.2">
      <c r="B87" s="180"/>
      <c r="C87" s="180" t="s">
        <v>428</v>
      </c>
      <c r="D87" s="180" t="s">
        <v>1051</v>
      </c>
    </row>
    <row r="88" spans="2:4" x14ac:dyDescent="0.2">
      <c r="B88" s="180"/>
      <c r="C88" s="180" t="s">
        <v>860</v>
      </c>
      <c r="D88" s="180" t="s">
        <v>1038</v>
      </c>
    </row>
    <row r="89" spans="2:4" x14ac:dyDescent="0.2">
      <c r="B89" s="180"/>
      <c r="C89" s="180" t="s">
        <v>860</v>
      </c>
      <c r="D89" s="180" t="s">
        <v>1044</v>
      </c>
    </row>
    <row r="90" spans="2:4" x14ac:dyDescent="0.2">
      <c r="B90" s="180"/>
      <c r="C90" s="180" t="s">
        <v>922</v>
      </c>
      <c r="D90" s="180" t="s">
        <v>1044</v>
      </c>
    </row>
    <row r="91" spans="2:4" x14ac:dyDescent="0.2">
      <c r="B91" s="180"/>
      <c r="C91" s="180" t="s">
        <v>922</v>
      </c>
      <c r="D91" s="180" t="s">
        <v>1195</v>
      </c>
    </row>
    <row r="92" spans="2:4" x14ac:dyDescent="0.2">
      <c r="B92" s="180"/>
      <c r="C92" s="180" t="s">
        <v>651</v>
      </c>
      <c r="D92" s="180" t="s">
        <v>1018</v>
      </c>
    </row>
    <row r="93" spans="2:4" x14ac:dyDescent="0.2">
      <c r="B93" s="180"/>
      <c r="C93" s="180" t="s">
        <v>651</v>
      </c>
      <c r="D93" s="180" t="s">
        <v>1034</v>
      </c>
    </row>
    <row r="94" spans="2:4" x14ac:dyDescent="0.2">
      <c r="B94" s="180"/>
      <c r="C94" s="180" t="s">
        <v>788</v>
      </c>
      <c r="D94" s="180" t="s">
        <v>1031</v>
      </c>
    </row>
    <row r="95" spans="2:4" x14ac:dyDescent="0.2">
      <c r="B95" s="180"/>
      <c r="C95" s="180" t="s">
        <v>788</v>
      </c>
      <c r="D95" s="180" t="s">
        <v>1042</v>
      </c>
    </row>
    <row r="96" spans="2:4" x14ac:dyDescent="0.2">
      <c r="B96" s="180"/>
      <c r="C96" s="180" t="s">
        <v>342</v>
      </c>
      <c r="D96" s="180" t="s">
        <v>1016</v>
      </c>
    </row>
    <row r="97" spans="2:4" x14ac:dyDescent="0.2">
      <c r="B97" s="180"/>
      <c r="C97" s="180" t="s">
        <v>342</v>
      </c>
      <c r="D97" s="180" t="s">
        <v>1021</v>
      </c>
    </row>
    <row r="98" spans="2:4" x14ac:dyDescent="0.2">
      <c r="B98" s="180"/>
      <c r="C98" s="180" t="s">
        <v>342</v>
      </c>
      <c r="D98" s="180" t="s">
        <v>1036</v>
      </c>
    </row>
    <row r="99" spans="2:4" x14ac:dyDescent="0.2">
      <c r="B99" s="180"/>
      <c r="C99" s="180" t="s">
        <v>701</v>
      </c>
      <c r="D99" s="180" t="s">
        <v>1021</v>
      </c>
    </row>
    <row r="100" spans="2:4" x14ac:dyDescent="0.2">
      <c r="B100" s="180"/>
      <c r="C100" s="180" t="s">
        <v>701</v>
      </c>
      <c r="D100" s="180" t="s">
        <v>1036</v>
      </c>
    </row>
    <row r="101" spans="2:4" x14ac:dyDescent="0.2">
      <c r="B101" s="180"/>
      <c r="C101" s="180" t="s">
        <v>607</v>
      </c>
      <c r="D101" s="180" t="s">
        <v>1016</v>
      </c>
    </row>
    <row r="102" spans="2:4" x14ac:dyDescent="0.2">
      <c r="B102" s="180"/>
      <c r="C102" s="180" t="s">
        <v>607</v>
      </c>
      <c r="D102" s="180" t="s">
        <v>1027</v>
      </c>
    </row>
    <row r="103" spans="2:4" x14ac:dyDescent="0.2">
      <c r="B103" s="180"/>
      <c r="C103" s="180" t="s">
        <v>539</v>
      </c>
      <c r="D103" s="180" t="s">
        <v>1019</v>
      </c>
    </row>
    <row r="104" spans="2:4" x14ac:dyDescent="0.2">
      <c r="B104" s="180"/>
      <c r="C104" s="180" t="s">
        <v>539</v>
      </c>
      <c r="D104" s="180" t="s">
        <v>1051</v>
      </c>
    </row>
    <row r="105" spans="2:4" x14ac:dyDescent="0.2">
      <c r="B105" s="180"/>
      <c r="C105" s="180" t="s">
        <v>148</v>
      </c>
      <c r="D105" s="180" t="s">
        <v>1020</v>
      </c>
    </row>
    <row r="106" spans="2:4" x14ac:dyDescent="0.2">
      <c r="B106" s="180"/>
      <c r="C106" s="180" t="s">
        <v>148</v>
      </c>
      <c r="D106" s="180" t="s">
        <v>1023</v>
      </c>
    </row>
    <row r="107" spans="2:4" x14ac:dyDescent="0.2">
      <c r="B107" s="180"/>
      <c r="C107" s="180" t="s">
        <v>148</v>
      </c>
      <c r="D107" s="180" t="s">
        <v>1039</v>
      </c>
    </row>
    <row r="108" spans="2:4" x14ac:dyDescent="0.2">
      <c r="B108" s="180"/>
      <c r="C108" s="180" t="s">
        <v>148</v>
      </c>
      <c r="D108" s="180" t="s">
        <v>1046</v>
      </c>
    </row>
    <row r="109" spans="2:4" x14ac:dyDescent="0.2">
      <c r="B109" s="180"/>
      <c r="C109" s="180" t="s">
        <v>89</v>
      </c>
      <c r="D109" s="180" t="s">
        <v>1016</v>
      </c>
    </row>
    <row r="110" spans="2:4" x14ac:dyDescent="0.2">
      <c r="B110" s="180"/>
      <c r="C110" s="180" t="s">
        <v>89</v>
      </c>
      <c r="D110" s="180" t="s">
        <v>1027</v>
      </c>
    </row>
    <row r="111" spans="2:4" x14ac:dyDescent="0.2">
      <c r="B111" s="180"/>
      <c r="C111" s="180" t="s">
        <v>96</v>
      </c>
      <c r="D111" s="180" t="s">
        <v>1017</v>
      </c>
    </row>
    <row r="112" spans="2:4" x14ac:dyDescent="0.2">
      <c r="B112" s="180"/>
      <c r="C112" s="180" t="s">
        <v>96</v>
      </c>
      <c r="D112" s="180" t="s">
        <v>1054</v>
      </c>
    </row>
    <row r="113" spans="2:4" x14ac:dyDescent="0.2">
      <c r="B113" s="180"/>
      <c r="C113" s="180" t="s">
        <v>202</v>
      </c>
      <c r="D113" s="180" t="s">
        <v>1023</v>
      </c>
    </row>
    <row r="114" spans="2:4" x14ac:dyDescent="0.2">
      <c r="B114" s="180"/>
      <c r="C114" s="180" t="s">
        <v>202</v>
      </c>
      <c r="D114" s="180" t="s">
        <v>1028</v>
      </c>
    </row>
    <row r="115" spans="2:4" x14ac:dyDescent="0.2">
      <c r="B115" s="180"/>
      <c r="C115" s="180" t="s">
        <v>837</v>
      </c>
      <c r="D115" s="180" t="s">
        <v>1035</v>
      </c>
    </row>
    <row r="116" spans="2:4" x14ac:dyDescent="0.2">
      <c r="B116" s="180"/>
      <c r="C116" s="180" t="s">
        <v>837</v>
      </c>
      <c r="D116" s="180" t="s">
        <v>1046</v>
      </c>
    </row>
    <row r="117" spans="2:4" x14ac:dyDescent="0.2">
      <c r="B117" s="180"/>
      <c r="C117" s="180" t="s">
        <v>443</v>
      </c>
      <c r="D117" s="180" t="s">
        <v>1042</v>
      </c>
    </row>
    <row r="118" spans="2:4" x14ac:dyDescent="0.2">
      <c r="B118" s="180"/>
      <c r="C118" s="180" t="s">
        <v>443</v>
      </c>
      <c r="D118" s="180" t="s">
        <v>1195</v>
      </c>
    </row>
    <row r="119" spans="2:4" x14ac:dyDescent="0.2">
      <c r="B119" s="180"/>
      <c r="C119" s="180" t="s">
        <v>906</v>
      </c>
      <c r="D119" s="180" t="s">
        <v>1042</v>
      </c>
    </row>
    <row r="120" spans="2:4" x14ac:dyDescent="0.2">
      <c r="B120" s="180"/>
      <c r="C120" s="180" t="s">
        <v>906</v>
      </c>
      <c r="D120" s="180" t="s">
        <v>1195</v>
      </c>
    </row>
    <row r="121" spans="2:4" x14ac:dyDescent="0.2">
      <c r="B121" s="180"/>
      <c r="C121" s="180" t="s">
        <v>899</v>
      </c>
      <c r="D121" s="180" t="s">
        <v>1042</v>
      </c>
    </row>
    <row r="122" spans="2:4" x14ac:dyDescent="0.2">
      <c r="B122" s="180"/>
      <c r="C122" s="180" t="s">
        <v>899</v>
      </c>
      <c r="D122" s="180" t="s">
        <v>1195</v>
      </c>
    </row>
    <row r="123" spans="2:4" x14ac:dyDescent="0.2">
      <c r="B123" s="180"/>
      <c r="C123" s="180" t="s">
        <v>821</v>
      </c>
      <c r="D123" s="180" t="s">
        <v>1033</v>
      </c>
    </row>
    <row r="124" spans="2:4" x14ac:dyDescent="0.2">
      <c r="B124" s="180"/>
      <c r="C124" s="180" t="s">
        <v>821</v>
      </c>
      <c r="D124" s="180" t="s">
        <v>1049</v>
      </c>
    </row>
    <row r="125" spans="2:4" x14ac:dyDescent="0.2">
      <c r="B125" s="180"/>
      <c r="C125" s="180" t="s">
        <v>852</v>
      </c>
      <c r="D125" s="180" t="s">
        <v>1037</v>
      </c>
    </row>
    <row r="126" spans="2:4" x14ac:dyDescent="0.2">
      <c r="B126" s="180"/>
      <c r="C126" s="180" t="s">
        <v>852</v>
      </c>
      <c r="D126" s="180" t="s">
        <v>1045</v>
      </c>
    </row>
    <row r="127" spans="2:4" x14ac:dyDescent="0.2">
      <c r="B127" s="180"/>
      <c r="C127" s="180" t="s">
        <v>640</v>
      </c>
      <c r="D127" s="180" t="s">
        <v>1018</v>
      </c>
    </row>
    <row r="128" spans="2:4" x14ac:dyDescent="0.2">
      <c r="B128" s="180"/>
      <c r="C128" s="180" t="s">
        <v>640</v>
      </c>
      <c r="D128" s="180" t="s">
        <v>1028</v>
      </c>
    </row>
    <row r="129" spans="2:4" x14ac:dyDescent="0.2">
      <c r="B129" s="180"/>
      <c r="C129" s="180" t="s">
        <v>640</v>
      </c>
      <c r="D129" s="180" t="s">
        <v>1034</v>
      </c>
    </row>
    <row r="130" spans="2:4" x14ac:dyDescent="0.2">
      <c r="B130" s="180"/>
      <c r="C130" s="180" t="s">
        <v>825</v>
      </c>
      <c r="D130" s="180" t="s">
        <v>1033</v>
      </c>
    </row>
    <row r="131" spans="2:4" x14ac:dyDescent="0.2">
      <c r="B131" s="180"/>
      <c r="C131" s="180" t="s">
        <v>825</v>
      </c>
      <c r="D131" s="180" t="s">
        <v>1049</v>
      </c>
    </row>
    <row r="132" spans="2:4" x14ac:dyDescent="0.2">
      <c r="B132" s="180"/>
      <c r="C132" s="180" t="s">
        <v>858</v>
      </c>
      <c r="D132" s="180" t="s">
        <v>1037</v>
      </c>
    </row>
    <row r="133" spans="2:4" x14ac:dyDescent="0.2">
      <c r="B133" s="180"/>
      <c r="C133" s="180" t="s">
        <v>858</v>
      </c>
      <c r="D133" s="180" t="s">
        <v>1196</v>
      </c>
    </row>
    <row r="134" spans="2:4" x14ac:dyDescent="0.2">
      <c r="B134" s="180"/>
      <c r="C134" s="180" t="s">
        <v>854</v>
      </c>
      <c r="D134" s="180" t="s">
        <v>1037</v>
      </c>
    </row>
    <row r="135" spans="2:4" x14ac:dyDescent="0.2">
      <c r="B135" s="180"/>
      <c r="C135" s="180" t="s">
        <v>854</v>
      </c>
      <c r="D135" s="180" t="s">
        <v>1196</v>
      </c>
    </row>
    <row r="136" spans="2:4" x14ac:dyDescent="0.2">
      <c r="B136" s="180"/>
      <c r="C136" s="180" t="s">
        <v>843</v>
      </c>
      <c r="D136" s="180" t="s">
        <v>1035</v>
      </c>
    </row>
    <row r="137" spans="2:4" x14ac:dyDescent="0.2">
      <c r="B137" s="180"/>
      <c r="C137" s="180" t="s">
        <v>843</v>
      </c>
      <c r="D137" s="180" t="s">
        <v>1039</v>
      </c>
    </row>
    <row r="138" spans="2:4" x14ac:dyDescent="0.2">
      <c r="B138" s="180"/>
      <c r="C138" s="180" t="s">
        <v>862</v>
      </c>
      <c r="D138" s="180" t="s">
        <v>1038</v>
      </c>
    </row>
    <row r="139" spans="2:4" x14ac:dyDescent="0.2">
      <c r="B139" s="180"/>
      <c r="C139" s="180" t="s">
        <v>862</v>
      </c>
      <c r="D139" s="180" t="s">
        <v>1044</v>
      </c>
    </row>
    <row r="140" spans="2:4" x14ac:dyDescent="0.2">
      <c r="B140" s="180"/>
      <c r="C140" s="180" t="s">
        <v>862</v>
      </c>
      <c r="D140" s="180" t="s">
        <v>1195</v>
      </c>
    </row>
    <row r="141" spans="2:4" x14ac:dyDescent="0.2">
      <c r="B141" s="180"/>
      <c r="C141" s="180" t="s">
        <v>236</v>
      </c>
      <c r="D141" s="180" t="s">
        <v>1027</v>
      </c>
    </row>
    <row r="142" spans="2:4" x14ac:dyDescent="0.2">
      <c r="B142" s="180"/>
      <c r="C142" s="180" t="s">
        <v>236</v>
      </c>
      <c r="D142" s="180" t="s">
        <v>1049</v>
      </c>
    </row>
    <row r="143" spans="2:4" x14ac:dyDescent="0.2">
      <c r="B143" s="180"/>
      <c r="C143" s="180" t="s">
        <v>1148</v>
      </c>
      <c r="D143" s="180" t="s">
        <v>1027</v>
      </c>
    </row>
    <row r="144" spans="2:4" x14ac:dyDescent="0.2">
      <c r="B144" s="180"/>
      <c r="C144" s="180" t="s">
        <v>1148</v>
      </c>
      <c r="D144" s="180" t="s">
        <v>1049</v>
      </c>
    </row>
    <row r="145" spans="2:4" x14ac:dyDescent="0.2">
      <c r="B145" s="180"/>
      <c r="C145" s="180" t="s">
        <v>758</v>
      </c>
      <c r="D145" s="180" t="s">
        <v>1027</v>
      </c>
    </row>
    <row r="146" spans="2:4" x14ac:dyDescent="0.2">
      <c r="B146" s="180"/>
      <c r="C146" s="180" t="s">
        <v>758</v>
      </c>
      <c r="D146" s="180" t="s">
        <v>1049</v>
      </c>
    </row>
    <row r="147" spans="2:4" x14ac:dyDescent="0.2">
      <c r="B147" s="180"/>
      <c r="C147" s="180" t="s">
        <v>914</v>
      </c>
      <c r="D147" s="180" t="s">
        <v>1042</v>
      </c>
    </row>
    <row r="148" spans="2:4" x14ac:dyDescent="0.2">
      <c r="B148" s="180"/>
      <c r="C148" s="180" t="s">
        <v>914</v>
      </c>
      <c r="D148" s="180" t="s">
        <v>1195</v>
      </c>
    </row>
    <row r="149" spans="2:4" x14ac:dyDescent="0.2">
      <c r="B149" s="180"/>
      <c r="C149" s="180" t="s">
        <v>734</v>
      </c>
      <c r="D149" s="180" t="s">
        <v>1023</v>
      </c>
    </row>
    <row r="150" spans="2:4" x14ac:dyDescent="0.2">
      <c r="B150" s="180"/>
      <c r="C150" s="180" t="s">
        <v>734</v>
      </c>
      <c r="D150" s="180" t="s">
        <v>1039</v>
      </c>
    </row>
    <row r="151" spans="2:4" x14ac:dyDescent="0.2">
      <c r="B151" s="180"/>
      <c r="C151" s="180" t="s">
        <v>731</v>
      </c>
      <c r="D151" s="180" t="s">
        <v>1023</v>
      </c>
    </row>
    <row r="152" spans="2:4" x14ac:dyDescent="0.2">
      <c r="B152" s="180"/>
      <c r="C152" s="180" t="s">
        <v>731</v>
      </c>
      <c r="D152" s="180" t="s">
        <v>1039</v>
      </c>
    </row>
    <row r="153" spans="2:4" x14ac:dyDescent="0.2">
      <c r="B153" s="180"/>
      <c r="C153" s="180" t="s">
        <v>731</v>
      </c>
      <c r="D153" s="180" t="s">
        <v>1046</v>
      </c>
    </row>
    <row r="154" spans="2:4" x14ac:dyDescent="0.2">
      <c r="B154" s="180"/>
      <c r="C154" s="180" t="s">
        <v>868</v>
      </c>
      <c r="D154" s="180" t="s">
        <v>1039</v>
      </c>
    </row>
    <row r="155" spans="2:4" x14ac:dyDescent="0.2">
      <c r="B155" s="180"/>
      <c r="C155" s="180" t="s">
        <v>868</v>
      </c>
      <c r="D155" s="180" t="s">
        <v>1046</v>
      </c>
    </row>
    <row r="156" spans="2:4" x14ac:dyDescent="0.2">
      <c r="B156" s="180"/>
      <c r="C156" s="180" t="s">
        <v>855</v>
      </c>
      <c r="D156" s="180" t="s">
        <v>1037</v>
      </c>
    </row>
    <row r="157" spans="2:4" x14ac:dyDescent="0.2">
      <c r="B157" s="180"/>
      <c r="C157" s="180" t="s">
        <v>855</v>
      </c>
      <c r="D157" s="180" t="s">
        <v>1040</v>
      </c>
    </row>
    <row r="158" spans="2:4" x14ac:dyDescent="0.2">
      <c r="B158" s="180"/>
      <c r="C158" s="180" t="s">
        <v>855</v>
      </c>
      <c r="D158" s="180" t="s">
        <v>1045</v>
      </c>
    </row>
    <row r="159" spans="2:4" x14ac:dyDescent="0.2">
      <c r="B159" s="180"/>
      <c r="C159" s="180" t="s">
        <v>372</v>
      </c>
      <c r="D159" s="180" t="s">
        <v>1038</v>
      </c>
    </row>
    <row r="160" spans="2:4" x14ac:dyDescent="0.2">
      <c r="B160" s="180"/>
      <c r="C160" s="180" t="s">
        <v>372</v>
      </c>
      <c r="D160" s="180" t="s">
        <v>1044</v>
      </c>
    </row>
    <row r="161" spans="2:4" x14ac:dyDescent="0.2">
      <c r="B161" s="180"/>
      <c r="C161" s="180" t="s">
        <v>382</v>
      </c>
      <c r="D161" s="180" t="s">
        <v>1038</v>
      </c>
    </row>
    <row r="162" spans="2:4" x14ac:dyDescent="0.2">
      <c r="B162" s="180"/>
      <c r="C162" s="180" t="s">
        <v>382</v>
      </c>
      <c r="D162" s="180" t="s">
        <v>1044</v>
      </c>
    </row>
    <row r="163" spans="2:4" x14ac:dyDescent="0.2">
      <c r="B163" s="180"/>
      <c r="C163" s="180" t="s">
        <v>861</v>
      </c>
      <c r="D163" s="180" t="s">
        <v>1038</v>
      </c>
    </row>
    <row r="164" spans="2:4" x14ac:dyDescent="0.2">
      <c r="B164" s="180"/>
      <c r="C164" s="180" t="s">
        <v>861</v>
      </c>
      <c r="D164" s="180" t="s">
        <v>1044</v>
      </c>
    </row>
    <row r="165" spans="2:4" x14ac:dyDescent="0.2">
      <c r="B165" s="180"/>
      <c r="C165" s="180" t="s">
        <v>889</v>
      </c>
      <c r="D165" s="180" t="s">
        <v>1041</v>
      </c>
    </row>
    <row r="166" spans="2:4" x14ac:dyDescent="0.2">
      <c r="B166" s="180"/>
      <c r="C166" s="180" t="s">
        <v>889</v>
      </c>
      <c r="D166" s="180" t="s">
        <v>1051</v>
      </c>
    </row>
    <row r="167" spans="2:4" x14ac:dyDescent="0.2">
      <c r="B167" s="180"/>
      <c r="C167" s="180" t="s">
        <v>786</v>
      </c>
      <c r="D167" s="180" t="s">
        <v>1031</v>
      </c>
    </row>
    <row r="168" spans="2:4" x14ac:dyDescent="0.2">
      <c r="B168" s="180"/>
      <c r="C168" s="180" t="s">
        <v>786</v>
      </c>
      <c r="D168" s="180" t="s">
        <v>1042</v>
      </c>
    </row>
    <row r="169" spans="2:4" x14ac:dyDescent="0.2">
      <c r="B169" s="180"/>
      <c r="C169" s="180" t="s">
        <v>786</v>
      </c>
      <c r="D169" s="180" t="s">
        <v>1195</v>
      </c>
    </row>
    <row r="170" spans="2:4" x14ac:dyDescent="0.2">
      <c r="B170" s="180"/>
      <c r="C170" s="180" t="s">
        <v>430</v>
      </c>
      <c r="D170" s="180" t="s">
        <v>1041</v>
      </c>
    </row>
    <row r="171" spans="2:4" x14ac:dyDescent="0.2">
      <c r="B171" s="180"/>
      <c r="C171" s="180" t="s">
        <v>430</v>
      </c>
      <c r="D171" s="180" t="s">
        <v>1051</v>
      </c>
    </row>
    <row r="172" spans="2:4" x14ac:dyDescent="0.2">
      <c r="B172" s="180"/>
      <c r="C172" s="180" t="s">
        <v>666</v>
      </c>
      <c r="D172" s="180" t="s">
        <v>1019</v>
      </c>
    </row>
    <row r="173" spans="2:4" x14ac:dyDescent="0.2">
      <c r="B173" s="180"/>
      <c r="C173" s="180" t="s">
        <v>666</v>
      </c>
      <c r="D173" s="180" t="s">
        <v>1041</v>
      </c>
    </row>
    <row r="174" spans="2:4" x14ac:dyDescent="0.2">
      <c r="B174" s="180"/>
      <c r="C174" s="180" t="s">
        <v>85</v>
      </c>
      <c r="D174" s="180" t="s">
        <v>1016</v>
      </c>
    </row>
    <row r="175" spans="2:4" x14ac:dyDescent="0.2">
      <c r="B175" s="180"/>
      <c r="C175" s="180" t="s">
        <v>85</v>
      </c>
      <c r="D175" s="180" t="s">
        <v>1027</v>
      </c>
    </row>
    <row r="176" spans="2:4" x14ac:dyDescent="0.2">
      <c r="B176" s="180"/>
      <c r="C176" s="180" t="s">
        <v>610</v>
      </c>
      <c r="D176" s="180" t="s">
        <v>1016</v>
      </c>
    </row>
    <row r="177" spans="2:4" x14ac:dyDescent="0.2">
      <c r="B177" s="180"/>
      <c r="C177" s="180" t="s">
        <v>610</v>
      </c>
      <c r="D177" s="180" t="s">
        <v>1027</v>
      </c>
    </row>
    <row r="178" spans="2:4" x14ac:dyDescent="0.2">
      <c r="B178" s="180"/>
      <c r="C178" s="180" t="s">
        <v>91</v>
      </c>
      <c r="D178" s="180" t="s">
        <v>1016</v>
      </c>
    </row>
    <row r="179" spans="2:4" x14ac:dyDescent="0.2">
      <c r="B179" s="180"/>
      <c r="C179" s="180" t="s">
        <v>91</v>
      </c>
      <c r="D179" s="180" t="s">
        <v>1027</v>
      </c>
    </row>
    <row r="180" spans="2:4" x14ac:dyDescent="0.2">
      <c r="B180" s="180"/>
      <c r="C180" s="180" t="s">
        <v>605</v>
      </c>
      <c r="D180" s="180" t="s">
        <v>1016</v>
      </c>
    </row>
    <row r="181" spans="2:4" x14ac:dyDescent="0.2">
      <c r="B181" s="180"/>
      <c r="C181" s="180" t="s">
        <v>605</v>
      </c>
      <c r="D181" s="180" t="s">
        <v>1027</v>
      </c>
    </row>
    <row r="182" spans="2:4" x14ac:dyDescent="0.2">
      <c r="B182" s="180"/>
      <c r="C182" s="180" t="s">
        <v>707</v>
      </c>
      <c r="D182" s="180" t="s">
        <v>1022</v>
      </c>
    </row>
    <row r="183" spans="2:4" x14ac:dyDescent="0.2">
      <c r="B183" s="180"/>
      <c r="C183" s="180" t="s">
        <v>707</v>
      </c>
      <c r="D183" s="180" t="s">
        <v>1041</v>
      </c>
    </row>
    <row r="184" spans="2:4" x14ac:dyDescent="0.2">
      <c r="B184" s="180"/>
      <c r="C184" s="180" t="s">
        <v>108</v>
      </c>
      <c r="D184" s="180" t="s">
        <v>1018</v>
      </c>
    </row>
    <row r="185" spans="2:4" x14ac:dyDescent="0.2">
      <c r="B185" s="180"/>
      <c r="C185" s="180" t="s">
        <v>108</v>
      </c>
      <c r="D185" s="180" t="s">
        <v>1028</v>
      </c>
    </row>
    <row r="186" spans="2:4" x14ac:dyDescent="0.2">
      <c r="B186" s="180"/>
      <c r="C186" s="180" t="s">
        <v>248</v>
      </c>
      <c r="D186" s="180" t="s">
        <v>1027</v>
      </c>
    </row>
    <row r="187" spans="2:4" x14ac:dyDescent="0.2">
      <c r="B187" s="180"/>
      <c r="C187" s="180" t="s">
        <v>248</v>
      </c>
      <c r="D187" s="180" t="s">
        <v>1049</v>
      </c>
    </row>
    <row r="188" spans="2:4" x14ac:dyDescent="0.2">
      <c r="B188" s="180"/>
      <c r="C188" s="180" t="s">
        <v>1359</v>
      </c>
      <c r="D188" s="180" t="s">
        <v>1025</v>
      </c>
    </row>
    <row r="189" spans="2:4" x14ac:dyDescent="0.2">
      <c r="B189" s="180"/>
      <c r="C189" s="180" t="s">
        <v>1359</v>
      </c>
      <c r="D189" s="180" t="s">
        <v>1032</v>
      </c>
    </row>
    <row r="190" spans="2:4" x14ac:dyDescent="0.2">
      <c r="B190" s="180"/>
      <c r="C190" s="180" t="s">
        <v>742</v>
      </c>
      <c r="D190" s="180" t="s">
        <v>1025</v>
      </c>
    </row>
    <row r="191" spans="2:4" x14ac:dyDescent="0.2">
      <c r="B191" s="180"/>
      <c r="C191" s="180" t="s">
        <v>742</v>
      </c>
      <c r="D191" s="180" t="s">
        <v>1032</v>
      </c>
    </row>
    <row r="192" spans="2:4" x14ac:dyDescent="0.2">
      <c r="B192" s="180"/>
      <c r="C192" s="180" t="s">
        <v>638</v>
      </c>
      <c r="D192" s="180" t="s">
        <v>1018</v>
      </c>
    </row>
    <row r="193" spans="2:4" x14ac:dyDescent="0.2">
      <c r="B193" s="180"/>
      <c r="C193" s="180" t="s">
        <v>638</v>
      </c>
      <c r="D193" s="180" t="s">
        <v>1028</v>
      </c>
    </row>
    <row r="194" spans="2:4" x14ac:dyDescent="0.2">
      <c r="B194" s="180"/>
      <c r="C194" s="180" t="s">
        <v>237</v>
      </c>
      <c r="D194" s="180" t="s">
        <v>1027</v>
      </c>
    </row>
    <row r="195" spans="2:4" x14ac:dyDescent="0.2">
      <c r="B195" s="180"/>
      <c r="C195" s="180" t="s">
        <v>237</v>
      </c>
      <c r="D195" s="180" t="s">
        <v>1049</v>
      </c>
    </row>
    <row r="196" spans="2:4" x14ac:dyDescent="0.2">
      <c r="B196" s="180"/>
      <c r="C196" s="180" t="s">
        <v>757</v>
      </c>
      <c r="D196" s="180" t="s">
        <v>1027</v>
      </c>
    </row>
    <row r="197" spans="2:4" x14ac:dyDescent="0.2">
      <c r="B197" s="180"/>
      <c r="C197" s="180" t="s">
        <v>757</v>
      </c>
      <c r="D197" s="180" t="s">
        <v>1049</v>
      </c>
    </row>
    <row r="198" spans="2:4" x14ac:dyDescent="0.2">
      <c r="B198" s="180"/>
      <c r="C198" s="180" t="s">
        <v>626</v>
      </c>
      <c r="D198" s="180" t="s">
        <v>1017</v>
      </c>
    </row>
    <row r="199" spans="2:4" x14ac:dyDescent="0.2">
      <c r="B199" s="180"/>
      <c r="C199" s="180" t="s">
        <v>626</v>
      </c>
      <c r="D199" s="180" t="s">
        <v>1053</v>
      </c>
    </row>
    <row r="200" spans="2:4" x14ac:dyDescent="0.2">
      <c r="B200" s="180"/>
      <c r="C200" s="1" t="s">
        <v>1002</v>
      </c>
      <c r="D200" s="1" t="s">
        <v>1017</v>
      </c>
    </row>
    <row r="201" spans="2:4" x14ac:dyDescent="0.2">
      <c r="B201" s="180"/>
      <c r="C201" s="1" t="s">
        <v>1002</v>
      </c>
      <c r="D201" s="1" t="s">
        <v>1053</v>
      </c>
    </row>
    <row r="202" spans="2:4" x14ac:dyDescent="0.2">
      <c r="B202" s="180"/>
      <c r="C202" s="180" t="s">
        <v>86</v>
      </c>
      <c r="D202" s="180" t="s">
        <v>1016</v>
      </c>
    </row>
    <row r="203" spans="2:4" x14ac:dyDescent="0.2">
      <c r="B203" s="180"/>
      <c r="C203" s="180" t="s">
        <v>86</v>
      </c>
      <c r="D203" s="180" t="s">
        <v>1027</v>
      </c>
    </row>
    <row r="204" spans="2:4" x14ac:dyDescent="0.2">
      <c r="B204" s="180"/>
      <c r="C204" s="180" t="s">
        <v>238</v>
      </c>
      <c r="D204" s="180" t="s">
        <v>1016</v>
      </c>
    </row>
    <row r="205" spans="2:4" x14ac:dyDescent="0.2">
      <c r="B205" s="180"/>
      <c r="C205" s="180" t="s">
        <v>238</v>
      </c>
      <c r="D205" s="180" t="s">
        <v>1027</v>
      </c>
    </row>
    <row r="206" spans="2:4" x14ac:dyDescent="0.2">
      <c r="B206" s="180"/>
      <c r="C206" s="180" t="s">
        <v>606</v>
      </c>
      <c r="D206" s="180" t="s">
        <v>1016</v>
      </c>
    </row>
    <row r="207" spans="2:4" x14ac:dyDescent="0.2">
      <c r="B207" s="180"/>
      <c r="C207" s="180" t="s">
        <v>606</v>
      </c>
      <c r="D207" s="180" t="s">
        <v>1027</v>
      </c>
    </row>
    <row r="208" spans="2:4" x14ac:dyDescent="0.2">
      <c r="B208" s="180"/>
      <c r="C208" s="180" t="s">
        <v>606</v>
      </c>
      <c r="D208" s="180" t="s">
        <v>1049</v>
      </c>
    </row>
    <row r="209" spans="2:4" x14ac:dyDescent="0.2">
      <c r="B209" s="180"/>
      <c r="C209" s="180" t="s">
        <v>239</v>
      </c>
      <c r="D209" s="180" t="s">
        <v>1027</v>
      </c>
    </row>
    <row r="210" spans="2:4" x14ac:dyDescent="0.2">
      <c r="B210" s="180"/>
      <c r="C210" s="180" t="s">
        <v>239</v>
      </c>
      <c r="D210" s="180" t="s">
        <v>1036</v>
      </c>
    </row>
    <row r="211" spans="2:4" x14ac:dyDescent="0.2">
      <c r="B211" s="180"/>
      <c r="C211" s="180" t="s">
        <v>692</v>
      </c>
      <c r="D211" s="180" t="s">
        <v>1057</v>
      </c>
    </row>
    <row r="212" spans="2:4" x14ac:dyDescent="0.2">
      <c r="B212" s="180"/>
      <c r="C212" s="180" t="s">
        <v>692</v>
      </c>
      <c r="D212" s="180" t="s">
        <v>1029</v>
      </c>
    </row>
    <row r="213" spans="2:4" x14ac:dyDescent="0.2">
      <c r="B213" s="180"/>
      <c r="C213" s="180" t="s">
        <v>692</v>
      </c>
      <c r="D213" s="180" t="s">
        <v>1047</v>
      </c>
    </row>
    <row r="214" spans="2:4" x14ac:dyDescent="0.2">
      <c r="B214" s="180"/>
      <c r="C214" s="180" t="s">
        <v>767</v>
      </c>
      <c r="D214" s="180" t="s">
        <v>1029</v>
      </c>
    </row>
    <row r="215" spans="2:4" x14ac:dyDescent="0.2">
      <c r="B215" s="180"/>
      <c r="C215" s="180" t="s">
        <v>767</v>
      </c>
      <c r="D215" s="180" t="s">
        <v>1040</v>
      </c>
    </row>
    <row r="216" spans="2:4" x14ac:dyDescent="0.2">
      <c r="B216" s="180"/>
      <c r="C216" s="180" t="s">
        <v>767</v>
      </c>
      <c r="D216" s="180" t="s">
        <v>1045</v>
      </c>
    </row>
    <row r="217" spans="2:4" x14ac:dyDescent="0.2">
      <c r="B217" s="180"/>
      <c r="C217" s="180" t="s">
        <v>767</v>
      </c>
      <c r="D217" s="180" t="s">
        <v>1047</v>
      </c>
    </row>
    <row r="218" spans="2:4" x14ac:dyDescent="0.2">
      <c r="B218" s="180"/>
      <c r="C218" s="180" t="s">
        <v>780</v>
      </c>
      <c r="D218" s="180" t="s">
        <v>1029</v>
      </c>
    </row>
    <row r="219" spans="2:4" x14ac:dyDescent="0.2">
      <c r="B219" s="180"/>
      <c r="C219" s="180" t="s">
        <v>780</v>
      </c>
      <c r="D219" s="180" t="s">
        <v>1196</v>
      </c>
    </row>
    <row r="220" spans="2:4" x14ac:dyDescent="0.2">
      <c r="B220" s="180"/>
      <c r="C220" s="180" t="s">
        <v>769</v>
      </c>
      <c r="D220" s="180" t="s">
        <v>1029</v>
      </c>
    </row>
    <row r="221" spans="2:4" x14ac:dyDescent="0.2">
      <c r="B221" s="180"/>
      <c r="C221" s="180" t="s">
        <v>769</v>
      </c>
      <c r="D221" s="180" t="s">
        <v>1196</v>
      </c>
    </row>
    <row r="222" spans="2:4" x14ac:dyDescent="0.2">
      <c r="B222" s="180"/>
      <c r="C222" s="180" t="s">
        <v>791</v>
      </c>
      <c r="D222" s="180" t="s">
        <v>1031</v>
      </c>
    </row>
    <row r="223" spans="2:4" x14ac:dyDescent="0.2">
      <c r="B223" s="180"/>
      <c r="C223" s="180" t="s">
        <v>791</v>
      </c>
      <c r="D223" s="180" t="s">
        <v>1195</v>
      </c>
    </row>
    <row r="224" spans="2:4" x14ac:dyDescent="0.2">
      <c r="B224" s="180"/>
      <c r="C224" s="180" t="s">
        <v>813</v>
      </c>
      <c r="D224" s="180" t="s">
        <v>1032</v>
      </c>
    </row>
    <row r="225" spans="2:4" x14ac:dyDescent="0.2">
      <c r="B225" s="180"/>
      <c r="C225" s="180" t="s">
        <v>813</v>
      </c>
      <c r="D225" s="180" t="s">
        <v>1043</v>
      </c>
    </row>
    <row r="226" spans="2:4" x14ac:dyDescent="0.2">
      <c r="B226" s="180"/>
      <c r="C226" s="180" t="s">
        <v>787</v>
      </c>
      <c r="D226" s="180" t="s">
        <v>1031</v>
      </c>
    </row>
    <row r="227" spans="2:4" x14ac:dyDescent="0.2">
      <c r="B227" s="180"/>
      <c r="C227" s="180" t="s">
        <v>787</v>
      </c>
      <c r="D227" s="180" t="s">
        <v>1038</v>
      </c>
    </row>
    <row r="228" spans="2:4" x14ac:dyDescent="0.2">
      <c r="B228" s="180"/>
      <c r="C228" s="180" t="s">
        <v>787</v>
      </c>
      <c r="D228" s="180" t="s">
        <v>1044</v>
      </c>
    </row>
    <row r="229" spans="2:4" x14ac:dyDescent="0.2">
      <c r="B229" s="180"/>
      <c r="C229" s="180" t="s">
        <v>446</v>
      </c>
      <c r="D229" s="180" t="s">
        <v>1042</v>
      </c>
    </row>
    <row r="230" spans="2:4" x14ac:dyDescent="0.2">
      <c r="B230" s="180"/>
      <c r="C230" s="180" t="s">
        <v>446</v>
      </c>
      <c r="D230" s="180" t="s">
        <v>1195</v>
      </c>
    </row>
    <row r="231" spans="2:4" x14ac:dyDescent="0.2">
      <c r="B231" s="180"/>
      <c r="C231" s="180" t="s">
        <v>785</v>
      </c>
      <c r="D231" s="180" t="s">
        <v>1031</v>
      </c>
    </row>
    <row r="232" spans="2:4" x14ac:dyDescent="0.2">
      <c r="B232" s="180"/>
      <c r="C232" s="180" t="s">
        <v>785</v>
      </c>
      <c r="D232" s="180" t="s">
        <v>1044</v>
      </c>
    </row>
    <row r="233" spans="2:4" x14ac:dyDescent="0.2">
      <c r="B233" s="180"/>
      <c r="C233" s="180" t="s">
        <v>785</v>
      </c>
      <c r="D233" s="180" t="s">
        <v>1195</v>
      </c>
    </row>
    <row r="234" spans="2:4" x14ac:dyDescent="0.2">
      <c r="B234" s="180"/>
      <c r="C234" s="180" t="s">
        <v>240</v>
      </c>
      <c r="D234" s="180" t="s">
        <v>1027</v>
      </c>
    </row>
    <row r="235" spans="2:4" x14ac:dyDescent="0.2">
      <c r="B235" s="180"/>
      <c r="C235" s="180" t="s">
        <v>240</v>
      </c>
      <c r="D235" s="180" t="s">
        <v>1050</v>
      </c>
    </row>
    <row r="236" spans="2:4" x14ac:dyDescent="0.2">
      <c r="B236" s="180"/>
      <c r="C236" s="180" t="s">
        <v>961</v>
      </c>
      <c r="D236" s="180" t="s">
        <v>1050</v>
      </c>
    </row>
    <row r="237" spans="2:4" x14ac:dyDescent="0.2">
      <c r="B237" s="180"/>
      <c r="C237" s="180" t="s">
        <v>961</v>
      </c>
      <c r="D237" s="180" t="s">
        <v>1054</v>
      </c>
    </row>
    <row r="238" spans="2:4" x14ac:dyDescent="0.2">
      <c r="B238" s="180"/>
      <c r="C238" s="180" t="s">
        <v>667</v>
      </c>
      <c r="D238" s="180" t="s">
        <v>1019</v>
      </c>
    </row>
    <row r="239" spans="2:4" x14ac:dyDescent="0.2">
      <c r="B239" s="180"/>
      <c r="C239" s="180" t="s">
        <v>667</v>
      </c>
      <c r="D239" s="180" t="s">
        <v>1041</v>
      </c>
    </row>
    <row r="240" spans="2:4" x14ac:dyDescent="0.2">
      <c r="B240" s="180"/>
      <c r="C240" s="180" t="s">
        <v>866</v>
      </c>
      <c r="D240" s="180" t="s">
        <v>1038</v>
      </c>
    </row>
    <row r="241" spans="2:4" x14ac:dyDescent="0.2">
      <c r="B241" s="180"/>
      <c r="C241" s="180" t="s">
        <v>866</v>
      </c>
      <c r="D241" s="180" t="s">
        <v>1044</v>
      </c>
    </row>
    <row r="242" spans="2:4" x14ac:dyDescent="0.2">
      <c r="B242" s="180"/>
      <c r="C242" s="180" t="s">
        <v>866</v>
      </c>
      <c r="D242" s="180" t="s">
        <v>1195</v>
      </c>
    </row>
    <row r="243" spans="2:4" x14ac:dyDescent="0.2">
      <c r="B243" s="180"/>
      <c r="C243" s="180" t="s">
        <v>641</v>
      </c>
      <c r="D243" s="180" t="s">
        <v>1018</v>
      </c>
    </row>
    <row r="244" spans="2:4" x14ac:dyDescent="0.2">
      <c r="B244" s="180"/>
      <c r="C244" s="180" t="s">
        <v>641</v>
      </c>
      <c r="D244" s="180" t="s">
        <v>1034</v>
      </c>
    </row>
    <row r="245" spans="2:4" x14ac:dyDescent="0.2">
      <c r="B245" s="180"/>
      <c r="C245" s="180" t="s">
        <v>463</v>
      </c>
      <c r="D245" s="180" t="s">
        <v>1044</v>
      </c>
    </row>
    <row r="246" spans="2:4" x14ac:dyDescent="0.2">
      <c r="B246" s="180"/>
      <c r="C246" s="180" t="s">
        <v>463</v>
      </c>
      <c r="D246" s="180" t="s">
        <v>1195</v>
      </c>
    </row>
    <row r="247" spans="2:4" x14ac:dyDescent="0.2">
      <c r="B247" s="180"/>
      <c r="C247" s="180" t="s">
        <v>923</v>
      </c>
      <c r="D247" s="180" t="s">
        <v>1044</v>
      </c>
    </row>
    <row r="248" spans="2:4" x14ac:dyDescent="0.2">
      <c r="B248" s="180"/>
      <c r="C248" s="180" t="s">
        <v>923</v>
      </c>
      <c r="D248" s="180" t="s">
        <v>1195</v>
      </c>
    </row>
    <row r="249" spans="2:4" x14ac:dyDescent="0.2">
      <c r="B249" s="180"/>
      <c r="C249" s="180" t="s">
        <v>727</v>
      </c>
      <c r="D249" s="180" t="s">
        <v>1023</v>
      </c>
    </row>
    <row r="250" spans="2:4" x14ac:dyDescent="0.2">
      <c r="B250" s="180"/>
      <c r="C250" s="180" t="s">
        <v>727</v>
      </c>
      <c r="D250" s="180" t="s">
        <v>1039</v>
      </c>
    </row>
    <row r="251" spans="2:4" x14ac:dyDescent="0.2">
      <c r="B251" s="180"/>
      <c r="C251" s="180" t="s">
        <v>775</v>
      </c>
      <c r="D251" s="180" t="s">
        <v>1029</v>
      </c>
    </row>
    <row r="252" spans="2:4" x14ac:dyDescent="0.2">
      <c r="B252" s="180"/>
      <c r="C252" s="180" t="s">
        <v>775</v>
      </c>
      <c r="D252" s="180" t="s">
        <v>1196</v>
      </c>
    </row>
    <row r="253" spans="2:4" x14ac:dyDescent="0.2">
      <c r="B253" s="180"/>
      <c r="C253" s="180" t="s">
        <v>628</v>
      </c>
      <c r="D253" s="180" t="s">
        <v>1017</v>
      </c>
    </row>
    <row r="254" spans="2:4" x14ac:dyDescent="0.2">
      <c r="B254" s="180"/>
      <c r="C254" s="180" t="s">
        <v>628</v>
      </c>
      <c r="D254" s="180" t="s">
        <v>1038</v>
      </c>
    </row>
    <row r="255" spans="2:4" x14ac:dyDescent="0.2">
      <c r="B255" s="180"/>
      <c r="C255" s="180" t="s">
        <v>679</v>
      </c>
      <c r="D255" s="180" t="s">
        <v>1020</v>
      </c>
    </row>
    <row r="256" spans="2:4" x14ac:dyDescent="0.2">
      <c r="B256" s="180"/>
      <c r="C256" s="180" t="s">
        <v>679</v>
      </c>
      <c r="D256" s="180" t="s">
        <v>1023</v>
      </c>
    </row>
    <row r="257" spans="2:4" x14ac:dyDescent="0.2">
      <c r="B257" s="180"/>
      <c r="C257" s="180" t="s">
        <v>206</v>
      </c>
      <c r="D257" s="180" t="s">
        <v>1023</v>
      </c>
    </row>
    <row r="258" spans="2:4" x14ac:dyDescent="0.2">
      <c r="B258" s="180"/>
      <c r="C258" s="180" t="s">
        <v>206</v>
      </c>
      <c r="D258" s="180" t="s">
        <v>1039</v>
      </c>
    </row>
    <row r="259" spans="2:4" x14ac:dyDescent="0.2">
      <c r="B259" s="180"/>
      <c r="C259" s="180" t="s">
        <v>890</v>
      </c>
      <c r="D259" s="180" t="s">
        <v>1041</v>
      </c>
    </row>
    <row r="260" spans="2:4" x14ac:dyDescent="0.2">
      <c r="B260" s="180"/>
      <c r="C260" s="180" t="s">
        <v>890</v>
      </c>
      <c r="D260" s="180" t="s">
        <v>1051</v>
      </c>
    </row>
    <row r="261" spans="2:4" x14ac:dyDescent="0.2">
      <c r="B261" s="180"/>
      <c r="C261" s="180" t="s">
        <v>882</v>
      </c>
      <c r="D261" s="180" t="s">
        <v>1040</v>
      </c>
    </row>
    <row r="262" spans="2:4" x14ac:dyDescent="0.2">
      <c r="B262" s="180"/>
      <c r="C262" s="180" t="s">
        <v>882</v>
      </c>
      <c r="D262" s="180" t="s">
        <v>1045</v>
      </c>
    </row>
    <row r="263" spans="2:4" x14ac:dyDescent="0.2">
      <c r="B263" s="180"/>
      <c r="C263" s="180" t="s">
        <v>1266</v>
      </c>
      <c r="D263" s="180" t="s">
        <v>1040</v>
      </c>
    </row>
    <row r="264" spans="2:4" x14ac:dyDescent="0.2">
      <c r="B264" s="180"/>
      <c r="C264" s="180" t="s">
        <v>1266</v>
      </c>
      <c r="D264" s="180" t="s">
        <v>1196</v>
      </c>
    </row>
    <row r="265" spans="2:4" x14ac:dyDescent="0.2">
      <c r="B265" s="180"/>
      <c r="C265" s="180" t="s">
        <v>657</v>
      </c>
      <c r="D265" s="180" t="s">
        <v>1194</v>
      </c>
    </row>
    <row r="266" spans="2:4" x14ac:dyDescent="0.2">
      <c r="B266" s="180"/>
      <c r="C266" s="180" t="s">
        <v>657</v>
      </c>
      <c r="D266" s="180" t="s">
        <v>1023</v>
      </c>
    </row>
    <row r="267" spans="2:4" x14ac:dyDescent="0.2">
      <c r="B267" s="180"/>
      <c r="C267" s="180" t="s">
        <v>657</v>
      </c>
      <c r="D267" s="180" t="s">
        <v>1028</v>
      </c>
    </row>
    <row r="268" spans="2:4" x14ac:dyDescent="0.2">
      <c r="B268" s="180"/>
      <c r="C268" s="180" t="s">
        <v>913</v>
      </c>
      <c r="D268" s="180" t="s">
        <v>1042</v>
      </c>
    </row>
    <row r="269" spans="2:4" x14ac:dyDescent="0.2">
      <c r="B269" s="180"/>
      <c r="C269" s="180" t="s">
        <v>913</v>
      </c>
      <c r="D269" s="180" t="s">
        <v>1195</v>
      </c>
    </row>
    <row r="270" spans="2:4" x14ac:dyDescent="0.2">
      <c r="B270" s="180"/>
      <c r="C270" s="180" t="s">
        <v>294</v>
      </c>
      <c r="D270" s="180" t="s">
        <v>1031</v>
      </c>
    </row>
    <row r="271" spans="2:4" x14ac:dyDescent="0.2">
      <c r="B271" s="180"/>
      <c r="C271" s="180" t="s">
        <v>294</v>
      </c>
      <c r="D271" s="180" t="s">
        <v>1195</v>
      </c>
    </row>
    <row r="272" spans="2:4" x14ac:dyDescent="0.2">
      <c r="B272" s="180"/>
      <c r="C272" s="180" t="s">
        <v>421</v>
      </c>
      <c r="D272" s="180" t="s">
        <v>1022</v>
      </c>
    </row>
    <row r="273" spans="2:4" x14ac:dyDescent="0.2">
      <c r="B273" s="180"/>
      <c r="C273" s="180" t="s">
        <v>421</v>
      </c>
      <c r="D273" s="180" t="s">
        <v>1041</v>
      </c>
    </row>
    <row r="274" spans="2:4" x14ac:dyDescent="0.2">
      <c r="B274" s="180"/>
      <c r="C274" s="180" t="s">
        <v>665</v>
      </c>
      <c r="D274" s="180" t="s">
        <v>1019</v>
      </c>
    </row>
    <row r="275" spans="2:4" x14ac:dyDescent="0.2">
      <c r="B275" s="180"/>
      <c r="C275" s="180" t="s">
        <v>665</v>
      </c>
      <c r="D275" s="180" t="s">
        <v>1051</v>
      </c>
    </row>
    <row r="276" spans="2:4" x14ac:dyDescent="0.2">
      <c r="B276" s="180"/>
      <c r="C276" s="180" t="s">
        <v>422</v>
      </c>
      <c r="D276" s="180" t="s">
        <v>1019</v>
      </c>
    </row>
    <row r="277" spans="2:4" x14ac:dyDescent="0.2">
      <c r="B277" s="180"/>
      <c r="C277" s="180" t="s">
        <v>422</v>
      </c>
      <c r="D277" s="180" t="s">
        <v>1041</v>
      </c>
    </row>
    <row r="278" spans="2:4" x14ac:dyDescent="0.2">
      <c r="B278" s="180"/>
      <c r="C278" s="180" t="s">
        <v>241</v>
      </c>
      <c r="D278" s="180" t="s">
        <v>1016</v>
      </c>
    </row>
    <row r="279" spans="2:4" x14ac:dyDescent="0.2">
      <c r="B279" s="180"/>
      <c r="C279" s="180" t="s">
        <v>241</v>
      </c>
      <c r="D279" s="180" t="s">
        <v>1027</v>
      </c>
    </row>
    <row r="280" spans="2:4" x14ac:dyDescent="0.2">
      <c r="B280" s="180"/>
      <c r="C280" s="180" t="s">
        <v>618</v>
      </c>
      <c r="D280" s="180" t="s">
        <v>1016</v>
      </c>
    </row>
    <row r="281" spans="2:4" x14ac:dyDescent="0.2">
      <c r="B281" s="180"/>
      <c r="C281" s="180" t="s">
        <v>618</v>
      </c>
      <c r="D281" s="180" t="s">
        <v>1027</v>
      </c>
    </row>
    <row r="282" spans="2:4" x14ac:dyDescent="0.2">
      <c r="B282" s="180"/>
      <c r="C282" s="180" t="s">
        <v>846</v>
      </c>
      <c r="D282" s="180" t="s">
        <v>1035</v>
      </c>
    </row>
    <row r="283" spans="2:4" x14ac:dyDescent="0.2">
      <c r="B283" s="180"/>
      <c r="C283" s="180" t="s">
        <v>846</v>
      </c>
      <c r="D283" s="180" t="s">
        <v>1046</v>
      </c>
    </row>
    <row r="284" spans="2:4" x14ac:dyDescent="0.2">
      <c r="B284" s="180"/>
      <c r="C284" s="180" t="s">
        <v>838</v>
      </c>
      <c r="D284" s="180" t="s">
        <v>1035</v>
      </c>
    </row>
    <row r="285" spans="2:4" x14ac:dyDescent="0.2">
      <c r="B285" s="180"/>
      <c r="C285" s="180" t="s">
        <v>838</v>
      </c>
      <c r="D285" s="180" t="s">
        <v>1046</v>
      </c>
    </row>
    <row r="286" spans="2:4" x14ac:dyDescent="0.2">
      <c r="B286" s="180"/>
      <c r="C286" s="180" t="s">
        <v>799</v>
      </c>
      <c r="D286" s="180" t="s">
        <v>1031</v>
      </c>
    </row>
    <row r="287" spans="2:4" x14ac:dyDescent="0.2">
      <c r="B287" s="180"/>
      <c r="C287" s="180" t="s">
        <v>799</v>
      </c>
      <c r="D287" s="180" t="s">
        <v>1195</v>
      </c>
    </row>
    <row r="288" spans="2:4" x14ac:dyDescent="0.2">
      <c r="B288" s="180"/>
      <c r="C288" s="180" t="s">
        <v>146</v>
      </c>
      <c r="D288" s="180" t="s">
        <v>1020</v>
      </c>
    </row>
    <row r="289" spans="2:4" x14ac:dyDescent="0.2">
      <c r="B289" s="180"/>
      <c r="C289" s="180" t="s">
        <v>146</v>
      </c>
      <c r="D289" s="180" t="s">
        <v>1023</v>
      </c>
    </row>
    <row r="290" spans="2:4" x14ac:dyDescent="0.2">
      <c r="B290" s="180"/>
      <c r="C290" s="180" t="s">
        <v>486</v>
      </c>
      <c r="D290" s="180" t="s">
        <v>1035</v>
      </c>
    </row>
    <row r="291" spans="2:4" x14ac:dyDescent="0.2">
      <c r="B291" s="180"/>
      <c r="C291" s="180" t="s">
        <v>486</v>
      </c>
      <c r="D291" s="180" t="s">
        <v>1046</v>
      </c>
    </row>
    <row r="292" spans="2:4" x14ac:dyDescent="0.2">
      <c r="B292" s="180"/>
      <c r="C292" s="180" t="s">
        <v>261</v>
      </c>
      <c r="D292" s="180" t="s">
        <v>1028</v>
      </c>
    </row>
    <row r="293" spans="2:4" x14ac:dyDescent="0.2">
      <c r="B293" s="180"/>
      <c r="C293" s="180" t="s">
        <v>261</v>
      </c>
      <c r="D293" s="180" t="s">
        <v>1034</v>
      </c>
    </row>
    <row r="294" spans="2:4" x14ac:dyDescent="0.2">
      <c r="B294" s="180"/>
      <c r="C294" s="180" t="s">
        <v>952</v>
      </c>
      <c r="D294" s="180" t="s">
        <v>1049</v>
      </c>
    </row>
    <row r="295" spans="2:4" x14ac:dyDescent="0.2">
      <c r="B295" s="180"/>
      <c r="C295" s="180" t="s">
        <v>952</v>
      </c>
      <c r="D295" s="180" t="s">
        <v>1196</v>
      </c>
    </row>
    <row r="296" spans="2:4" x14ac:dyDescent="0.2">
      <c r="B296" s="180"/>
      <c r="C296" s="180" t="s">
        <v>423</v>
      </c>
      <c r="D296" s="180" t="s">
        <v>1022</v>
      </c>
    </row>
    <row r="297" spans="2:4" x14ac:dyDescent="0.2">
      <c r="B297" s="180"/>
      <c r="C297" s="180" t="s">
        <v>423</v>
      </c>
      <c r="D297" s="180" t="s">
        <v>1041</v>
      </c>
    </row>
    <row r="298" spans="2:4" x14ac:dyDescent="0.2">
      <c r="B298" s="180"/>
      <c r="C298" s="180" t="s">
        <v>81</v>
      </c>
      <c r="D298" s="180" t="s">
        <v>1016</v>
      </c>
    </row>
    <row r="299" spans="2:4" x14ac:dyDescent="0.2">
      <c r="B299" s="180"/>
      <c r="C299" s="180" t="s">
        <v>81</v>
      </c>
      <c r="D299" s="180" t="s">
        <v>1027</v>
      </c>
    </row>
    <row r="300" spans="2:4" x14ac:dyDescent="0.2">
      <c r="B300" s="180"/>
      <c r="C300" s="180" t="s">
        <v>885</v>
      </c>
      <c r="D300" s="180" t="s">
        <v>1040</v>
      </c>
    </row>
    <row r="301" spans="2:4" x14ac:dyDescent="0.2">
      <c r="B301" s="180"/>
      <c r="C301" s="180" t="s">
        <v>885</v>
      </c>
      <c r="D301" s="180" t="s">
        <v>1047</v>
      </c>
    </row>
    <row r="302" spans="2:4" x14ac:dyDescent="0.2">
      <c r="B302" s="180"/>
      <c r="C302" s="180" t="s">
        <v>642</v>
      </c>
      <c r="D302" s="180" t="s">
        <v>1018</v>
      </c>
    </row>
    <row r="303" spans="2:4" x14ac:dyDescent="0.2">
      <c r="B303" s="180"/>
      <c r="C303" s="180" t="s">
        <v>642</v>
      </c>
      <c r="D303" s="180" t="s">
        <v>1034</v>
      </c>
    </row>
    <row r="304" spans="2:4" x14ac:dyDescent="0.2">
      <c r="C304" s="180" t="s">
        <v>147</v>
      </c>
      <c r="D304" s="180" t="s">
        <v>1020</v>
      </c>
    </row>
    <row r="305" spans="3:4" x14ac:dyDescent="0.2">
      <c r="C305" s="180" t="s">
        <v>147</v>
      </c>
      <c r="D305" s="180" t="s">
        <v>1023</v>
      </c>
    </row>
  </sheetData>
  <sheetProtection algorithmName="SHA-512" hashValue="JZDwq9dEGMA82BTY82hm8icBkQ45qhE3QputwM8SZQN8kHMUfYgsDUza3bqElkmZleb4X0HSu/H+KaKKYkSQjw==" saltValue="sxz+Cn4xO0vy/IubfG16rQ=="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24" t="s">
        <v>1341</v>
      </c>
      <c r="C2" s="425"/>
      <c r="D2" s="425"/>
      <c r="E2" s="425"/>
      <c r="F2" s="425"/>
      <c r="G2" s="425"/>
      <c r="H2" s="425"/>
      <c r="I2" s="425"/>
      <c r="J2" s="425"/>
      <c r="K2" s="425"/>
      <c r="L2" s="425"/>
      <c r="M2" s="425"/>
      <c r="N2" s="425"/>
      <c r="O2" s="425"/>
      <c r="P2" s="425"/>
      <c r="Q2" s="425"/>
      <c r="R2" s="425"/>
      <c r="S2" s="426"/>
    </row>
    <row r="3" spans="2:19" x14ac:dyDescent="0.25">
      <c r="B3" s="418"/>
      <c r="C3" s="419"/>
      <c r="D3" s="419"/>
      <c r="E3" s="419"/>
      <c r="F3" s="419"/>
      <c r="G3" s="419"/>
      <c r="H3" s="419"/>
      <c r="I3" s="419"/>
      <c r="J3" s="419"/>
      <c r="K3" s="419"/>
      <c r="L3" s="419"/>
      <c r="M3" s="419"/>
      <c r="N3" s="419"/>
      <c r="O3" s="419"/>
      <c r="P3" s="419"/>
      <c r="Q3" s="419"/>
      <c r="R3" s="419"/>
      <c r="S3" s="420"/>
    </row>
    <row r="4" spans="2:19" x14ac:dyDescent="0.25">
      <c r="B4" s="418" t="s">
        <v>1218</v>
      </c>
      <c r="C4" s="419"/>
      <c r="D4" s="419"/>
      <c r="E4" s="419"/>
      <c r="F4" s="419"/>
      <c r="G4" s="419"/>
      <c r="H4" s="419"/>
      <c r="I4" s="419"/>
      <c r="J4" s="419"/>
      <c r="K4" s="419"/>
      <c r="L4" s="419"/>
      <c r="M4" s="419"/>
      <c r="N4" s="419"/>
      <c r="O4" s="419"/>
      <c r="P4" s="419"/>
      <c r="Q4" s="419"/>
      <c r="R4" s="419"/>
      <c r="S4" s="420"/>
    </row>
    <row r="5" spans="2:19" x14ac:dyDescent="0.25">
      <c r="B5" s="418" t="s">
        <v>1167</v>
      </c>
      <c r="C5" s="419"/>
      <c r="D5" s="419"/>
      <c r="E5" s="419"/>
      <c r="F5" s="419"/>
      <c r="G5" s="419"/>
      <c r="H5" s="419"/>
      <c r="I5" s="419"/>
      <c r="J5" s="419"/>
      <c r="K5" s="419"/>
      <c r="L5" s="419"/>
      <c r="M5" s="419"/>
      <c r="N5" s="419"/>
      <c r="O5" s="419"/>
      <c r="P5" s="419"/>
      <c r="Q5" s="419"/>
      <c r="R5" s="419"/>
      <c r="S5" s="420"/>
    </row>
    <row r="6" spans="2:19" x14ac:dyDescent="0.25">
      <c r="B6" s="418" t="s">
        <v>1219</v>
      </c>
      <c r="C6" s="419"/>
      <c r="D6" s="419"/>
      <c r="E6" s="419"/>
      <c r="F6" s="419"/>
      <c r="G6" s="419"/>
      <c r="H6" s="419"/>
      <c r="I6" s="419"/>
      <c r="J6" s="419"/>
      <c r="K6" s="419"/>
      <c r="L6" s="419"/>
      <c r="M6" s="419"/>
      <c r="N6" s="419"/>
      <c r="O6" s="419"/>
      <c r="P6" s="419"/>
      <c r="Q6" s="419"/>
      <c r="R6" s="419"/>
      <c r="S6" s="420"/>
    </row>
    <row r="7" spans="2:19" x14ac:dyDescent="0.25">
      <c r="B7" s="418"/>
      <c r="C7" s="419"/>
      <c r="D7" s="419"/>
      <c r="E7" s="419"/>
      <c r="F7" s="419"/>
      <c r="G7" s="419"/>
      <c r="H7" s="419"/>
      <c r="I7" s="419"/>
      <c r="J7" s="419"/>
      <c r="K7" s="419"/>
      <c r="L7" s="419"/>
      <c r="M7" s="419"/>
      <c r="N7" s="419"/>
      <c r="O7" s="419"/>
      <c r="P7" s="419"/>
      <c r="Q7" s="419"/>
      <c r="R7" s="419"/>
      <c r="S7" s="420"/>
    </row>
    <row r="8" spans="2:19" x14ac:dyDescent="0.25">
      <c r="B8" s="146"/>
      <c r="C8" s="98" t="s">
        <v>1071</v>
      </c>
      <c r="D8" s="98"/>
      <c r="E8" s="98"/>
      <c r="F8" s="98"/>
      <c r="G8" s="99"/>
      <c r="S8" s="145"/>
    </row>
    <row r="9" spans="2:19" x14ac:dyDescent="0.25">
      <c r="B9" s="418"/>
      <c r="C9" s="419"/>
      <c r="D9" s="419"/>
      <c r="E9" s="419"/>
      <c r="F9" s="419"/>
      <c r="G9" s="419"/>
      <c r="H9" s="419"/>
      <c r="I9" s="419"/>
      <c r="J9" s="419"/>
      <c r="K9" s="419"/>
      <c r="L9" s="419"/>
      <c r="M9" s="419"/>
      <c r="N9" s="419"/>
      <c r="O9" s="419"/>
      <c r="P9" s="419"/>
      <c r="Q9" s="419"/>
      <c r="R9" s="419"/>
      <c r="S9" s="420"/>
    </row>
    <row r="10" spans="2:19" x14ac:dyDescent="0.25">
      <c r="B10" s="146"/>
      <c r="C10" s="100" t="s">
        <v>1070</v>
      </c>
      <c r="D10" s="100"/>
      <c r="E10" s="100"/>
      <c r="F10" s="101"/>
      <c r="S10" s="145"/>
    </row>
    <row r="11" spans="2:19" x14ac:dyDescent="0.25">
      <c r="B11" s="418"/>
      <c r="C11" s="419"/>
      <c r="D11" s="419"/>
      <c r="E11" s="419"/>
      <c r="F11" s="419"/>
      <c r="G11" s="419"/>
      <c r="H11" s="419"/>
      <c r="I11" s="419"/>
      <c r="J11" s="419"/>
      <c r="K11" s="419"/>
      <c r="L11" s="419"/>
      <c r="M11" s="419"/>
      <c r="N11" s="419"/>
      <c r="O11" s="419"/>
      <c r="P11" s="419"/>
      <c r="Q11" s="419"/>
      <c r="R11" s="419"/>
      <c r="S11" s="420"/>
    </row>
    <row r="12" spans="2:19" x14ac:dyDescent="0.25">
      <c r="B12" s="146"/>
      <c r="C12" s="102" t="s">
        <v>1217</v>
      </c>
      <c r="D12" s="102"/>
      <c r="E12" s="102"/>
      <c r="F12" s="102"/>
      <c r="G12" s="103"/>
      <c r="S12" s="145"/>
    </row>
    <row r="13" spans="2:19" x14ac:dyDescent="0.25">
      <c r="B13" s="418"/>
      <c r="C13" s="419"/>
      <c r="D13" s="419"/>
      <c r="E13" s="419"/>
      <c r="F13" s="419"/>
      <c r="G13" s="419"/>
      <c r="H13" s="419"/>
      <c r="I13" s="419"/>
      <c r="J13" s="419"/>
      <c r="K13" s="419"/>
      <c r="L13" s="419"/>
      <c r="M13" s="419"/>
      <c r="N13" s="419"/>
      <c r="O13" s="419"/>
      <c r="P13" s="419"/>
      <c r="Q13" s="419"/>
      <c r="R13" s="419"/>
      <c r="S13" s="420"/>
    </row>
    <row r="14" spans="2:19" ht="40.5" customHeight="1" x14ac:dyDescent="0.25">
      <c r="B14" s="421" t="s">
        <v>1082</v>
      </c>
      <c r="C14" s="422"/>
      <c r="D14" s="422"/>
      <c r="E14" s="422"/>
      <c r="F14" s="422"/>
      <c r="G14" s="422"/>
      <c r="H14" s="422"/>
      <c r="I14" s="422"/>
      <c r="J14" s="422"/>
      <c r="K14" s="422"/>
      <c r="L14" s="422"/>
      <c r="M14" s="422"/>
      <c r="N14" s="422"/>
      <c r="O14" s="422"/>
      <c r="P14" s="422"/>
      <c r="Q14" s="422"/>
      <c r="R14" s="422"/>
      <c r="S14" s="423"/>
    </row>
    <row r="15" spans="2:19" x14ac:dyDescent="0.25">
      <c r="B15" s="418"/>
      <c r="C15" s="419"/>
      <c r="D15" s="419"/>
      <c r="E15" s="419"/>
      <c r="F15" s="419"/>
      <c r="G15" s="419"/>
      <c r="H15" s="419"/>
      <c r="I15" s="419"/>
      <c r="J15" s="419"/>
      <c r="K15" s="419"/>
      <c r="L15" s="419"/>
      <c r="M15" s="419"/>
      <c r="N15" s="419"/>
      <c r="O15" s="419"/>
      <c r="P15" s="419"/>
      <c r="Q15" s="419"/>
      <c r="R15" s="419"/>
      <c r="S15" s="420"/>
    </row>
    <row r="16" spans="2:19" ht="16.5" thickBot="1" x14ac:dyDescent="0.3">
      <c r="B16" s="415" t="s">
        <v>1125</v>
      </c>
      <c r="C16" s="416"/>
      <c r="D16" s="416"/>
      <c r="E16" s="416"/>
      <c r="F16" s="416"/>
      <c r="G16" s="416"/>
      <c r="H16" s="416"/>
      <c r="I16" s="416"/>
      <c r="J16" s="416"/>
      <c r="K16" s="416"/>
      <c r="L16" s="416"/>
      <c r="M16" s="416"/>
      <c r="N16" s="416"/>
      <c r="O16" s="416"/>
      <c r="P16" s="416"/>
      <c r="Q16" s="416"/>
      <c r="R16" s="416"/>
      <c r="S16" s="417"/>
    </row>
  </sheetData>
  <sheetProtection algorithmName="SHA-512" hashValue="L83ABDKUoZjunw6ztA5xtQkJeDvGdTVWs2JDo5i1XxsX5KZDEj8hxA1msXurdsnS22qX0jKntucEGe1nkaKCLQ==" saltValue="gBTSTBUdYLZl0NXxT+AIKA==" spinCount="100000" sheet="1" objects="1" scenarios="1"/>
  <mergeCells count="12">
    <mergeCell ref="B7:S7"/>
    <mergeCell ref="B4:S4"/>
    <mergeCell ref="B5:S5"/>
    <mergeCell ref="B6:S6"/>
    <mergeCell ref="B2:S2"/>
    <mergeCell ref="B3:S3"/>
    <mergeCell ref="B16:S16"/>
    <mergeCell ref="B9:S9"/>
    <mergeCell ref="B11:S11"/>
    <mergeCell ref="B13:S13"/>
    <mergeCell ref="B14:S14"/>
    <mergeCell ref="B15:S15"/>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293" t="s">
        <v>1118</v>
      </c>
      <c r="C2" s="294"/>
      <c r="D2" s="294"/>
      <c r="E2" s="294"/>
      <c r="F2" s="294"/>
      <c r="G2" s="294"/>
      <c r="H2" s="294"/>
      <c r="I2" s="295"/>
    </row>
    <row r="3" spans="2:11" ht="16.5" customHeight="1" thickBot="1" x14ac:dyDescent="0.3">
      <c r="B3" s="296"/>
      <c r="C3" s="297"/>
      <c r="D3" s="297"/>
      <c r="E3" s="297"/>
      <c r="F3" s="297"/>
      <c r="G3" s="297"/>
      <c r="H3" s="297"/>
      <c r="I3" s="298"/>
    </row>
    <row r="4" spans="2:11" ht="15.75" customHeight="1" x14ac:dyDescent="0.25">
      <c r="B4" s="302" t="s">
        <v>1081</v>
      </c>
      <c r="C4" s="303"/>
      <c r="D4" s="303"/>
      <c r="E4" s="303"/>
      <c r="F4" s="303"/>
      <c r="G4" s="304"/>
      <c r="H4" s="305"/>
      <c r="I4" s="306"/>
    </row>
    <row r="5" spans="2:11" ht="15.75" customHeight="1" x14ac:dyDescent="0.25">
      <c r="B5" s="339" t="s">
        <v>1084</v>
      </c>
      <c r="C5" s="340"/>
      <c r="D5" s="340"/>
      <c r="E5" s="340"/>
      <c r="F5" s="340"/>
      <c r="G5" s="341"/>
      <c r="H5" s="337" t="s">
        <v>1085</v>
      </c>
      <c r="I5" s="338"/>
    </row>
    <row r="6" spans="2:11" ht="16.5" customHeight="1" thickBot="1" x14ac:dyDescent="0.3">
      <c r="B6" s="299" t="s">
        <v>1086</v>
      </c>
      <c r="C6" s="300"/>
      <c r="D6" s="300"/>
      <c r="E6" s="300"/>
      <c r="F6" s="300"/>
      <c r="G6" s="300"/>
      <c r="H6" s="300"/>
      <c r="I6" s="301"/>
    </row>
    <row r="7" spans="2:11" ht="16.5" thickBot="1" x14ac:dyDescent="0.3">
      <c r="B7" s="328"/>
      <c r="C7" s="328"/>
      <c r="D7" s="328"/>
      <c r="E7" s="328"/>
      <c r="F7" s="328"/>
      <c r="G7" s="328"/>
      <c r="H7" s="328"/>
      <c r="I7" s="328"/>
    </row>
    <row r="8" spans="2:11" x14ac:dyDescent="0.25">
      <c r="B8" s="329" t="s">
        <v>1322</v>
      </c>
      <c r="C8" s="330"/>
      <c r="D8" s="330"/>
      <c r="E8" s="330"/>
      <c r="F8" s="330"/>
      <c r="G8" s="330"/>
      <c r="H8" s="330"/>
      <c r="I8" s="331"/>
    </row>
    <row r="9" spans="2:11" ht="16.5" thickBot="1" x14ac:dyDescent="0.3">
      <c r="B9" s="332"/>
      <c r="C9" s="333"/>
      <c r="D9" s="333"/>
      <c r="E9" s="333"/>
      <c r="F9" s="333"/>
      <c r="G9" s="333"/>
      <c r="H9" s="333"/>
      <c r="I9" s="334"/>
    </row>
    <row r="10" spans="2:11" ht="17.25" customHeight="1" x14ac:dyDescent="0.25">
      <c r="B10" s="311" t="s">
        <v>1214</v>
      </c>
      <c r="C10" s="312"/>
      <c r="D10" s="312"/>
      <c r="E10" s="312"/>
      <c r="F10" s="312"/>
      <c r="G10" s="313" t="s">
        <v>1216</v>
      </c>
      <c r="H10" s="314"/>
      <c r="I10" s="315"/>
    </row>
    <row r="11" spans="2:11" ht="17.25" customHeight="1" x14ac:dyDescent="0.25">
      <c r="B11" s="335" t="s">
        <v>585</v>
      </c>
      <c r="C11" s="336"/>
      <c r="D11" s="336"/>
      <c r="E11" s="336"/>
      <c r="F11" s="336"/>
      <c r="G11" s="343"/>
      <c r="H11" s="344"/>
      <c r="I11" s="345"/>
    </row>
    <row r="12" spans="2:11" ht="17.25" customHeight="1" x14ac:dyDescent="0.25">
      <c r="B12" s="335" t="s">
        <v>1212</v>
      </c>
      <c r="C12" s="336"/>
      <c r="D12" s="336"/>
      <c r="E12" s="336"/>
      <c r="F12" s="336"/>
      <c r="G12" s="343"/>
      <c r="H12" s="344"/>
      <c r="I12" s="345"/>
    </row>
    <row r="13" spans="2:11" ht="17.25" customHeight="1" x14ac:dyDescent="0.25">
      <c r="B13" s="346" t="s">
        <v>1213</v>
      </c>
      <c r="C13" s="347"/>
      <c r="D13" s="347"/>
      <c r="E13" s="347"/>
      <c r="F13" s="347"/>
      <c r="G13" s="348"/>
      <c r="H13" s="349"/>
      <c r="I13" s="350"/>
      <c r="K13" s="147" t="str">
        <f>IFERROR(IF(H61="Different form", "You have selected a County with a Road and Bridge fund that does not span the entire county.",""),"")</f>
        <v/>
      </c>
    </row>
    <row r="14" spans="2:11" ht="51.75" customHeight="1" x14ac:dyDescent="0.25">
      <c r="B14" s="368"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69"/>
      <c r="D14" s="369"/>
      <c r="E14" s="369"/>
      <c r="F14" s="369"/>
      <c r="G14" s="370" t="s">
        <v>1066</v>
      </c>
      <c r="H14" s="371"/>
      <c r="I14" s="372"/>
    </row>
    <row r="15" spans="2:11" x14ac:dyDescent="0.25">
      <c r="B15" s="360" t="s">
        <v>1069</v>
      </c>
      <c r="C15" s="361"/>
      <c r="D15" s="361"/>
      <c r="E15" s="361"/>
      <c r="F15" s="361"/>
      <c r="G15" s="361"/>
      <c r="H15" s="361"/>
      <c r="I15" s="362"/>
      <c r="K15" s="147" t="str">
        <f>IFERROR(IF(H61="Different form", "This form cannot be used for this district, please go to tax.idaho.gov to get the correct form for this district",""),"")</f>
        <v/>
      </c>
    </row>
    <row r="16" spans="2:11" x14ac:dyDescent="0.25">
      <c r="B16" s="95"/>
      <c r="C16" s="111"/>
      <c r="D16" s="111"/>
      <c r="E16" s="359" t="s">
        <v>72</v>
      </c>
      <c r="F16" s="359"/>
      <c r="G16" s="357">
        <f>IF(F17="NO",G11,IF(COUNTIF(JointDistricts,G13),INDEX(JointCounties,MATCH(G13,JointDistricts,0))))</f>
        <v>0</v>
      </c>
      <c r="H16" s="357"/>
      <c r="I16" s="358"/>
    </row>
    <row r="17" spans="2:9" x14ac:dyDescent="0.25">
      <c r="B17" s="96"/>
      <c r="C17" s="359" t="str">
        <f>IF(G16="","","Multi-County District:")</f>
        <v>Multi-County District:</v>
      </c>
      <c r="D17" s="359"/>
      <c r="E17" s="359"/>
      <c r="F17" s="109" t="str">
        <f>IF(COUNTIF(JointDistricts,G13), "YES", "NO")</f>
        <v>NO</v>
      </c>
      <c r="G17" s="356" t="str" cm="1">
        <f t="array" ref="G17">IF(F17="YES",IF(COUNTIF(JointDistricts,G13),INDEX(JointCounties,MATCH(G13,JointDistricts,0)+1)," ")," ")</f>
        <v xml:space="preserve"> </v>
      </c>
      <c r="H17" s="357"/>
      <c r="I17" s="358"/>
    </row>
    <row r="18" spans="2:9" x14ac:dyDescent="0.25">
      <c r="B18" s="96"/>
      <c r="C18" s="359" t="str">
        <f>IF(G17="","","More than two counties:")</f>
        <v>More than two counties:</v>
      </c>
      <c r="D18" s="359"/>
      <c r="E18" s="359"/>
      <c r="F18" s="109" t="str">
        <f>IF(COUNTIF(JointDistricts,G13)&gt;2, "YES", "NO")</f>
        <v>NO</v>
      </c>
      <c r="G18" s="356" t="str" cm="1">
        <f t="array" ref="G18">IF(F18="YES",IF(COUNTIF(JointDistricts,G13),INDEX(JointCounties,MATCH(G13,JointDistricts,0)+2)," ")," ")</f>
        <v xml:space="preserve"> </v>
      </c>
      <c r="H18" s="357"/>
      <c r="I18" s="358"/>
    </row>
    <row r="19" spans="2:9" ht="16.5" thickBot="1" x14ac:dyDescent="0.3">
      <c r="B19" s="97"/>
      <c r="C19" s="321" t="str">
        <f>IF(G18="","","More than three counties:")</f>
        <v>More than three counties:</v>
      </c>
      <c r="D19" s="321"/>
      <c r="E19" s="321"/>
      <c r="F19" s="110" t="str">
        <f>IF(COUNTIF(JointDistricts,G13)&gt;3, "YES", "NO")</f>
        <v>NO</v>
      </c>
      <c r="G19" s="318" t="str" cm="1">
        <f t="array" ref="G19">IF(F19="YES",IF(COUNTIF(JointDistricts,G13),INDEX(JointCounties,MATCH(G13,JointDistricts,0)+3)," ")," ")</f>
        <v xml:space="preserve"> </v>
      </c>
      <c r="H19" s="319"/>
      <c r="I19" s="320"/>
    </row>
    <row r="20" spans="2:9" ht="16.5" thickBot="1" x14ac:dyDescent="0.3">
      <c r="B20" s="363"/>
      <c r="C20" s="363"/>
      <c r="D20" s="363"/>
      <c r="E20" s="363"/>
      <c r="F20" s="363"/>
      <c r="G20" s="363"/>
      <c r="H20" s="363"/>
      <c r="I20" s="363"/>
    </row>
    <row r="21" spans="2:9" ht="21" x14ac:dyDescent="0.25">
      <c r="B21" s="262" t="s">
        <v>1079</v>
      </c>
      <c r="C21" s="263"/>
      <c r="D21" s="263"/>
      <c r="E21" s="263"/>
      <c r="F21" s="263"/>
      <c r="G21" s="263"/>
      <c r="H21" s="260">
        <v>0.03</v>
      </c>
      <c r="I21" s="261"/>
    </row>
    <row r="22" spans="2:9" x14ac:dyDescent="0.25">
      <c r="B22" s="322" t="str">
        <f>IF(OR(DistrictType="Fire",DistrictType="Ambulance"),"",
 "Total "&amp;LEFT('1. Dashboard'!$B$8,4)&amp;" Net Taxable Value + Estimated Sub-roll:")</f>
        <v>Total 2026 Net Taxable Value + Estimated Sub-roll:</v>
      </c>
      <c r="C22" s="323"/>
      <c r="D22" s="323"/>
      <c r="E22" s="323"/>
      <c r="F22" s="323"/>
      <c r="G22" s="94">
        <f>IF(OR(DistrictType="Fire",DistrictType="Ambulance"),"",
 IF($F$17="NO",$G$11,IF(COUNTIF(JointDistricts,$G$13),INDEX(JointCounties,MATCH($G$13,JointDistricts,0)))))</f>
        <v>0</v>
      </c>
      <c r="H22" s="264"/>
      <c r="I22" s="265"/>
    </row>
    <row r="23" spans="2:9" x14ac:dyDescent="0.25">
      <c r="B23" s="324" t="str">
        <f>IF(OR(DistrictType="Fire",DistrictType="Ambulance"),"",
    "      (not including Operating Property)")</f>
        <v xml:space="preserve">      (not including Operating Property)</v>
      </c>
      <c r="C23" s="325"/>
      <c r="D23" s="325"/>
      <c r="E23" s="325"/>
      <c r="F23" s="325"/>
      <c r="G23" s="108" t="str" cm="1">
        <f t="array" ref="G23">IF(OR(DistrictType="Fire",DistrictType="Ambulance"),"",
 IF($F$17="YES",IF(COUNTIF(JointDistricts,$G$13),INDEX(JointCounties,MATCH($G$13,JointDistricts,0)+1)," ")," "))</f>
        <v xml:space="preserve"> </v>
      </c>
      <c r="H23" s="264"/>
      <c r="I23" s="265"/>
    </row>
    <row r="24" spans="2:9" x14ac:dyDescent="0.25">
      <c r="B24" s="324"/>
      <c r="C24" s="325"/>
      <c r="D24" s="325"/>
      <c r="E24" s="325"/>
      <c r="F24" s="325"/>
      <c r="G24" s="108" t="str" cm="1">
        <f t="array" ref="G24">IF(OR(DistrictType="Fire",DistrictType="Ambulance"),"",
 IF($F$18="YES",IF(COUNTIF(JointDistricts,$G$13),INDEX(JointCounties,MATCH($G$13,JointDistricts,0)+2)," ")," "))</f>
        <v xml:space="preserve"> </v>
      </c>
      <c r="H24" s="264"/>
      <c r="I24" s="265"/>
    </row>
    <row r="25" spans="2:9" x14ac:dyDescent="0.25">
      <c r="B25" s="326"/>
      <c r="C25" s="327"/>
      <c r="D25" s="327"/>
      <c r="E25" s="327"/>
      <c r="F25" s="327"/>
      <c r="G25" s="107" t="str" cm="1">
        <f t="array" ref="G25">IF(OR(DistrictType="Fire",DistrictType="Ambulance"),"",
 IF($F$19="YES",IF(COUNTIF(JointDistricts,$G$13),INDEX(JointCounties,MATCH($G$13,JointDistricts,0)+3)," ")," "))</f>
        <v xml:space="preserve"> </v>
      </c>
      <c r="H25" s="264"/>
      <c r="I25" s="265"/>
    </row>
    <row r="26" spans="2:9" x14ac:dyDescent="0.25">
      <c r="B26" s="268" t="str">
        <f>"Enter "&amp;LEFT('1. Dashboard'!$B$8,4)&amp;" New Construction value:"</f>
        <v>Enter 2026 New Construction value:</v>
      </c>
      <c r="C26" s="269"/>
      <c r="D26" s="269"/>
      <c r="E26" s="269"/>
      <c r="F26" s="269"/>
      <c r="G26" s="94">
        <f>IF($F$17="NO",$G$11,IF(COUNTIF(JointDistricts,$G$13),INDEX(JointCounties,MATCH($G$13,JointDistricts,0))))</f>
        <v>0</v>
      </c>
      <c r="H26" s="264"/>
      <c r="I26" s="265"/>
    </row>
    <row r="27" spans="2:9" x14ac:dyDescent="0.25">
      <c r="B27" s="307" t="s">
        <v>1093</v>
      </c>
      <c r="C27" s="308"/>
      <c r="D27" s="308"/>
      <c r="E27" s="308"/>
      <c r="F27" s="342"/>
      <c r="G27" s="108" t="str" cm="1">
        <f t="array" ref="G27">IF($F$17="YES",IF(COUNTIF(JointDistricts,$G$13),INDEX(JointCounties,MATCH($G$13,JointDistricts,0)+1)," ")," ")</f>
        <v xml:space="preserve"> </v>
      </c>
      <c r="H27" s="264"/>
      <c r="I27" s="265"/>
    </row>
    <row r="28" spans="2:9" x14ac:dyDescent="0.25">
      <c r="B28" s="307"/>
      <c r="C28" s="308"/>
      <c r="D28" s="308"/>
      <c r="E28" s="308"/>
      <c r="F28" s="342"/>
      <c r="G28" s="108" t="str" cm="1">
        <f t="array" ref="G28">IF($F$18="YES",IF(COUNTIF(JointDistricts,$G$13),INDEX(JointCounties,MATCH($G$13,JointDistricts,0)+2)," ")," ")</f>
        <v xml:space="preserve"> </v>
      </c>
      <c r="H28" s="266"/>
      <c r="I28" s="267"/>
    </row>
    <row r="29" spans="2:9" x14ac:dyDescent="0.25">
      <c r="B29" s="307"/>
      <c r="C29" s="308"/>
      <c r="D29" s="308"/>
      <c r="E29" s="308"/>
      <c r="F29" s="342"/>
      <c r="G29" s="108" t="str" cm="1">
        <f t="array" ref="G29">IF($F$19="YES",IF(COUNTIF(JointDistricts,$G$13),INDEX(JointCounties,MATCH($G$13,JointDistricts,0)+3)," ")," ")</f>
        <v xml:space="preserve"> </v>
      </c>
      <c r="H29" s="316"/>
      <c r="I29" s="317"/>
    </row>
    <row r="30" spans="2:9" x14ac:dyDescent="0.25">
      <c r="B30" s="307" t="str">
        <f>"Does this district have annexation value reported by the assessor for "&amp;LEFT('1. Dashboard'!$B$8,4)&amp;"?"</f>
        <v>Does this district have annexation value reported by the assessor for 2026?</v>
      </c>
      <c r="C30" s="308"/>
      <c r="D30" s="308"/>
      <c r="E30" s="308"/>
      <c r="F30" s="308"/>
      <c r="G30" s="308"/>
      <c r="H30" s="309"/>
      <c r="I30" s="310"/>
    </row>
    <row r="31" spans="2:9" x14ac:dyDescent="0.25">
      <c r="B31" s="270" t="str">
        <f>IF(DistrictType="Library","Enter the value of annexations outside",
 IF(DistrictType="Fire","Enter the value of annexations outside of existing",
    "Enter the value of the annexed area:"))</f>
        <v>Enter the value of the annexed area:</v>
      </c>
      <c r="C31" s="271"/>
      <c r="D31" s="271"/>
      <c r="E31" s="271"/>
      <c r="F31" s="272"/>
      <c r="G31" s="94">
        <f>IF($F$17="NO",$G$11,IF(COUNTIF(JointDistricts,$G$13),INDEX(JointCounties,MATCH($G$13,JointDistricts,0))))</f>
        <v>0</v>
      </c>
      <c r="H31" s="264"/>
      <c r="I31" s="265"/>
    </row>
    <row r="32" spans="2:9" x14ac:dyDescent="0.25">
      <c r="B32" s="270" t="str">
        <f>IF(DistrictType="Fire",
    "     fire districts and cities:",
    IF(DistrictType="Library",
       "     of existing library districts:",
    "     (reported by County Assessor at 100%)"))</f>
        <v xml:space="preserve">     (reported by County Assessor at 100%)</v>
      </c>
      <c r="C32" s="271"/>
      <c r="D32" s="271"/>
      <c r="E32" s="271"/>
      <c r="F32" s="272"/>
      <c r="G32" s="107" t="str" cm="1">
        <f t="array" ref="G32">IF($F$17="YES",IF(COUNTIF(JointDistricts,$G$13),INDEX(JointCounties,MATCH($G$13,JointDistricts,0)+1)," ")," ")</f>
        <v xml:space="preserve"> </v>
      </c>
      <c r="H32" s="264"/>
      <c r="I32" s="265"/>
    </row>
    <row r="33" spans="2:9" x14ac:dyDescent="0.25">
      <c r="B33" s="364" t="str">
        <f>IF(OR(DistrictType="Library",DistrictType="Fire"),
    "     (reported by County Assessor at 100%;",
    "")</f>
        <v/>
      </c>
      <c r="C33" s="365"/>
      <c r="D33" s="365"/>
      <c r="E33" s="365"/>
      <c r="F33" s="366"/>
      <c r="G33" s="107" t="str" cm="1">
        <f t="array" ref="G33">IF($F$18="YES",IF(COUNTIF(JointDistricts,$G$13),INDEX(JointCounties,MATCH($G$13,JointDistricts,0)+2)," ")," ")</f>
        <v xml:space="preserve"> </v>
      </c>
      <c r="H33" s="266"/>
      <c r="I33" s="267"/>
    </row>
    <row r="34" spans="2:9" x14ac:dyDescent="0.25">
      <c r="B34" s="326" t="str">
        <f>IF(OR(DistrictType="Fire",DistrictType="Library"),
    "     also known as: ''capped annexation value'')",
    "")</f>
        <v/>
      </c>
      <c r="C34" s="327"/>
      <c r="D34" s="327"/>
      <c r="E34" s="327"/>
      <c r="F34" s="327"/>
      <c r="G34" s="107" t="str" cm="1">
        <f t="array" ref="G34">IF($F$19="YES",IF(COUNTIF(JointDistricts,$G$13),INDEX(JointCounties,MATCH($G$13,JointDistricts,0)+3)," ")," ")</f>
        <v xml:space="preserve"> </v>
      </c>
      <c r="H34" s="264"/>
      <c r="I34" s="265"/>
    </row>
    <row r="35" spans="2:9" x14ac:dyDescent="0.25">
      <c r="B35" s="322" t="str">
        <f>IF(DistrictType="Library","Enter the value of annexations into other existing library districts:",
 IF(DistrictType="Fire","Enter the value of annexations into other existing fire districts",""))</f>
        <v/>
      </c>
      <c r="C35" s="323"/>
      <c r="D35" s="323"/>
      <c r="E35" s="323"/>
      <c r="F35" s="367"/>
      <c r="G35" s="94" t="str">
        <f>IF(OR(DistrictType="Library",DistrictType="Fire"),
   IF($F$17="NO",$G$11,IF(COUNTIF(JointDistricts,$G$13),INDEX(JointCounties,MATCH($G$13,JointDistricts,0)))),"")</f>
        <v/>
      </c>
      <c r="H35" s="266"/>
      <c r="I35" s="267"/>
    </row>
    <row r="36" spans="2:9" x14ac:dyDescent="0.25">
      <c r="B36" s="268" t="str">
        <f>IF(DistrictType="Fire",
     "     and the value of annexations into cities:",
 IF(DistrictType="Library",
    "     (reported by County Assessor at 100%;",
    ""))</f>
        <v/>
      </c>
      <c r="C36" s="269"/>
      <c r="D36" s="269"/>
      <c r="E36" s="269"/>
      <c r="F36" s="404"/>
      <c r="G36" s="107" t="str" cm="1">
        <f t="array" ref="G36">IF(OR(DistrictType="Library",DistrictType="Fire"),
   IF($F$17="YES",IF(COUNTIF(JointDistricts,$G$13),INDEX(JointCounties,MATCH($G$13,JointDistricts,0)+1)," ")," "),"")</f>
        <v/>
      </c>
      <c r="H36" s="264"/>
      <c r="I36" s="265"/>
    </row>
    <row r="37" spans="2:9" x14ac:dyDescent="0.25">
      <c r="B37" s="270" t="str">
        <f>IF(DistrictType="Fire",
    "     (reported by County Assessor at 100%;",
 IF(DistrictType="Library",
    "      also known as: ''uncapped annexation value'')",
    ""))</f>
        <v/>
      </c>
      <c r="C37" s="271"/>
      <c r="D37" s="271"/>
      <c r="E37" s="271"/>
      <c r="F37" s="272"/>
      <c r="G37" s="107" t="str" cm="1">
        <f t="array" ref="G37">IF(OR(DistrictType="Library",DistrictType="Fire"),
   IF($F$18="YES",IF(COUNTIF(JointDistricts,$G$13),INDEX(JointCounties,MATCH($G$13,JointDistricts,0)+2)," ")," "),"")</f>
        <v/>
      </c>
      <c r="H37" s="266"/>
      <c r="I37" s="267"/>
    </row>
    <row r="38" spans="2:9" x14ac:dyDescent="0.25">
      <c r="B38" s="307" t="str">
        <f>IF(DistrictType="Fire",
    "      also known as: ''uncapped annexation value'')","")</f>
        <v/>
      </c>
      <c r="C38" s="308"/>
      <c r="D38" s="308"/>
      <c r="E38" s="308"/>
      <c r="F38" s="308"/>
      <c r="G38" s="107" t="str" cm="1">
        <f t="array" ref="G38">IF(OR(DistrictType="Library",DistrictType="Fire"),
   IF($F$19="YES",IF(COUNTIF(JointDistricts,$G$13),INDEX(JointCounties,MATCH($G$13,JointDistricts,0)+3)," ")," "),"")</f>
        <v/>
      </c>
      <c r="H38" s="264"/>
      <c r="I38" s="265"/>
    </row>
    <row r="39" spans="2:9" ht="31.5" customHeight="1" x14ac:dyDescent="0.25">
      <c r="B39" s="406" t="str">
        <f>IF(OR(DistrictType="Fire",DistrictType="Ambulance"),"Does this district have expiring Urban Renewal or has it 
opted out of participation with Urban Renewal this year?",
    "Does this district have expiring Urban Renewal?")</f>
        <v>Does this district have expiring Urban Renewal?</v>
      </c>
      <c r="C39" s="407"/>
      <c r="D39" s="407"/>
      <c r="E39" s="407"/>
      <c r="F39" s="407"/>
      <c r="G39" s="408"/>
      <c r="H39" s="353"/>
      <c r="I39" s="354"/>
    </row>
    <row r="40" spans="2:9" x14ac:dyDescent="0.25">
      <c r="B40" s="307" t="s">
        <v>1310</v>
      </c>
      <c r="C40" s="308"/>
      <c r="D40" s="308"/>
      <c r="E40" s="308"/>
      <c r="F40" s="308"/>
      <c r="G40" s="342"/>
      <c r="H40" s="264"/>
      <c r="I40" s="265"/>
    </row>
    <row r="41" spans="2:9" x14ac:dyDescent="0.25">
      <c r="B41" s="307" t="s">
        <v>1309</v>
      </c>
      <c r="C41" s="308"/>
      <c r="D41" s="308"/>
      <c r="E41" s="308"/>
      <c r="F41" s="308"/>
      <c r="G41" s="342"/>
      <c r="H41" s="264"/>
      <c r="I41" s="265"/>
    </row>
    <row r="42" spans="2:9" ht="15.75" customHeight="1" x14ac:dyDescent="0.25">
      <c r="B42" s="287" t="str">
        <f>IF(G12="School","",IF(G12="City","Was this city annexed into a fire district this year?","Skip these last two rows that only apply to cities/schools and continue"))</f>
        <v>Skip these last two rows that only apply to cities/schools and continue</v>
      </c>
      <c r="C42" s="288"/>
      <c r="D42" s="288"/>
      <c r="E42" s="288"/>
      <c r="F42" s="288"/>
      <c r="G42" s="288"/>
      <c r="H42" s="291"/>
      <c r="I42" s="292"/>
    </row>
    <row r="43" spans="2:9" ht="47.45" customHeight="1" thickBot="1" x14ac:dyDescent="0.3">
      <c r="B43" s="289"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290"/>
      <c r="D43" s="290"/>
      <c r="E43" s="290"/>
      <c r="F43" s="290"/>
      <c r="G43" s="290"/>
      <c r="H43" s="351"/>
      <c r="I43" s="352"/>
    </row>
    <row r="44" spans="2:9" ht="10.5" customHeight="1" x14ac:dyDescent="0.25">
      <c r="B44" s="355"/>
      <c r="C44" s="355"/>
      <c r="D44" s="355"/>
      <c r="E44" s="355"/>
      <c r="F44" s="355"/>
      <c r="G44" s="355"/>
      <c r="H44" s="355"/>
      <c r="I44" s="355"/>
    </row>
    <row r="45" spans="2:9" ht="10.5" customHeight="1" thickBot="1" x14ac:dyDescent="0.3">
      <c r="B45" s="300"/>
      <c r="C45" s="300"/>
      <c r="D45" s="300"/>
      <c r="E45" s="300"/>
      <c r="F45" s="300"/>
      <c r="G45" s="300"/>
      <c r="H45" s="300"/>
      <c r="I45" s="300"/>
    </row>
    <row r="46" spans="2:9" ht="24" customHeight="1" x14ac:dyDescent="0.25">
      <c r="B46" s="394" t="s">
        <v>1083</v>
      </c>
      <c r="C46" s="395"/>
      <c r="D46" s="395"/>
      <c r="E46" s="395"/>
      <c r="F46" s="395"/>
      <c r="G46" s="395"/>
      <c r="H46" s="395"/>
      <c r="I46" s="396"/>
    </row>
    <row r="47" spans="2:9" ht="31.5" customHeight="1" x14ac:dyDescent="0.25">
      <c r="B47" s="405" t="s">
        <v>1353</v>
      </c>
      <c r="C47" s="327"/>
      <c r="D47" s="327"/>
      <c r="E47" s="327"/>
      <c r="F47" s="327"/>
      <c r="G47" s="327"/>
      <c r="H47" s="291"/>
      <c r="I47" s="292"/>
    </row>
    <row r="48" spans="2:9" x14ac:dyDescent="0.25">
      <c r="B48" s="307" t="str">
        <f>"Enter current year's amount of Solar Farm Tax here (7/1/"&amp;MID($B$8,3,2)-1&amp;" - 6/30/"&amp;MID($B$8,3,2)&amp;"):"</f>
        <v>Enter current year's amount of Solar Farm Tax here (7/1/25 - 6/30/26):</v>
      </c>
      <c r="C48" s="308"/>
      <c r="D48" s="308"/>
      <c r="E48" s="308"/>
      <c r="F48" s="308"/>
      <c r="G48" s="342"/>
      <c r="H48" s="264"/>
      <c r="I48" s="265"/>
    </row>
    <row r="49" spans="2:9" ht="31.5" customHeight="1" x14ac:dyDescent="0.25">
      <c r="B49" s="405" t="s">
        <v>1207</v>
      </c>
      <c r="C49" s="409"/>
      <c r="D49" s="409"/>
      <c r="E49" s="409"/>
      <c r="F49" s="409"/>
      <c r="G49" s="409"/>
      <c r="H49" s="291"/>
      <c r="I49" s="292"/>
    </row>
    <row r="50" spans="2:9" x14ac:dyDescent="0.25">
      <c r="B50" s="270" t="s">
        <v>1208</v>
      </c>
      <c r="C50" s="271"/>
      <c r="D50" s="271"/>
      <c r="E50" s="271"/>
      <c r="F50" s="271"/>
      <c r="G50" s="272"/>
      <c r="H50" s="413"/>
      <c r="I50" s="414"/>
    </row>
    <row r="51" spans="2:9" ht="31.5" customHeight="1" x14ac:dyDescent="0.25">
      <c r="B51" s="410" t="s">
        <v>1205</v>
      </c>
      <c r="C51" s="411"/>
      <c r="D51" s="411"/>
      <c r="E51" s="411"/>
      <c r="F51" s="411"/>
      <c r="G51" s="412"/>
      <c r="H51" s="353"/>
      <c r="I51" s="354"/>
    </row>
    <row r="52" spans="2:9" ht="15.75" customHeight="1" x14ac:dyDescent="0.25">
      <c r="B52" s="410" t="s">
        <v>1209</v>
      </c>
      <c r="C52" s="411"/>
      <c r="D52" s="411"/>
      <c r="E52" s="411"/>
      <c r="F52" s="411"/>
      <c r="G52" s="412"/>
      <c r="H52" s="413"/>
      <c r="I52" s="414"/>
    </row>
    <row r="53" spans="2:9" ht="31.5" customHeight="1" x14ac:dyDescent="0.25">
      <c r="B53" s="282" t="s">
        <v>1206</v>
      </c>
      <c r="C53" s="283"/>
      <c r="D53" s="283"/>
      <c r="E53" s="283"/>
      <c r="F53" s="283"/>
      <c r="G53" s="284"/>
      <c r="H53" s="285"/>
      <c r="I53" s="286"/>
    </row>
    <row r="54" spans="2:9" ht="15.75" customHeight="1" thickBot="1" x14ac:dyDescent="0.3">
      <c r="B54" s="390" t="str">
        <f>"Enter any other reductions to levying authority for "&amp;LEFT($B$8,4)&amp;":"</f>
        <v>Enter any other reductions to levying authority for 2026:</v>
      </c>
      <c r="C54" s="391"/>
      <c r="D54" s="391"/>
      <c r="E54" s="391"/>
      <c r="F54" s="391"/>
      <c r="G54" s="392"/>
      <c r="H54" s="351"/>
      <c r="I54" s="352"/>
    </row>
    <row r="55" spans="2:9" ht="10.5" customHeight="1" x14ac:dyDescent="0.25">
      <c r="B55" s="355"/>
      <c r="C55" s="355"/>
      <c r="D55" s="355"/>
      <c r="E55" s="355"/>
      <c r="F55" s="355"/>
      <c r="G55" s="355"/>
      <c r="H55" s="355"/>
      <c r="I55" s="355"/>
    </row>
    <row r="56" spans="2:9" ht="10.5" customHeight="1" thickBot="1" x14ac:dyDescent="0.3">
      <c r="B56" s="300"/>
      <c r="C56" s="300"/>
      <c r="D56" s="300"/>
      <c r="E56" s="300"/>
      <c r="F56" s="300"/>
      <c r="G56" s="300"/>
      <c r="H56" s="300"/>
      <c r="I56" s="300"/>
    </row>
    <row r="57" spans="2:9" ht="24" customHeight="1" x14ac:dyDescent="0.25">
      <c r="B57" s="394" t="s">
        <v>1360</v>
      </c>
      <c r="C57" s="395"/>
      <c r="D57" s="395"/>
      <c r="E57" s="395"/>
      <c r="F57" s="395"/>
      <c r="G57" s="395"/>
      <c r="H57" s="395"/>
      <c r="I57" s="396"/>
    </row>
    <row r="58" spans="2:9" ht="31.5" customHeight="1" thickBot="1" x14ac:dyDescent="0.3">
      <c r="B58" s="390"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391"/>
      <c r="D58" s="391"/>
      <c r="E58" s="391"/>
      <c r="F58" s="391"/>
      <c r="G58" s="392"/>
      <c r="H58" s="351"/>
      <c r="I58" s="352"/>
    </row>
    <row r="59" spans="2:9" ht="21" customHeight="1" thickBot="1" x14ac:dyDescent="0.3">
      <c r="B59" s="393"/>
      <c r="C59" s="393"/>
      <c r="D59" s="393"/>
      <c r="E59" s="393"/>
      <c r="F59" s="393"/>
      <c r="G59" s="393"/>
      <c r="H59" s="393"/>
      <c r="I59" s="393"/>
    </row>
    <row r="60" spans="2:9" ht="24" thickBot="1" x14ac:dyDescent="0.4">
      <c r="B60" s="399" t="str">
        <f>IF(G12="School", "This Section Does Not Apply to School Districts", "Recovery of Forgone Amounts:")</f>
        <v>Recovery of Forgone Amounts:</v>
      </c>
      <c r="C60" s="400"/>
      <c r="D60" s="400"/>
      <c r="E60" s="400"/>
      <c r="F60" s="400"/>
      <c r="G60" s="400"/>
      <c r="H60" s="400"/>
      <c r="I60" s="401"/>
    </row>
    <row r="61" spans="2:9" ht="15.75" customHeight="1" x14ac:dyDescent="0.25">
      <c r="B61" s="387" t="s">
        <v>1068</v>
      </c>
      <c r="C61" s="388"/>
      <c r="D61" s="388"/>
      <c r="E61" s="388"/>
      <c r="F61" s="388"/>
      <c r="G61" s="389"/>
      <c r="H61" s="402" cm="1">
        <f t="array" ref="H61">IFERROR(IF(DistrictName=0,0,
         INDEX(DataDump!$I$1:$I$1202,
               MATCH(1,(G26=DataDump!$C$1:$C$1202)*(DistrictName=DataDump!$G$1:$G$1202),0))),"")</f>
        <v>0</v>
      </c>
      <c r="I61" s="403"/>
    </row>
    <row r="62" spans="2:9" x14ac:dyDescent="0.25">
      <c r="B62" s="397" t="str">
        <f>IF(G12="School",
    "Not applicable to school districts",
    IF(SCOstatus="No",
       "Forgone amounts cannot be recovered when non-compliant with SCO",
       IF(H61=0,"",
          "Will the district use its forgone balance to increase this year's budget?")))</f>
        <v/>
      </c>
      <c r="C62" s="398"/>
      <c r="D62" s="398"/>
      <c r="E62" s="398"/>
      <c r="F62" s="398"/>
      <c r="G62" s="398"/>
      <c r="H62" s="285"/>
      <c r="I62" s="286"/>
    </row>
    <row r="63" spans="2:9" x14ac:dyDescent="0.25">
      <c r="B63" s="273" t="s">
        <v>1152</v>
      </c>
      <c r="C63" s="274"/>
      <c r="D63" s="274"/>
      <c r="E63" s="274"/>
      <c r="F63" s="274"/>
      <c r="G63" s="274"/>
      <c r="H63" s="277" t="e">
        <f>IF('1. Dashboard'!G13="School", 0, MAX(ROUND(MIN($H$61,'2. L-2 Worksheet'!$G$61*0.01),0),0))</f>
        <v>#VALUE!</v>
      </c>
      <c r="I63" s="278"/>
    </row>
    <row r="64" spans="2:9" x14ac:dyDescent="0.25">
      <c r="B64" s="273" t="s">
        <v>1153</v>
      </c>
      <c r="C64" s="274"/>
      <c r="D64" s="274"/>
      <c r="E64" s="274"/>
      <c r="F64" s="274"/>
      <c r="G64" s="274"/>
      <c r="H64" s="275"/>
      <c r="I64" s="276"/>
    </row>
    <row r="65" spans="2:9" x14ac:dyDescent="0.25">
      <c r="B65" s="273" t="s">
        <v>1087</v>
      </c>
      <c r="C65" s="274"/>
      <c r="D65" s="274"/>
      <c r="E65" s="274"/>
      <c r="F65" s="274"/>
      <c r="G65" s="274"/>
      <c r="H65" s="277" t="e">
        <f>IF(DistrictType="School",0,
    ROUND(MIN($H$61-$H$64,'2. L-2 Worksheet'!$G$61*0.03),0))</f>
        <v>#VALUE!</v>
      </c>
      <c r="I65" s="278"/>
    </row>
    <row r="66" spans="2:9" x14ac:dyDescent="0.25">
      <c r="B66" s="273" t="s">
        <v>1072</v>
      </c>
      <c r="C66" s="274"/>
      <c r="D66" s="274"/>
      <c r="E66" s="274"/>
      <c r="F66" s="274"/>
      <c r="G66" s="274"/>
      <c r="H66" s="275"/>
      <c r="I66" s="276"/>
    </row>
    <row r="67" spans="2:9" ht="16.5" thickBot="1" x14ac:dyDescent="0.3">
      <c r="B67" s="383" t="str">
        <f>IF(SCOstatus="Yes","Please complete and submit a resolution to recover forgone","")</f>
        <v>Please complete and submit a resolution to recover forgone</v>
      </c>
      <c r="C67" s="384"/>
      <c r="D67" s="384"/>
      <c r="E67" s="384"/>
      <c r="F67" s="384"/>
      <c r="G67" s="384"/>
      <c r="H67" s="384"/>
      <c r="I67" s="385"/>
    </row>
    <row r="68" spans="2:9" ht="20.25" customHeight="1" thickBot="1" x14ac:dyDescent="0.3">
      <c r="B68" s="386"/>
      <c r="C68" s="386"/>
      <c r="D68" s="386"/>
      <c r="E68" s="386"/>
      <c r="F68" s="386"/>
      <c r="G68" s="386"/>
      <c r="H68" s="386"/>
      <c r="I68" s="386"/>
    </row>
    <row r="69" spans="2:9" ht="24" customHeight="1" x14ac:dyDescent="0.25">
      <c r="B69" s="380" t="s">
        <v>1144</v>
      </c>
      <c r="C69" s="381"/>
      <c r="D69" s="381"/>
      <c r="E69" s="381"/>
      <c r="F69" s="381"/>
      <c r="G69" s="381"/>
      <c r="H69" s="381"/>
      <c r="I69" s="382"/>
    </row>
    <row r="70" spans="2:9" ht="50.25" customHeight="1" x14ac:dyDescent="0.25">
      <c r="B70" s="377"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78"/>
      <c r="D70" s="378"/>
      <c r="E70" s="378"/>
      <c r="F70" s="378"/>
      <c r="G70" s="378"/>
      <c r="H70" s="378"/>
      <c r="I70" s="379"/>
    </row>
    <row r="71" spans="2:9" ht="18" customHeight="1" x14ac:dyDescent="0.25">
      <c r="B71" s="279" t="str">
        <f>IF(SCOstatus="No",
    "Base budget increase (3%) disallowed",
    "Base budget increase selected (up to 3% selected above)")</f>
        <v>Base budget increase selected (up to 3% selected above)</v>
      </c>
      <c r="C71" s="280"/>
      <c r="D71" s="280"/>
      <c r="E71" s="280"/>
      <c r="F71" s="280"/>
      <c r="G71" s="281"/>
      <c r="H71" s="168">
        <f>$H$21</f>
        <v>0.03</v>
      </c>
      <c r="I71" s="165" t="str">
        <f>IF(DistrictName=0,"",
IF(SCOstatus="No",ThreePercentIncrease,
SelectedBudgetIncrease))</f>
        <v/>
      </c>
    </row>
    <row r="72" spans="2:9" ht="18" customHeight="1" x14ac:dyDescent="0.25">
      <c r="B72" s="279" t="s">
        <v>1145</v>
      </c>
      <c r="C72" s="280"/>
      <c r="D72" s="280"/>
      <c r="E72" s="280"/>
      <c r="F72" s="280"/>
      <c r="G72" s="281"/>
      <c r="H72" s="164" t="str">
        <f t="shared" ref="H72:H80" si="0">IFERROR(ROUND(I72/HighestofLast3yrs,4),"")</f>
        <v/>
      </c>
      <c r="I72" s="165" t="str">
        <f>IF(DistrictName=0,"",
 IF(SCOstatus="No",'2. L-2 Worksheet'!H41,
    NewConstructionBudgetIncrease))</f>
        <v/>
      </c>
    </row>
    <row r="73" spans="2:9" ht="18" customHeight="1" x14ac:dyDescent="0.25">
      <c r="B73" s="279" t="str">
        <f>IF($H$30&lt;&gt;"Yes","",
    IF(OR(DistrictType="Fire",DistrictType="Ambulance"),
       "Annexation budget increase subject to 15% cap",
       "Annexation budget increase subject to 8% cap"))</f>
        <v/>
      </c>
      <c r="C73" s="280"/>
      <c r="D73" s="280"/>
      <c r="E73" s="280"/>
      <c r="F73" s="280"/>
      <c r="G73" s="281"/>
      <c r="H73" s="164" t="str">
        <f>IF($H$30&lt;&gt;"Yes","",
    IFERROR(ROUND(I73/HighestofLast3yrs,4),""))</f>
        <v/>
      </c>
      <c r="I73" s="165" t="str">
        <f>IF(DistrictName=0,"",
 IF($H$30&lt;&gt;"Yes","",
 IF(SCOstatus="No",'2. L-2 Worksheet'!H47,
    IF($H$30="Yes",AnnexationBudgetIncreaseCapped,""))))</f>
        <v/>
      </c>
    </row>
    <row r="74" spans="2:9" ht="18" customHeight="1" x14ac:dyDescent="0.25">
      <c r="B74" s="279" t="str">
        <f>IF(OR(DistrictType="Fire",DistrictType="Ambulance"),
    "Effect of 15% cap on new construction &amp; annexation increases",
    "Effect of 8% cap on new construction &amp; annexation increases")</f>
        <v>Effect of 8% cap on new construction &amp; annexation increases</v>
      </c>
      <c r="C74" s="280"/>
      <c r="D74" s="280"/>
      <c r="E74" s="280"/>
      <c r="F74" s="280"/>
      <c r="G74" s="281"/>
      <c r="H74" s="164" t="str">
        <f t="shared" si="0"/>
        <v/>
      </c>
      <c r="I74" s="165" t="str">
        <f>IFERROR(IF(DistrictName=0,"",
            IF(SCOstatus="No",'2. L-2 Worksheet'!H51,
               ReductionByPercentCap)),0)</f>
        <v/>
      </c>
    </row>
    <row r="75" spans="2:9" ht="18" customHeight="1" x14ac:dyDescent="0.25">
      <c r="B75" s="279" t="str">
        <f>IF($H$39&lt;&gt;"Yes","","Terminating Urban Renewal allowable increase")</f>
        <v/>
      </c>
      <c r="C75" s="280"/>
      <c r="D75" s="280"/>
      <c r="E75" s="280"/>
      <c r="F75" s="280"/>
      <c r="G75" s="281"/>
      <c r="H75" s="164" t="str">
        <f>IF($H$39&lt;&gt;"Yes","",
    IFERROR(ROUND(I75/HighestofLast3yrs,4),""))</f>
        <v/>
      </c>
      <c r="I75" s="165" t="str">
        <f>IF(DistrictName=0,"",
 IF($H$39&lt;&gt;"Yes","",
 IF(SCOstatus="No",'2. L-2 Worksheet'!H56,
    IF(H39="Yes",URbudgetIncrease,""))))</f>
        <v/>
      </c>
    </row>
    <row r="76" spans="2:9" ht="18" customHeight="1" x14ac:dyDescent="0.25">
      <c r="B76" s="279" t="str">
        <f>IF($H$30="Yes",
    IF(DistrictType="Library","Annexation budget increase from another library district (uncapped)",
    IF(DistrictType="Fire",   "Annexation budget increase from another fire district (uncapped)",
    "")),"")</f>
        <v/>
      </c>
      <c r="C76" s="280"/>
      <c r="D76" s="280"/>
      <c r="E76" s="280"/>
      <c r="F76" s="280"/>
      <c r="G76" s="281"/>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279" t="str">
        <f>IF($H$47="Yes","Effect of changing solar farm tax revenue","")</f>
        <v/>
      </c>
      <c r="C77" s="280"/>
      <c r="D77" s="280"/>
      <c r="E77" s="280"/>
      <c r="F77" s="280"/>
      <c r="G77" s="281"/>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279" t="str">
        <f>"Effect of changing kWh/therms tax revenue"</f>
        <v>Effect of changing kWh/therms tax revenue</v>
      </c>
      <c r="C78" s="280"/>
      <c r="D78" s="280"/>
      <c r="E78" s="280"/>
      <c r="F78" s="280"/>
      <c r="G78" s="281"/>
      <c r="H78" s="164" t="str">
        <f t="shared" si="0"/>
        <v/>
      </c>
      <c r="I78" s="165" t="str">
        <f>IF(DistrictName=0,"",
    -H58)</f>
        <v/>
      </c>
    </row>
    <row r="79" spans="2:9" ht="18" customHeight="1" x14ac:dyDescent="0.25">
      <c r="B79" s="279" t="s">
        <v>1165</v>
      </c>
      <c r="C79" s="280"/>
      <c r="D79" s="280"/>
      <c r="E79" s="280"/>
      <c r="F79" s="280"/>
      <c r="G79" s="281"/>
      <c r="H79" s="164" t="str">
        <f t="shared" si="0"/>
        <v/>
      </c>
      <c r="I79" s="165" t="str">
        <f>IF(DistrictName=0,"",
    SUM(-H50,-H52,-H54))</f>
        <v/>
      </c>
    </row>
    <row r="80" spans="2:9" ht="18" customHeight="1" x14ac:dyDescent="0.25">
      <c r="B80" s="279" t="str">
        <f>IF(DistrictType="City","Budget reduction if city annexed into fire district","")</f>
        <v/>
      </c>
      <c r="C80" s="280"/>
      <c r="D80" s="280"/>
      <c r="E80" s="280"/>
      <c r="F80" s="280"/>
      <c r="G80" s="281"/>
      <c r="H80" s="164" t="str">
        <f t="shared" si="0"/>
        <v/>
      </c>
      <c r="I80" s="165" t="str">
        <f>IF(G12="City",-('2. L-2 Worksheet'!G81),"")</f>
        <v/>
      </c>
    </row>
    <row r="81" spans="2:9" ht="31.5" customHeight="1" x14ac:dyDescent="0.25">
      <c r="B81" s="368" t="str">
        <f>IF($H$62="Yes","Extra increase to the maximum budget from forgone amounts 
      (Maintenance &amp; Operations)","")</f>
        <v/>
      </c>
      <c r="C81" s="369"/>
      <c r="D81" s="369"/>
      <c r="E81" s="369"/>
      <c r="F81" s="369"/>
      <c r="G81" s="376"/>
      <c r="H81" s="164" t="str">
        <f>IF($H$62="Yes",
    IFERROR(IF($G$12="School","",
               ROUND(I81/'2. L-2 Worksheet'!$G$61,4)),""),
    "")</f>
        <v/>
      </c>
      <c r="I81" s="165" t="str">
        <f>IF($G$12="School","",
 IF($H$62="Yes",'2. L-2 Worksheet'!E64,""))</f>
        <v/>
      </c>
    </row>
    <row r="82" spans="2:9" ht="31.5" customHeight="1" x14ac:dyDescent="0.25">
      <c r="B82" s="368" t="str">
        <f>IF($H$62="Yes","Extra increase to the maximum budget from forgone amounts 
      (Capital Projects)","")</f>
        <v/>
      </c>
      <c r="C82" s="369"/>
      <c r="D82" s="369"/>
      <c r="E82" s="369"/>
      <c r="F82" s="369"/>
      <c r="G82" s="376"/>
      <c r="H82" s="164" t="str">
        <f>IF($H$62="Yes",
    IFERROR(IF($G$12="School","",
               ROUND(I82/'2. L-2 Worksheet'!$G$61,4)),""),
    "")</f>
        <v/>
      </c>
      <c r="I82" s="165" t="str">
        <f>IF($G$12="School","",
 IF($H$62="Yes",'2. L-2 Worksheet'!E65,""))</f>
        <v/>
      </c>
    </row>
    <row r="83" spans="2:9" ht="18" customHeight="1" thickBot="1" x14ac:dyDescent="0.3">
      <c r="B83" s="373" t="s">
        <v>1164</v>
      </c>
      <c r="C83" s="374"/>
      <c r="D83" s="374"/>
      <c r="E83" s="374"/>
      <c r="F83" s="374"/>
      <c r="G83" s="375"/>
      <c r="H83" s="166" t="str">
        <f>IFERROR(ROUND(I83/HighestofLast3yrs,4),"")</f>
        <v/>
      </c>
      <c r="I83" s="167" t="str">
        <f>IF(DistrictName=0,"",
    SUM(I71:I82))</f>
        <v/>
      </c>
    </row>
    <row r="84" spans="2:9" ht="22.5" customHeight="1" thickBot="1" x14ac:dyDescent="0.3">
      <c r="B84" s="257" t="s">
        <v>1333</v>
      </c>
      <c r="C84" s="258"/>
      <c r="D84" s="258"/>
      <c r="E84" s="258"/>
      <c r="F84" s="258"/>
      <c r="G84" s="259"/>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B1" sqref="B1:G1"/>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82"/>
      <c r="C1" s="482"/>
      <c r="D1" s="482"/>
      <c r="E1" s="482"/>
      <c r="F1" s="482"/>
      <c r="G1" s="482"/>
    </row>
    <row r="2" spans="2:11" ht="16.899999999999999" customHeight="1" thickBot="1" x14ac:dyDescent="0.3">
      <c r="B2" s="487" t="s">
        <v>1192</v>
      </c>
      <c r="C2" s="488"/>
      <c r="D2" s="488"/>
      <c r="E2" s="488"/>
      <c r="F2" s="488"/>
      <c r="G2" s="489"/>
    </row>
    <row r="3" spans="2:11" ht="16.899999999999999" customHeight="1" thickBot="1" x14ac:dyDescent="0.3">
      <c r="B3" s="440" t="str">
        <f>"District Name: "&amp;'1. Dashboard'!G13</f>
        <v xml:space="preserve">District Name: </v>
      </c>
      <c r="C3" s="441"/>
      <c r="D3" s="441"/>
      <c r="E3" s="441"/>
      <c r="F3" s="441"/>
      <c r="G3" s="442"/>
    </row>
    <row r="4" spans="2:11" ht="16.899999999999999" customHeight="1" x14ac:dyDescent="0.25">
      <c r="B4" s="189" t="s">
        <v>1191</v>
      </c>
      <c r="C4" s="438">
        <f>LEFT($B$15,4)-3</f>
        <v>2023</v>
      </c>
      <c r="D4" s="439"/>
      <c r="E4" s="438">
        <f>LEFT($B$15,4)-2</f>
        <v>2024</v>
      </c>
      <c r="F4" s="439"/>
      <c r="G4" s="190">
        <f>LEFT($B$15,4)-1</f>
        <v>2025</v>
      </c>
    </row>
    <row r="5" spans="2:11" ht="16.899999999999999" customHeight="1" x14ac:dyDescent="0.25">
      <c r="B5" s="191" t="str">
        <f>IF(DistrictType="School","Levied Amount for Tort","Non-exempt property tax budget")</f>
        <v>Non-exempt property tax budget</v>
      </c>
      <c r="C5" s="452" t="str" cm="1">
        <f t="array" ref="C5">IFERROR(ROUND(
   IF(DistrictName&lt;&gt;0,
      IF(DistrictType="School",
        MAX(C12-C6-C7-C8-C9-C10,0),
        INDEX(DataDump!AB1:AB1202,MATCH(1,(COUNTY1=DataDump!$C1:$C1202)*(DistrictName=DataDump!$G1:$G1202),0)))," "),0),"")</f>
        <v/>
      </c>
      <c r="D5" s="452"/>
      <c r="E5" s="450" t="str" cm="1">
        <f t="array" ref="E5">IFERROR(ROUND(
   IF(DistrictName&lt;&gt;0,
      IF(DistrictType="School",
        MAX(E12-E6-E7-E8-E9-E10,0),
        INDEX(DataDump!AC1:AC1202,MATCH(1,(COUNTY1=DataDump!$C1:$C1202)*(DistrictName=DataDump!$G1:$G1202),0)))," "),0),"")</f>
        <v/>
      </c>
      <c r="F5" s="451"/>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1180</v>
      </c>
      <c r="C6" s="450" t="str" cm="1">
        <f t="array" ref="C6">IFERROR(ROUND(
   IF(DistrictName&lt;&gt;0,
      INDEX(DataDump!L1:L1202,MATCH(1,(DataDump!C1:C1202=COUNTY1)*(DataDump!G1:G1202=DistrictName),0))," "),0),"")</f>
        <v/>
      </c>
      <c r="D6" s="451"/>
      <c r="E6" s="450" t="str" cm="1">
        <f t="array" ref="E6">IFERROR(ROUND(
   IF(DistrictName&lt;&gt;0,
      INDEX(DataDump!L1:L1202,MATCH(1,(DataDump!C1:C1202=COUNTY1)*(DataDump!G1:G1202=DistrictName),0))," "),0),"")</f>
        <v/>
      </c>
      <c r="F6" s="451"/>
      <c r="G6" s="192" t="str" cm="1">
        <f t="array" ref="G6">IFERROR(ROUND(
   IF(DistrictName&lt;&gt;0,
      INDEX(DataDump!L1:L1202,MATCH(1,(DataDump!C1:C1202=COUNTY1)*(DataDump!G1:G1202=DistrictName),0))," "),0),"")</f>
        <v/>
      </c>
    </row>
    <row r="7" spans="2:11" ht="16.899999999999999" customHeight="1" x14ac:dyDescent="0.25">
      <c r="B7" s="191" t="s">
        <v>1181</v>
      </c>
      <c r="C7" s="450" t="str" cm="1">
        <f t="array" ref="C7">IFERROR(ROUND(
   IF(DistrictName&lt;&gt;0,
      INDEX(DataDump!M1:M1202,MATCH(1,(DataDump!C1:C1202=COUNTY1)*(DataDump!G1:G1202=DistrictName),0))," "),0),"")</f>
        <v/>
      </c>
      <c r="D7" s="451"/>
      <c r="E7" s="450" t="str" cm="1">
        <f t="array" ref="E7">IFERROR(ROUND(
   IF(DistrictName&lt;&gt;0,
      INDEX(DataDump!M1:M1202,MATCH(1,(DataDump!C1:C1202=COUNTY1)*(DataDump!G1:G1202=DistrictName),0))," "),0),"")</f>
        <v/>
      </c>
      <c r="F7" s="451"/>
      <c r="G7" s="192" t="str" cm="1">
        <f t="array" ref="G7">IFERROR(ROUND(
   IF(DistrictName&lt;&gt;0,
      INDEX(DataDump!M1:M1202,MATCH(1,(DataDump!C1:C1202=COUNTY1)*(DataDump!G1:G1202=DistrictName),0))," "),0),"")</f>
        <v/>
      </c>
    </row>
    <row r="8" spans="2:11" ht="16.899999999999999" customHeight="1" x14ac:dyDescent="0.25">
      <c r="B8" s="191" t="s">
        <v>1182</v>
      </c>
      <c r="C8" s="450" t="str" cm="1">
        <f t="array" ref="C8">IFERROR(ROUND(
   IF(DistrictName&lt;&gt;0,
      INDEX(DataDump!N1:N1202,MATCH(1,(DataDump!C1:C1202=COUNTY1)*(DataDump!G1:G1202=DistrictName),0))," "),0),"")</f>
        <v/>
      </c>
      <c r="D8" s="451"/>
      <c r="E8" s="450" t="str" cm="1">
        <f t="array" ref="E8">IFERROR(ROUND(
   IF(DistrictName&lt;&gt;0,
      INDEX(DataDump!N1:N1202,MATCH(1,(DataDump!C1:C1202=COUNTY1)*(DataDump!G1:G1202=DistrictName),0))," "),0),"")</f>
        <v/>
      </c>
      <c r="F8" s="451"/>
      <c r="G8" s="192" t="str" cm="1">
        <f t="array" ref="G8">IFERROR(ROUND(
   IF(DistrictName&lt;&gt;0,
      INDEX(DataDump!O1:O1202,MATCH(1,(DataDump!C1:C1202=COUNTY1)*(DataDump!G1:G1202=DistrictName),0))," "),0),"")</f>
        <v/>
      </c>
    </row>
    <row r="9" spans="2:11" ht="16.899999999999999" customHeight="1" x14ac:dyDescent="0.25">
      <c r="B9" s="191" t="s">
        <v>1183</v>
      </c>
      <c r="C9" s="450" t="str" cm="1">
        <f t="array" ref="C9">IFERROR(ROUND(
   IF(DistrictName&lt;&gt;0,
      INDEX(DataDump!S1:S1202,MATCH(1,(DataDump!C1:C1202=COUNTY1)*(DataDump!G1:G1202=DistrictName),0))," "),0),"")</f>
        <v/>
      </c>
      <c r="D9" s="451"/>
      <c r="E9" s="450" t="str" cm="1">
        <f t="array" ref="E9">IFERROR(ROUND(
   IF(DistrictName&lt;&gt;0,
      INDEX(DataDump!T1:T1202,MATCH(1,(DataDump!C1:C1202=COUNTY1)*(DataDump!G1:G1202=DistrictName),0))," "),0),"")</f>
        <v/>
      </c>
      <c r="F9" s="451"/>
      <c r="G9" s="192" t="str" cm="1">
        <f t="array" ref="G9">IFERROR(ROUND(
   IF(DistrictName&lt;&gt;0,
      INDEX(DataDump!U1:U1202,MATCH(1,(DataDump!C1:C1202=COUNTY1)*(DataDump!G1:G1202=DistrictName),0))," "),0),"")</f>
        <v/>
      </c>
    </row>
    <row r="10" spans="2:11" ht="16.899999999999999" customHeight="1" x14ac:dyDescent="0.25">
      <c r="B10" s="191" t="s">
        <v>1184</v>
      </c>
      <c r="C10" s="452" t="str" cm="1">
        <f t="array" ref="C10">IFERROR(ROUND(
   IF(DistrictName&lt;&gt;0,
      INDEX(DataDump!V1:V1202,MATCH(1,(DataDump!C1:C1202=COUNTY1)*(DataDump!G1:G1202=DistrictName),0))," "),0),"")</f>
        <v/>
      </c>
      <c r="D10" s="452"/>
      <c r="E10" s="452" t="str" cm="1">
        <f t="array" ref="E10">IFERROR(ROUND(
   IF(DistrictName&lt;&gt;0,
      INDEX(DataDump!W1:W1202,MATCH(1,(DataDump!C1:C1202=COUNTY1)*(DataDump!G1:G1202=DistrictName),0))," "),0),"")</f>
        <v/>
      </c>
      <c r="F10" s="452"/>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52" t="str" cm="1">
        <f t="array" ref="C11">IFERROR(ROUND(
   IF(DistrictName&lt;&gt;0,
      INDEX(DataDump!P1:P1202,MATCH(1,(DataDump!C1:C1202=COUNTY1)*(DataDump!G1:G1202=DistrictName),0))," "),0),"")</f>
        <v/>
      </c>
      <c r="D11" s="452"/>
      <c r="E11" s="452" t="str" cm="1">
        <f t="array" ref="E11">IFERROR(ROUND(
   IF(DistrictName&lt;&gt;0,
      INDEX(DataDump!Q1:Q1202,MATCH(1,(DataDump!C1:C1202=COUNTY1)*(DataDump!G1:G1202=DistrictName),0))," "),0),"")</f>
        <v/>
      </c>
      <c r="F11" s="452"/>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446" t="str" cm="1">
        <f t="array" ref="C12">IFERROR(ROUND(
   IF(DistrictName&lt;&gt;0,
     IF(DistrictType="School",
        INDEX(DataDump!AB1:AB1202,MATCH(1,(DataDump!C1:C1202=COUNTY1)*(DataDump!G1:G1202=DistrictName),0)),
        INDEX(DataDump!AE1:AE1202,MATCH(1,(DataDump!C1:C1202=COUNTY1)*(DataDump!G1:G1202=DistrictName),0)))," "),0),"")</f>
        <v/>
      </c>
      <c r="D12" s="446"/>
      <c r="E12" s="447" t="str" cm="1">
        <f t="array" ref="E12">IFERROR(ROUND(
   IF(DistrictName&lt;&gt;0,
     IF(DistrictType="School",
        INDEX(DataDump!AC1:AC1202,MATCH(1,(DataDump!C1:C1202=COUNTY1)*(DataDump!G1:G1202=DistrictName),0)),
        INDEX(DataDump!AF1:AF1202,MATCH(1,(DataDump!C1:C1202=COUNTY1)*(DataDump!G1:G1202=DistrictName),0)))," "),0),"")</f>
        <v/>
      </c>
      <c r="F12" s="448"/>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49" t="str">
        <f>IFERROR(IF(DistrictName&lt;&gt;0,IF(DistrictType="School",C12,C5+C6+C7+C8+C9+C10-C12),""),0)</f>
        <v/>
      </c>
      <c r="D13" s="449"/>
      <c r="E13" s="449" t="str">
        <f>IFERROR(IF(DistrictName&lt;&gt;0,IF(DistrictType="School",E12,E5+E6+E7+E8+E9+E10-E12),""),0)</f>
        <v/>
      </c>
      <c r="F13" s="449"/>
      <c r="G13" s="200" t="str">
        <f>IFERROR(IF(DistrictName&lt;&gt;0,IF(DistrictType="School",G12,G5+G6+G7+G8+G9+G10-G12),""),0)</f>
        <v/>
      </c>
    </row>
    <row r="14" spans="2:11" ht="33" customHeight="1" thickBot="1" x14ac:dyDescent="0.3">
      <c r="B14" s="492"/>
      <c r="C14" s="492"/>
      <c r="D14" s="492"/>
      <c r="E14" s="492"/>
      <c r="F14" s="492"/>
      <c r="G14" s="492"/>
    </row>
    <row r="15" spans="2:11" ht="24" customHeight="1" thickBot="1" x14ac:dyDescent="0.3">
      <c r="B15" s="443" t="str">
        <f>LEFT('1. Dashboard'!$B$8,4)&amp;" L-2 Worksheet"</f>
        <v>2026 L-2 Worksheet</v>
      </c>
      <c r="C15" s="444"/>
      <c r="D15" s="444"/>
      <c r="E15" s="444"/>
      <c r="F15" s="444"/>
      <c r="G15" s="445"/>
    </row>
    <row r="16" spans="2:11" ht="16.899999999999999" customHeight="1" thickBot="1" x14ac:dyDescent="0.3">
      <c r="B16" s="440" t="str">
        <f>"District Name: "&amp;DistrictName</f>
        <v xml:space="preserve">District Name: </v>
      </c>
      <c r="C16" s="441"/>
      <c r="D16" s="490" t="str">
        <f>IF(DistrictType&lt;&gt;0,"District Type:"&amp;" "&amp;DistrictType, "District Type: None Selected")</f>
        <v>District Type: None Selected</v>
      </c>
      <c r="E16" s="490"/>
      <c r="F16" s="490"/>
      <c r="G16" s="491"/>
      <c r="H16" s="249" t="s">
        <v>1376</v>
      </c>
    </row>
    <row r="17" spans="2:8" ht="16.899999999999999" customHeight="1" thickBot="1" x14ac:dyDescent="0.3">
      <c r="B17" s="453" t="s">
        <v>1160</v>
      </c>
      <c r="C17" s="454"/>
      <c r="D17" s="454"/>
      <c r="E17" s="454"/>
      <c r="F17" s="454"/>
      <c r="G17" s="455"/>
    </row>
    <row r="18" spans="2:8" ht="33.75" customHeight="1" x14ac:dyDescent="0.25">
      <c r="B18" s="456"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57"/>
      <c r="D18" s="457"/>
      <c r="E18" s="458"/>
      <c r="F18" s="120" t="s">
        <v>21</v>
      </c>
      <c r="G18" s="174" t="str">
        <f>IF(DistrictName&lt;&gt;0,IFERROR(ROUND(MAX(C13:G13),0),""),"")</f>
        <v/>
      </c>
    </row>
    <row r="19" spans="2:8" ht="16.899999999999999" customHeight="1" thickBot="1" x14ac:dyDescent="0.3">
      <c r="B19" s="427"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8"/>
      <c r="D19" s="428"/>
      <c r="E19" s="429"/>
      <c r="F19" s="125" t="s">
        <v>20</v>
      </c>
      <c r="G19" s="172" t="str">
        <f>IFERROR(IF(SCOstatus="No",0,
            ROUND(HighestofLast3yrs*'1. Dashboard'!H21,0)),"")</f>
        <v/>
      </c>
      <c r="H19" s="250" t="str">
        <f>IFERROR(ROUND(HighestofLast3yrs*0.03,0),"")</f>
        <v/>
      </c>
    </row>
    <row r="20" spans="2:8" ht="16.899999999999999" customHeight="1" x14ac:dyDescent="0.25">
      <c r="B20" s="494" t="s">
        <v>1094</v>
      </c>
      <c r="C20" s="495"/>
      <c r="D20" s="495"/>
      <c r="E20" s="495"/>
      <c r="F20" s="495"/>
      <c r="G20" s="496"/>
    </row>
    <row r="21" spans="2:8" ht="16.899999999999999" customHeight="1" x14ac:dyDescent="0.25">
      <c r="B21" s="485" t="str">
        <f>IF(OR(DistrictType="Fire",DistrictType="Ambulance"),"",
 LEFT($B$15,4)-1&amp;" Value of District's Operating Property from Each Applicable County:")</f>
        <v>2025 Value of District's Operating Property from Each Applicable County:</v>
      </c>
      <c r="C21" s="486"/>
      <c r="D21" s="520" t="str">
        <f>IF(OR(DistrictType="Fire",DistrictType="Ambulance"),"","Value")</f>
        <v>Value</v>
      </c>
      <c r="E21" s="521"/>
      <c r="F21" s="154"/>
      <c r="G21" s="155"/>
    </row>
    <row r="22" spans="2:8" ht="16.899999999999999" customHeight="1" x14ac:dyDescent="0.25">
      <c r="B22" s="436">
        <f>'1. Dashboard'!G22</f>
        <v>0</v>
      </c>
      <c r="C22" s="437"/>
      <c r="D22" s="125" t="s">
        <v>1133</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6" t="str">
        <f>'1. Dashboard'!G23</f>
        <v xml:space="preserve"> </v>
      </c>
      <c r="C23" s="437"/>
      <c r="D23" s="125" t="s">
        <v>1134</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6" t="str">
        <f>'1. Dashboard'!G24</f>
        <v xml:space="preserve"> </v>
      </c>
      <c r="C24" s="437"/>
      <c r="D24" s="125" t="s">
        <v>1135</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6" t="str">
        <f>'1. Dashboard'!G25</f>
        <v xml:space="preserve"> </v>
      </c>
      <c r="C25" s="437"/>
      <c r="D25" s="125" t="s">
        <v>1136</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80" t="str">
        <f>IF(OR(DistrictType="Fire",DistrictType="Ambulance"),"",
    "Total "&amp;LEFT($B$15,4)-1&amp;" Operating Property Value (total of lines 3a thru 3d):")</f>
        <v>Total 2025 Operating Property Value (total of lines 3a thru 3d):</v>
      </c>
      <c r="C26" s="481"/>
      <c r="D26" s="130" t="s">
        <v>19</v>
      </c>
      <c r="E26" s="171" t="str">
        <f>IF(DistrictName=0,"",
 IF(OR(DistrictType="Fire",DistrictType="Ambulance"),"",
    ROUND(SUM(E22:E25),0)))</f>
        <v/>
      </c>
      <c r="F26" s="127"/>
      <c r="G26" s="128"/>
    </row>
    <row r="27" spans="2:8" ht="16.899999999999999" customHeight="1" x14ac:dyDescent="0.25">
      <c r="B27" s="483" t="str">
        <f>IF(OR(DistrictType="Fire",DistrictType="Ambulance"),"",
    LEFT($B$15,4)&amp;" District's Net Taxable Value &amp; Estimated Sub-roll from Each Applicable County:")</f>
        <v>2026 District's Net Taxable Value &amp; Estimated Sub-roll from Each Applicable County:</v>
      </c>
      <c r="C27" s="484"/>
      <c r="D27" s="520" t="str">
        <f>IF(OR(DistrictType="Fire",DistrictType="Ambulance"),"",
    "Value")</f>
        <v>Value</v>
      </c>
      <c r="E27" s="521"/>
      <c r="F27" s="127"/>
      <c r="G27" s="128"/>
    </row>
    <row r="28" spans="2:8" ht="16.899999999999999" customHeight="1" x14ac:dyDescent="0.25">
      <c r="B28" s="436">
        <f>'1. Dashboard'!G22</f>
        <v>0</v>
      </c>
      <c r="C28" s="437"/>
      <c r="D28" s="125" t="s">
        <v>22</v>
      </c>
      <c r="E28" s="171" t="str">
        <f>IF(DistrictName=0,"",
 IF(OR(DistrictType="Fire",DistrictType="Ambulance"),"",
    '1. Dashboard'!H22))</f>
        <v/>
      </c>
      <c r="F28" s="127"/>
      <c r="G28" s="128"/>
    </row>
    <row r="29" spans="2:8" ht="16.899999999999999" customHeight="1" x14ac:dyDescent="0.25">
      <c r="B29" s="436" t="str">
        <f>'1. Dashboard'!G23</f>
        <v xml:space="preserve"> </v>
      </c>
      <c r="C29" s="437"/>
      <c r="D29" s="125" t="s">
        <v>23</v>
      </c>
      <c r="E29" s="171" t="str">
        <f>IF(DistrictName=0,"",
 IF(OR(DistrictType="Fire",DistrictType="Ambulance"),"",
 IF('1. Dashboard'!F17="No","",
    '1. Dashboard'!H23)))</f>
        <v/>
      </c>
      <c r="F29" s="127"/>
      <c r="G29" s="128"/>
    </row>
    <row r="30" spans="2:8" ht="16.899999999999999" customHeight="1" x14ac:dyDescent="0.25">
      <c r="B30" s="436" t="str">
        <f>'1. Dashboard'!G24</f>
        <v xml:space="preserve"> </v>
      </c>
      <c r="C30" s="437"/>
      <c r="D30" s="125" t="s">
        <v>24</v>
      </c>
      <c r="E30" s="171" t="str">
        <f>IF(DistrictName=0,"",
 IF(OR(DistrictType="Fire",DistrictType="Ambulance"),"",
 IF('1. Dashboard'!F18="No","",
    '1. Dashboard'!H24)))</f>
        <v/>
      </c>
      <c r="F30" s="127"/>
      <c r="G30" s="128"/>
    </row>
    <row r="31" spans="2:8" ht="16.899999999999999" customHeight="1" x14ac:dyDescent="0.25">
      <c r="B31" s="436" t="str">
        <f>'1. Dashboard'!G25</f>
        <v xml:space="preserve"> </v>
      </c>
      <c r="C31" s="437"/>
      <c r="D31" s="125" t="s">
        <v>25</v>
      </c>
      <c r="E31" s="171" t="str">
        <f>IF(DistrictName=0,"",
 IF(OR(DistrictType="Fire",DistrictType="Ambulance"),"",
 IF('1. Dashboard'!F19="No","",
    '1. Dashboard'!H25)))</f>
        <v/>
      </c>
      <c r="F31" s="127"/>
      <c r="G31" s="128"/>
    </row>
    <row r="32" spans="2:8" ht="16.899999999999999" customHeight="1" x14ac:dyDescent="0.25">
      <c r="B32" s="480" t="str">
        <f>IF(OR(DistrictType="Fire",DistrictType="Ambulance"),"",
    "Total "&amp;LEFT($B$15,4)&amp;" Net Taxable Value &amp; Estimated Sub-roll (total of lines 4a thru 4d):")</f>
        <v>Total 2026 Net Taxable Value &amp; Estimated Sub-roll (total of lines 4a thru 4d):</v>
      </c>
      <c r="C32" s="481"/>
      <c r="D32" s="130" t="s">
        <v>18</v>
      </c>
      <c r="E32" s="171" t="str">
        <f>IF(DistrictName=0,"",
 IF(OR(DistrictType="Fire",DistrictType="Ambulance"),"",
    ROUND(SUM(E28:E31),0)))</f>
        <v/>
      </c>
      <c r="F32" s="127"/>
      <c r="G32" s="128"/>
    </row>
    <row r="33" spans="2:8" ht="16.899999999999999" customHeight="1" x14ac:dyDescent="0.25">
      <c r="B33" s="460" t="str">
        <f>IF(OR(DistrictType="Fire",DistrictType="Ambulance"),
    "Levy Rate for New Construction:",
    "Preliminary Levy Rate for New Construction:")</f>
        <v>Preliminary Levy Rate for New Construction:</v>
      </c>
      <c r="C33" s="461"/>
      <c r="D33" s="461"/>
      <c r="E33" s="462"/>
      <c r="F33" s="127"/>
      <c r="G33" s="128"/>
    </row>
    <row r="34" spans="2:8" ht="33" customHeight="1" x14ac:dyDescent="0.25">
      <c r="B34" s="436"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7"/>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85" t="str">
        <f>LEFT($B$15,4)&amp;" Value of District's New Construction Roll from Each Applicable County:"</f>
        <v>2026 Value of District's New Construction Roll from Each Applicable County:</v>
      </c>
      <c r="C35" s="486"/>
      <c r="D35" s="520" t="s">
        <v>0</v>
      </c>
      <c r="E35" s="521"/>
      <c r="F35" s="127"/>
      <c r="G35" s="128"/>
    </row>
    <row r="36" spans="2:8" ht="16.899999999999999" customHeight="1" x14ac:dyDescent="0.25">
      <c r="B36" s="436">
        <f>'1. Dashboard'!G26</f>
        <v>0</v>
      </c>
      <c r="C36" s="437"/>
      <c r="D36" s="125" t="s">
        <v>1137</v>
      </c>
      <c r="E36" s="171" t="str">
        <f>IF(DistrictName&lt;&gt;0,'1. Dashboard'!H26,"")</f>
        <v/>
      </c>
      <c r="F36" s="127"/>
      <c r="G36" s="128"/>
    </row>
    <row r="37" spans="2:8" ht="16.899999999999999" customHeight="1" x14ac:dyDescent="0.25">
      <c r="B37" s="436" t="str">
        <f>'1. Dashboard'!G27</f>
        <v xml:space="preserve"> </v>
      </c>
      <c r="C37" s="437"/>
      <c r="D37" s="125" t="s">
        <v>1138</v>
      </c>
      <c r="E37" s="171" t="str">
        <f>IF(DistrictName&lt;&gt;0,'1. Dashboard'!H27,"")</f>
        <v/>
      </c>
      <c r="F37" s="127"/>
      <c r="G37" s="128"/>
    </row>
    <row r="38" spans="2:8" ht="16.899999999999999" customHeight="1" x14ac:dyDescent="0.25">
      <c r="B38" s="436" t="str">
        <f>'1. Dashboard'!G28</f>
        <v xml:space="preserve"> </v>
      </c>
      <c r="C38" s="437"/>
      <c r="D38" s="125" t="s">
        <v>1139</v>
      </c>
      <c r="E38" s="171" t="str">
        <f>IF(DistrictName&lt;&gt;0,'1. Dashboard'!H28,"")</f>
        <v/>
      </c>
      <c r="F38" s="127"/>
      <c r="G38" s="129"/>
    </row>
    <row r="39" spans="2:8" ht="16.899999999999999" customHeight="1" x14ac:dyDescent="0.25">
      <c r="B39" s="436" t="str">
        <f>'1. Dashboard'!G29</f>
        <v xml:space="preserve"> </v>
      </c>
      <c r="C39" s="437"/>
      <c r="D39" s="125" t="s">
        <v>1140</v>
      </c>
      <c r="E39" s="171" t="str">
        <f>IF(DistrictName&lt;&gt;0,'1. Dashboard'!H29,"")</f>
        <v/>
      </c>
      <c r="F39" s="127"/>
      <c r="G39" s="128"/>
    </row>
    <row r="40" spans="2:8" ht="16.899999999999999" customHeight="1" x14ac:dyDescent="0.25">
      <c r="B40" s="480" t="s">
        <v>1141</v>
      </c>
      <c r="C40" s="481"/>
      <c r="D40" s="130" t="s">
        <v>16</v>
      </c>
      <c r="E40" s="171" t="str">
        <f>IF(DistrictName&lt;&gt;0,ROUND(SUM(E36:E39),0),"")</f>
        <v/>
      </c>
      <c r="F40" s="127"/>
      <c r="G40" s="128"/>
    </row>
    <row r="41" spans="2:8" ht="16.899999999999999" customHeight="1" x14ac:dyDescent="0.25">
      <c r="B41" s="427" t="s">
        <v>1373</v>
      </c>
      <c r="C41" s="428"/>
      <c r="D41" s="428"/>
      <c r="E41" s="429"/>
      <c r="F41" s="125" t="s">
        <v>15</v>
      </c>
      <c r="G41" s="172" t="str">
        <f>IF(DistrictName&lt;&gt;0,
    IF(SCOstatus="No",0,
       IFERROR(ROUND(E40*E34,0),0)),"")</f>
        <v/>
      </c>
      <c r="H41" s="250">
        <f>IFERROR(ROUND(E40*H34,0),0)</f>
        <v>0</v>
      </c>
    </row>
    <row r="42" spans="2:8" ht="16.899999999999999" customHeight="1" x14ac:dyDescent="0.25">
      <c r="B42" s="460" t="str">
        <f>LEFT($B$15,4)&amp;" Value of District's Annexed Property Subject to the 8% Cap:"</f>
        <v>2026 Value of District's Annexed Property Subject to the 8% Cap:</v>
      </c>
      <c r="C42" s="461"/>
      <c r="D42" s="461"/>
      <c r="E42" s="462"/>
      <c r="F42" s="127"/>
      <c r="G42" s="128"/>
    </row>
    <row r="43" spans="2:8" ht="16.899999999999999" customHeight="1" x14ac:dyDescent="0.25">
      <c r="B43" s="436"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7"/>
      <c r="D43" s="125" t="s">
        <v>14</v>
      </c>
      <c r="E43" s="171" t="str">
        <f>IF(DistrictName&lt;&gt;0,ROUND(SUM('1. Dashboard'!H31:I34),0),"")</f>
        <v/>
      </c>
      <c r="F43" s="127"/>
      <c r="G43" s="128"/>
    </row>
    <row r="44" spans="2:8" ht="16.899999999999999" customHeight="1" x14ac:dyDescent="0.25">
      <c r="B44" s="436" t="s">
        <v>1364</v>
      </c>
      <c r="C44" s="437"/>
      <c r="D44" s="125" t="s">
        <v>13</v>
      </c>
      <c r="E44" s="173" t="str">
        <f>IF(DistrictName&lt;&gt;0,ROUND(E43*0.9,0),"")</f>
        <v/>
      </c>
      <c r="F44" s="127"/>
      <c r="G44" s="128"/>
    </row>
    <row r="45" spans="2:8" ht="16.899999999999999" customHeight="1" x14ac:dyDescent="0.25">
      <c r="B45" s="436" t="str">
        <f>IF(OR(DistrictType="Fire",DistrictType="Ambulance"),"",
    "Estimated Value of "&amp;LEFT($B$15,4)-1&amp;" Annexed Operating Property (line 8 divided by line 4, then multiplied by line 3)")</f>
        <v>Estimated Value of 2025 Annexed Operating Property (line 8 divided by line 4, then multiplied by line 3)</v>
      </c>
      <c r="C45" s="437"/>
      <c r="D45" s="125" t="s">
        <v>12</v>
      </c>
      <c r="E45" s="173" t="str">
        <f>IFERROR(ROUND((E43/E32)*E26,0),"")</f>
        <v/>
      </c>
      <c r="F45" s="127"/>
      <c r="G45" s="128"/>
    </row>
    <row r="46" spans="2:8" ht="16.899999999999999" customHeight="1" x14ac:dyDescent="0.25">
      <c r="B46" s="518"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519"/>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7" t="s">
        <v>1365</v>
      </c>
      <c r="C47" s="428"/>
      <c r="D47" s="428"/>
      <c r="E47" s="429"/>
      <c r="F47" s="125" t="s">
        <v>10</v>
      </c>
      <c r="G47" s="172" t="str">
        <f>IF(DistrictName&lt;&gt;0,
    IF(SCOstatus="No",0,
       IFERROR(ROUND(E44*E46,0),0)),"")</f>
        <v/>
      </c>
      <c r="H47" s="250">
        <f>IFERROR(ROUND(E44*H46,0),0)</f>
        <v>0</v>
      </c>
    </row>
    <row r="48" spans="2:8" ht="16.899999999999999" customHeight="1" x14ac:dyDescent="0.25">
      <c r="B48" s="460"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61"/>
      <c r="D48" s="461"/>
      <c r="E48" s="462"/>
      <c r="F48" s="127"/>
      <c r="G48" s="128"/>
    </row>
    <row r="49" spans="2:9" ht="16.899999999999999" customHeight="1" x14ac:dyDescent="0.25">
      <c r="B49" s="465" t="s">
        <v>1374</v>
      </c>
      <c r="C49" s="466"/>
      <c r="D49" s="120" t="s">
        <v>1328</v>
      </c>
      <c r="E49" s="170" t="str">
        <f>IF(SCOstatus="No",0,
    IFERROR(ROUND(SUM(G19+G41+G47),0),""))</f>
        <v/>
      </c>
      <c r="F49" s="127"/>
      <c r="G49" s="128"/>
      <c r="H49" s="250" t="str">
        <f>IFERROR(ROUND(SUM(H19+H41+H47),0),"")</f>
        <v/>
      </c>
      <c r="I49" s="3"/>
    </row>
    <row r="50" spans="2:9" ht="16.899999999999999" customHeight="1" x14ac:dyDescent="0.25">
      <c r="B50" s="436" t="str">
        <f>IF(OR(DistrictType="Fire",DistrictType="Ambulance"),
    "Max 15% Cap on Budget Increases Listed Above (line 1 * 15%)",
    "Max 8% Cap on Budget Increases Listed Above (line 1 * 8%)")</f>
        <v>Max 8% Cap on Budget Increases Listed Above (line 1 * 8%)</v>
      </c>
      <c r="C50" s="437"/>
      <c r="D50" s="120" t="s">
        <v>9</v>
      </c>
      <c r="E50" s="170" t="str">
        <f>IF(OR(DistrictType="Fire",DistrictType="Ambulance"),
    IFERROR(ROUND((G18*0.15),0),""),
    IFERROR(ROUND((G18*0.08),0),""))</f>
        <v/>
      </c>
      <c r="F50" s="127"/>
      <c r="G50" s="128"/>
      <c r="I50" s="3"/>
    </row>
    <row r="51" spans="2:9" ht="16.5" customHeight="1" x14ac:dyDescent="0.25">
      <c r="B51" s="467"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4"/>
      <c r="D51" s="434"/>
      <c r="E51" s="435"/>
      <c r="F51" s="121" t="s">
        <v>8</v>
      </c>
      <c r="G51" s="247" t="str">
        <f>IF(DistrictName=0,"",
    ROUND(MIN(0,IFERROR(E50-E49,0)),0))</f>
        <v/>
      </c>
      <c r="H51" s="250" t="str">
        <f>IF(DistrictName=0,"",
    MIN(0,E50-H49))</f>
        <v/>
      </c>
      <c r="I51" s="3"/>
    </row>
    <row r="52" spans="2:9" ht="16.899999999999999" customHeight="1" x14ac:dyDescent="0.25">
      <c r="B52" s="460" t="str">
        <f>LEFT($B$15,4)&amp;" Expiring Urban Renewal:"</f>
        <v>2026 Expiring Urban Renewal:</v>
      </c>
      <c r="C52" s="461"/>
      <c r="D52" s="461"/>
      <c r="E52" s="462"/>
      <c r="F52" s="127"/>
      <c r="G52" s="128"/>
    </row>
    <row r="53" spans="2:9" ht="16.899999999999999" customHeight="1" x14ac:dyDescent="0.25">
      <c r="B53" s="518" t="s">
        <v>1311</v>
      </c>
      <c r="C53" s="519"/>
      <c r="D53" s="125" t="s">
        <v>7</v>
      </c>
      <c r="E53" s="171">
        <f>IF('1. Dashboard'!$H$39="Yes",'1. Dashboard'!H40,0)</f>
        <v>0</v>
      </c>
      <c r="F53" s="127"/>
      <c r="G53" s="128"/>
    </row>
    <row r="54" spans="2:9" ht="16.899999999999999" customHeight="1" x14ac:dyDescent="0.25">
      <c r="B54" s="518" t="s">
        <v>1312</v>
      </c>
      <c r="C54" s="519"/>
      <c r="D54" s="125" t="s">
        <v>6</v>
      </c>
      <c r="E54" s="171">
        <f>IF('1. Dashboard'!$H$39="Yes",'1. Dashboard'!H41,0)</f>
        <v>0</v>
      </c>
      <c r="F54" s="127"/>
      <c r="G54" s="128"/>
    </row>
    <row r="55" spans="2:9" ht="16.899999999999999" customHeight="1" x14ac:dyDescent="0.25">
      <c r="B55" s="436" t="s">
        <v>1371</v>
      </c>
      <c r="C55" s="437"/>
      <c r="D55" s="125" t="s">
        <v>5</v>
      </c>
      <c r="E55" s="171">
        <f>IF('1. Dashboard'!$H$39="Yes",ROUND(E53*0.8,0)+ROUND(E54*0.9,0),0)</f>
        <v>0</v>
      </c>
      <c r="F55" s="127"/>
      <c r="G55" s="128"/>
    </row>
    <row r="56" spans="2:9" ht="16.899999999999999" customHeight="1" x14ac:dyDescent="0.25">
      <c r="B56" s="436" t="s">
        <v>1372</v>
      </c>
      <c r="C56" s="522"/>
      <c r="F56" s="121" t="s">
        <v>4</v>
      </c>
      <c r="G56" s="201" t="str">
        <f>IF(DistrictName&lt;&gt;0,
    IF(SCOstatus="No",0,
       IFERROR(ROUND(E55*E34,0),0)),"")</f>
        <v/>
      </c>
      <c r="H56" s="250">
        <f>IFERROR(ROUND(E55*H34,0),0)</f>
        <v>0</v>
      </c>
    </row>
    <row r="57" spans="2:9" ht="16.899999999999999" customHeight="1" x14ac:dyDescent="0.25">
      <c r="B57" s="460" t="str">
        <f>IF(DistrictType="Library",
    LEFT($B$15,4)&amp;" Value of Property Annexed from Another Library District (May Exceed 8% Cap)",
 IF(DistrictType="Fire",
    LEFT($B$15,4)&amp;" Value of Property Annexed from Another Fire District (May Exceed 15% Cap)",
    ""))</f>
        <v/>
      </c>
      <c r="C57" s="461"/>
      <c r="D57" s="461"/>
      <c r="E57" s="462"/>
      <c r="F57" s="127"/>
      <c r="G57" s="128"/>
    </row>
    <row r="58" spans="2:9" ht="16.899999999999999" customHeight="1" x14ac:dyDescent="0.25">
      <c r="B58" s="436" t="str">
        <f>IF(DistrictType="Library",
    LEFT($B$15,4)&amp;" Full Taxable Value of Annexation Assessed by County from Another Library District",
 IF(DistrictType="Fire",
    LEFT($B$15,4)&amp;" Full Taxable Value of Annexation Assessed by County from Another Fire District",
    ""))</f>
        <v/>
      </c>
      <c r="C58" s="437"/>
      <c r="D58" s="125" t="s">
        <v>3</v>
      </c>
      <c r="E58" s="171" t="str">
        <f>IF(DistrictName=0,"",
    IF(AND(DistrictType&lt;&gt;"Library",DistrictType&lt;&gt;"Fire"),0,
       ROUND(SUM('1. Dashboard'!H35:H38),0)))</f>
        <v/>
      </c>
      <c r="F58" s="127"/>
      <c r="G58" s="128"/>
    </row>
    <row r="59" spans="2:9" ht="16.899999999999999" customHeight="1" x14ac:dyDescent="0.25">
      <c r="B59" s="436" t="str">
        <f>IF(DistrictType="Library", "90% of Annexation Value in line 20",
 IF(DistrictType="Fire",    "90% of Annexation Value in line 20",
    ""))</f>
        <v/>
      </c>
      <c r="C59" s="437"/>
      <c r="D59" s="125" t="s">
        <v>2</v>
      </c>
      <c r="E59" s="173" t="str">
        <f>IF(DistrictName&lt;&gt;0,ROUND(E58*0.9,0),"")</f>
        <v/>
      </c>
      <c r="F59" s="127"/>
      <c r="G59" s="128"/>
    </row>
    <row r="60" spans="2:9" ht="16.899999999999999" customHeight="1" x14ac:dyDescent="0.25">
      <c r="B60" s="467" t="str">
        <f>IF(DistrictType="Library",
    "Allowable Budget Increase for Annexations from Other Library Districts (multiply line 21 by line 11)",
 IF(DistrictType="Fire",
    "Allowable Budget Increase for Annexations from Other Fire Districts (multiply line 21 by line 11)",""))</f>
        <v/>
      </c>
      <c r="C60" s="434"/>
      <c r="D60" s="434"/>
      <c r="E60" s="435"/>
      <c r="F60" s="121" t="s">
        <v>64</v>
      </c>
      <c r="G60" s="201" t="str">
        <f>IF(DistrictName&lt;&gt;0,
    IF(SCOstatus="No",0,
       IFERROR(ROUND(E59*E46,0),0)),"")</f>
        <v/>
      </c>
      <c r="H60" s="250">
        <f>IFERROR(ROUND(E59*H46,0),0)</f>
        <v>0</v>
      </c>
    </row>
    <row r="61" spans="2:9" ht="16.899999999999999" customHeight="1" x14ac:dyDescent="0.25">
      <c r="B61" s="436"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522"/>
      <c r="D61" s="522"/>
      <c r="E61" s="437"/>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63" t="str">
        <f>IF(DistrictType="School","Previous Solar Farm Tax (Forgone Amounts don't Apply to School Districts):","Previously Forgone Increases &amp; Previous Solar Farm Tax:")</f>
        <v>Previously Forgone Increases &amp; Previous Solar Farm Tax:</v>
      </c>
      <c r="C62" s="464"/>
      <c r="D62" s="464"/>
      <c r="E62" s="464"/>
      <c r="F62" s="154"/>
      <c r="G62" s="155"/>
    </row>
    <row r="63" spans="2:9" ht="16.899999999999999" customHeight="1" x14ac:dyDescent="0.25">
      <c r="B63" s="430" t="str">
        <f>IF(DistrictType="School","","Total accrued forgone balance (from the 'Maximum Budget and Forgone Amount Worksheet')")</f>
        <v>Total accrued forgone balance (from the 'Maximum Budget and Forgone Amount Worksheet')</v>
      </c>
      <c r="C63" s="431"/>
      <c r="D63" s="202"/>
      <c r="E63" s="203" t="str">
        <f>IF(DistrictName&lt;&gt;0,IF(DistrictType="School","",'1. Dashboard'!H61),"")</f>
        <v/>
      </c>
      <c r="F63" s="204"/>
      <c r="G63" s="205"/>
    </row>
    <row r="64" spans="2:9" ht="16.5" customHeight="1" x14ac:dyDescent="0.25">
      <c r="B64" s="436" t="str">
        <f>IF(DistrictType="School","",
    "Forgone amount to be recovered in this year's budget for Maintenance &amp; Operations (up to 1% of line 23)")</f>
        <v>Forgone amount to be recovered in this year's budget for Maintenance &amp; Operations (up to 1% of line 23)</v>
      </c>
      <c r="C64" s="437"/>
      <c r="D64" s="125" t="s">
        <v>1074</v>
      </c>
      <c r="E64" s="169" t="str">
        <f>IF(DistrictName=0,"",
    IFERROR(IF(DistrictType="School","",
               IF(SCOstatus="No",0,
                  ROUND('1. Dashboard'!H64,0))),""))</f>
        <v/>
      </c>
      <c r="F64" s="127"/>
      <c r="G64" s="128"/>
    </row>
    <row r="65" spans="2:9" ht="16.5" customHeight="1" x14ac:dyDescent="0.25">
      <c r="B65" s="436" t="str">
        <f>IF(DistrictType="School","",
   "Forgone amount to be recovered in this year's budget for Capital Projects (up to 3% of line 23)")</f>
        <v>Forgone amount to be recovered in this year's budget for Capital Projects (up to 3% of line 23)</v>
      </c>
      <c r="C65" s="437"/>
      <c r="D65" s="125" t="s">
        <v>1075</v>
      </c>
      <c r="E65" s="169" t="str">
        <f>IF(DistrictName=0,"",
    IFERROR(IF(DistrictType="School","",
               IF(SCOstatus="No",0,
                  ROUND('1. Dashboard'!H66,0))),""))</f>
        <v/>
      </c>
      <c r="F65" s="127"/>
      <c r="G65" s="128"/>
    </row>
    <row r="66" spans="2:9" ht="16.899999999999999" customHeight="1" x14ac:dyDescent="0.25">
      <c r="B66" s="436" t="s">
        <v>1367</v>
      </c>
      <c r="C66" s="437"/>
      <c r="D66" s="120" t="s">
        <v>1076</v>
      </c>
      <c r="E66" s="170" t="str">
        <f>IF(DistrictName&lt;&gt;0,IFERROR(ROUND(
   IF(G13=MAX(C13:G13),'2. L-2 Worksheet'!G11,
   IF(E13=MAX(C13:G13),'2. L-2 Worksheet'!E11,
   IF(C13=MAX(C13:G13),'2. L-2 Worksheet'!C11))),0),""),"")</f>
        <v/>
      </c>
      <c r="F66" s="127"/>
      <c r="G66" s="128"/>
      <c r="I66" s="3"/>
    </row>
    <row r="67" spans="2:9" ht="20.25" customHeight="1" x14ac:dyDescent="0.25">
      <c r="B67" s="497"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98"/>
      <c r="D67" s="498"/>
      <c r="E67" s="499"/>
      <c r="F67" s="121" t="s">
        <v>1077</v>
      </c>
      <c r="G67" s="248" t="str">
        <f>IF(DistrictName&lt;&gt;0,ROUND(SUM(G61,E64:E66),0),"")</f>
        <v/>
      </c>
      <c r="H67" s="250">
        <f>IFERROR(ROUND(SUM(H61,E64:E66),0),"")</f>
        <v>0</v>
      </c>
    </row>
    <row r="68" spans="2:9" ht="16.899999999999999" customHeight="1" x14ac:dyDescent="0.25">
      <c r="B68" s="460" t="s">
        <v>1162</v>
      </c>
      <c r="C68" s="461"/>
      <c r="D68" s="461"/>
      <c r="E68" s="462"/>
      <c r="F68" s="127"/>
      <c r="G68" s="128"/>
      <c r="I68" s="3"/>
    </row>
    <row r="69" spans="2:9" ht="16.899999999999999" customHeight="1" x14ac:dyDescent="0.25">
      <c r="B69" s="465" t="s">
        <v>1155</v>
      </c>
      <c r="C69" s="466"/>
      <c r="D69" s="120" t="s">
        <v>1078</v>
      </c>
      <c r="E69" s="170" t="str" cm="1">
        <f t="array" ref="E69">IF(DistrictName&lt;&gt;0,INDEX(DataDump!L1:L1202,MATCH(1,(COUNTY1=DataDump!C1:C1202)*(DataDump!G1:G1202='1. Dashboard'!G13),0))," ")</f>
        <v xml:space="preserve"> </v>
      </c>
      <c r="F69" s="127"/>
      <c r="G69" s="133"/>
      <c r="I69" s="3"/>
    </row>
    <row r="70" spans="2:9" ht="16.899999999999999" customHeight="1" x14ac:dyDescent="0.25">
      <c r="B70" s="436" t="s">
        <v>1156</v>
      </c>
      <c r="C70" s="437"/>
      <c r="D70" s="125" t="s">
        <v>1095</v>
      </c>
      <c r="E70" s="171" t="str" cm="1">
        <f t="array" ref="E70">IF(DistrictName&lt;&gt;0,INDEX(DataDump!M1:M1202,MATCH(1,(COUNTY1=DataDump!C1:C1202)*(DataDump!G1:G1202='1. Dashboard'!G13),0))," ")</f>
        <v xml:space="preserve"> </v>
      </c>
      <c r="F70" s="127"/>
      <c r="G70" s="133"/>
    </row>
    <row r="71" spans="2:9" ht="16.899999999999999" customHeight="1" x14ac:dyDescent="0.25">
      <c r="B71" s="436" t="s">
        <v>1157</v>
      </c>
      <c r="C71" s="437"/>
      <c r="D71" s="125" t="s">
        <v>1096</v>
      </c>
      <c r="E71" s="171" t="str" cm="1">
        <f t="array" ref="E71">IF(DistrictName&lt;&gt;0,INDEX(DataDump!O1:O1202,MATCH(1,(COUNTY1=DataDump!C1:C1202)*(DataDump!G1:G1202='1. Dashboard'!G13),0))," ")</f>
        <v xml:space="preserve"> </v>
      </c>
      <c r="F71" s="127"/>
      <c r="G71" s="133"/>
    </row>
    <row r="72" spans="2:9" ht="16.899999999999999" customHeight="1" x14ac:dyDescent="0.25">
      <c r="B72" s="436" t="s">
        <v>1354</v>
      </c>
      <c r="C72" s="437"/>
      <c r="D72" s="120" t="s">
        <v>1097</v>
      </c>
      <c r="E72" s="170" t="str">
        <f>IF(DistrictName&lt;&gt;0,ROUND('1. Dashboard'!$H$58,0),"")</f>
        <v/>
      </c>
      <c r="F72" s="127"/>
      <c r="G72" s="133"/>
    </row>
    <row r="73" spans="2:9" ht="16.899999999999999" customHeight="1" x14ac:dyDescent="0.25">
      <c r="B73" s="436" t="s">
        <v>1154</v>
      </c>
      <c r="C73" s="437"/>
      <c r="D73" s="120" t="s">
        <v>1108</v>
      </c>
      <c r="E73" s="170" t="str">
        <f>IF('1. Dashboard'!$H$49="Yes",ROUND('1. Dashboard'!$H$50,0),"")</f>
        <v/>
      </c>
      <c r="F73" s="127"/>
      <c r="G73" s="133"/>
    </row>
    <row r="74" spans="2:9" ht="16.899999999999999" customHeight="1" x14ac:dyDescent="0.25">
      <c r="B74" s="436" t="s">
        <v>1210</v>
      </c>
      <c r="C74" s="437"/>
      <c r="D74" s="120" t="s">
        <v>1142</v>
      </c>
      <c r="E74" s="170" t="str">
        <f>IF('1. Dashboard'!$H$51="Yes",ROUND('1. Dashboard'!$H$52,0),"")</f>
        <v/>
      </c>
      <c r="F74" s="127"/>
      <c r="G74" s="133"/>
    </row>
    <row r="75" spans="2:9" ht="16.899999999999999" customHeight="1" x14ac:dyDescent="0.25">
      <c r="B75" s="432" t="s">
        <v>1368</v>
      </c>
      <c r="C75" s="433"/>
      <c r="D75" s="434"/>
      <c r="E75" s="435"/>
      <c r="F75" s="125" t="s">
        <v>1143</v>
      </c>
      <c r="G75" s="172" t="str">
        <f>IF(DistrictName&lt;&gt;0,ROUND(SUM(E69:E74),0),"")</f>
        <v/>
      </c>
    </row>
    <row r="76" spans="2:9" ht="16.899999999999999" customHeight="1" x14ac:dyDescent="0.25">
      <c r="B76" s="460" t="s">
        <v>1204</v>
      </c>
      <c r="C76" s="461"/>
      <c r="D76" s="461"/>
      <c r="E76" s="462"/>
      <c r="F76" s="127"/>
      <c r="G76" s="128"/>
    </row>
    <row r="77" spans="2:9" ht="16.899999999999999" customHeight="1" x14ac:dyDescent="0.25">
      <c r="B77" s="465" t="s">
        <v>1211</v>
      </c>
      <c r="C77" s="476"/>
      <c r="D77" s="120" t="s">
        <v>1203</v>
      </c>
      <c r="E77" s="170" t="str">
        <f>IF('1. Dashboard'!$H$53="Yes",ROUND('1. Dashboard'!$H$54,0),"")</f>
        <v/>
      </c>
      <c r="F77" s="127"/>
      <c r="G77" s="133"/>
    </row>
    <row r="78" spans="2:9" ht="16.899999999999999" customHeight="1" x14ac:dyDescent="0.25">
      <c r="B78" s="436" t="str">
        <f>"Solar Farm Tax received in the current year (7/1/"&amp;MID($B$15,3,2)-1&amp;" - 6/30/"&amp;MID($B$15,3,2)&amp;")"</f>
        <v>Solar Farm Tax received in the current year (7/1/25 - 6/30/26)</v>
      </c>
      <c r="C78" s="437"/>
      <c r="D78" s="120" t="s">
        <v>1355</v>
      </c>
      <c r="E78" s="170" t="str">
        <f>IF('1. Dashboard'!$H$47="Yes",ROUND('1. Dashboard'!$H$48,0),"")</f>
        <v/>
      </c>
      <c r="F78" s="127"/>
      <c r="G78" s="133"/>
    </row>
    <row r="79" spans="2:9" ht="16.899999999999999" customHeight="1" thickBot="1" x14ac:dyDescent="0.3">
      <c r="B79" s="477" t="s">
        <v>1369</v>
      </c>
      <c r="C79" s="478"/>
      <c r="D79" s="478"/>
      <c r="E79" s="479"/>
      <c r="F79" s="125" t="s">
        <v>1361</v>
      </c>
      <c r="G79" s="172" t="str">
        <f>IF(DistrictName&lt;&gt;0,ROUND(SUM(E77:E78),0),"")</f>
        <v/>
      </c>
    </row>
    <row r="80" spans="2:9" ht="16.899999999999999" customHeight="1" thickBot="1" x14ac:dyDescent="0.3">
      <c r="B80" s="453" t="str">
        <f>"Fire District Annexation (Cities Only):"</f>
        <v>Fire District Annexation (Cities Only):</v>
      </c>
      <c r="C80" s="454"/>
      <c r="D80" s="454"/>
      <c r="E80" s="454"/>
      <c r="F80" s="454"/>
      <c r="G80" s="455"/>
    </row>
    <row r="81" spans="2:9" ht="16.899999999999999" customHeight="1" thickBot="1" x14ac:dyDescent="0.3">
      <c r="B81" s="515" t="str">
        <f>IF(DistrictType="City","If annexed by a fire district, the amount spent on fire services in the prior year is to be subtracted here","")</f>
        <v/>
      </c>
      <c r="C81" s="516"/>
      <c r="D81" s="516"/>
      <c r="E81" s="517"/>
      <c r="F81" s="134" t="s">
        <v>1362</v>
      </c>
      <c r="G81" s="132" t="str">
        <f>IF(DistrictName&lt;&gt;0,ROUND(IF(DistrictType="City",'1. Dashboard'!H43,0),0),"")</f>
        <v/>
      </c>
    </row>
    <row r="82" spans="2:9" ht="16.899999999999999" customHeight="1" thickBot="1" x14ac:dyDescent="0.3">
      <c r="B82" s="453" t="str">
        <f>IF(DistrictType="School","Tort Fund Less Property Tax Replacement (School Districts Only):","For School Districts Only:")</f>
        <v>For School Districts Only:</v>
      </c>
      <c r="C82" s="454"/>
      <c r="D82" s="454"/>
      <c r="E82" s="454"/>
      <c r="F82" s="454"/>
      <c r="G82" s="455"/>
    </row>
    <row r="83" spans="2:9" ht="16.899999999999999" customHeight="1" x14ac:dyDescent="0.25">
      <c r="B83" s="502"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503"/>
      <c r="D83" s="503"/>
      <c r="E83" s="504"/>
      <c r="F83" s="474" t="s">
        <v>1363</v>
      </c>
      <c r="G83" s="513">
        <f>IFERROR(IF(DistrictType="School", IF((G67-G75-G79)&lt;0,"",ROUND(G67-G75-G79,0)),0),"")</f>
        <v>0</v>
      </c>
      <c r="H83" s="493"/>
    </row>
    <row r="84" spans="2:9" ht="16.899999999999999" customHeight="1" x14ac:dyDescent="0.25">
      <c r="B84" s="505"/>
      <c r="C84" s="506"/>
      <c r="D84" s="506"/>
      <c r="E84" s="507"/>
      <c r="F84" s="475"/>
      <c r="G84" s="514"/>
      <c r="H84" s="493"/>
    </row>
    <row r="85" spans="2:9" ht="16.899999999999999" customHeight="1" x14ac:dyDescent="0.25">
      <c r="B85" s="467"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4"/>
      <c r="D85" s="434"/>
      <c r="E85" s="435"/>
      <c r="F85" s="500" t="s">
        <v>1366</v>
      </c>
      <c r="G85" s="511">
        <f>IFERROR(IF(DistrictType="School", IF((G67-G75-G79)&gt;0,"",ROUND(ABS(G67-G75-G79),0)),0),"")</f>
        <v>0</v>
      </c>
      <c r="H85" s="493"/>
      <c r="I85" s="32"/>
    </row>
    <row r="86" spans="2:9" ht="30.75" customHeight="1" thickBot="1" x14ac:dyDescent="0.3">
      <c r="B86" s="508"/>
      <c r="C86" s="509"/>
      <c r="D86" s="509"/>
      <c r="E86" s="510"/>
      <c r="F86" s="501"/>
      <c r="G86" s="512"/>
      <c r="H86" s="493"/>
      <c r="I86" s="32"/>
    </row>
    <row r="87" spans="2:9" ht="16.899999999999999" customHeight="1" thickBot="1" x14ac:dyDescent="0.3">
      <c r="B87" s="468" t="str">
        <f>IF(DistrictType="School","","Maximum Allowable Non-Exempt Property Tax That Can Be Levied (Including Forgone Amount):")</f>
        <v>Maximum Allowable Non-Exempt Property Tax That Can Be Levied (Including Forgone Amount):</v>
      </c>
      <c r="C87" s="469"/>
      <c r="D87" s="469"/>
      <c r="E87" s="469"/>
      <c r="F87" s="469"/>
      <c r="G87" s="470"/>
    </row>
    <row r="88" spans="2:9" ht="16.899999999999999" customHeight="1" thickBot="1" x14ac:dyDescent="0.3">
      <c r="B88" s="471" t="str">
        <f>IF(DistrictType="School","", "Maximum non-exempt property tax budget including forgone amount (lines 27 - 34 - 37 - 38)")</f>
        <v>Maximum non-exempt property tax budget including forgone amount (lines 27 - 34 - 37 - 38)</v>
      </c>
      <c r="C88" s="472"/>
      <c r="D88" s="472"/>
      <c r="E88" s="473"/>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59"/>
      <c r="C89" s="459"/>
      <c r="D89" s="459"/>
      <c r="E89" s="459"/>
      <c r="F89" s="459"/>
      <c r="G89" s="459"/>
    </row>
  </sheetData>
  <sheetProtection algorithmName="SHA-512" hashValue="BGUUxovmXlYi2kh+MFrJLAhJTlAiS5G2spk5iiSBdR8TEHLveIZlmOKGyXkR6FaM8YXCJzXxciJPocWmSFTMIQ==" saltValue="iHDwcU2UwjtGWswPOY87HA==" spinCount="100000" sheet="1" objects="1" scenarios="1"/>
  <mergeCells count="107">
    <mergeCell ref="B41:E41"/>
    <mergeCell ref="B57:E57"/>
    <mergeCell ref="B58:C58"/>
    <mergeCell ref="B59:C59"/>
    <mergeCell ref="B60:E60"/>
    <mergeCell ref="B61:E61"/>
    <mergeCell ref="B56:C56"/>
    <mergeCell ref="B55:C55"/>
    <mergeCell ref="B46:C46"/>
    <mergeCell ref="B43:C43"/>
    <mergeCell ref="B44:C44"/>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91" t="str">
        <f>LEFT('1. Dashboard'!$B$8,4)&amp;" Dollar Certification of Budget Request to Board of County Commissioners L-2"</f>
        <v>2026 Dollar Certification of Budget Request to Board of County Commissioners L-2</v>
      </c>
      <c r="C2" s="592"/>
      <c r="D2" s="592"/>
      <c r="E2" s="592"/>
      <c r="F2" s="592"/>
      <c r="G2" s="592"/>
      <c r="H2" s="593"/>
      <c r="Q2" s="5"/>
    </row>
    <row r="3" spans="1:17" ht="16.899999999999999" customHeight="1" thickBot="1" x14ac:dyDescent="0.3">
      <c r="B3" s="594" t="s">
        <v>59</v>
      </c>
      <c r="C3" s="595"/>
      <c r="D3" s="595"/>
      <c r="E3" s="595"/>
      <c r="F3" s="595"/>
      <c r="G3" s="595"/>
      <c r="H3" s="596"/>
    </row>
    <row r="4" spans="1:17" ht="16.899999999999999" customHeight="1" x14ac:dyDescent="0.25">
      <c r="B4" s="57" t="s">
        <v>1</v>
      </c>
      <c r="C4" s="28"/>
      <c r="D4" s="609">
        <f>'1. Dashboard'!G13</f>
        <v>0</v>
      </c>
      <c r="E4" s="609"/>
      <c r="F4" s="609"/>
      <c r="G4" s="609"/>
      <c r="H4" s="610"/>
    </row>
    <row r="5" spans="1:17" ht="16.899999999999999" customHeight="1" x14ac:dyDescent="0.25">
      <c r="B5" s="603" t="s">
        <v>37</v>
      </c>
      <c r="C5" s="604"/>
      <c r="D5" s="599" t="s">
        <v>61</v>
      </c>
      <c r="E5" s="599" t="str">
        <f>IF('1. Dashboard'!G12="School","Cash Forward Balance &amp; Other Revenue Not Shown in Columns 4 or 5","Cash Forward Balance")</f>
        <v>Cash Forward Balance</v>
      </c>
      <c r="F5" s="599" t="str">
        <f>IF('1. Dashboard'!G12="School","Revenue from School District Facilities Fund (IC§33-911)","Other revenue NOT shown in Column 5")</f>
        <v>Other revenue NOT shown in Column 5</v>
      </c>
      <c r="G5" s="599" t="s">
        <v>1370</v>
      </c>
      <c r="H5" s="601" t="s">
        <v>60</v>
      </c>
    </row>
    <row r="6" spans="1:17" ht="16.899999999999999" customHeight="1" x14ac:dyDescent="0.25">
      <c r="B6" s="605"/>
      <c r="C6" s="606"/>
      <c r="D6" s="600"/>
      <c r="E6" s="600"/>
      <c r="F6" s="600"/>
      <c r="G6" s="600"/>
      <c r="H6" s="602"/>
    </row>
    <row r="7" spans="1:17" ht="50.45" customHeight="1" x14ac:dyDescent="0.25">
      <c r="B7" s="607"/>
      <c r="C7" s="608"/>
      <c r="D7" s="600"/>
      <c r="E7" s="600"/>
      <c r="F7" s="600"/>
      <c r="G7" s="600"/>
      <c r="H7" s="602"/>
      <c r="K7" s="49"/>
    </row>
    <row r="8" spans="1:17" ht="16.899999999999999" customHeight="1" x14ac:dyDescent="0.25">
      <c r="B8" s="611">
        <v>1</v>
      </c>
      <c r="C8" s="612"/>
      <c r="D8" s="14">
        <v>2</v>
      </c>
      <c r="E8" s="14">
        <v>3</v>
      </c>
      <c r="F8" s="14">
        <v>4</v>
      </c>
      <c r="G8" s="14">
        <v>5</v>
      </c>
      <c r="H8" s="29">
        <v>6</v>
      </c>
    </row>
    <row r="9" spans="1:17" ht="16.899999999999999" customHeight="1" x14ac:dyDescent="0.25">
      <c r="B9" s="523"/>
      <c r="C9" s="524"/>
      <c r="D9" s="45"/>
      <c r="E9" s="45"/>
      <c r="F9" s="45"/>
      <c r="G9" s="45"/>
      <c r="H9" s="67">
        <f>ROUND(D9-(E9+F9+G9),0)</f>
        <v>0</v>
      </c>
    </row>
    <row r="10" spans="1:17" ht="16.899999999999999" customHeight="1" x14ac:dyDescent="0.25">
      <c r="B10" s="523"/>
      <c r="C10" s="524"/>
      <c r="D10" s="45"/>
      <c r="E10" s="45"/>
      <c r="F10" s="45"/>
      <c r="G10" s="45"/>
      <c r="H10" s="67">
        <f t="shared" ref="H10:H28" si="0">ROUND(D10-(E10+F10+G10),0)</f>
        <v>0</v>
      </c>
    </row>
    <row r="11" spans="1:17" ht="16.899999999999999" customHeight="1" x14ac:dyDescent="0.25">
      <c r="B11" s="523"/>
      <c r="C11" s="524"/>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23"/>
      <c r="C15" s="524"/>
      <c r="D15" s="45"/>
      <c r="E15" s="45"/>
      <c r="F15" s="45"/>
      <c r="G15" s="45"/>
      <c r="H15" s="67">
        <f t="shared" si="0"/>
        <v>0</v>
      </c>
    </row>
    <row r="16" spans="1:17" ht="16.899999999999999" customHeight="1" x14ac:dyDescent="0.25">
      <c r="B16" s="523"/>
      <c r="C16" s="524"/>
      <c r="D16" s="45"/>
      <c r="E16" s="45"/>
      <c r="F16" s="45"/>
      <c r="G16" s="45"/>
      <c r="H16" s="67">
        <f t="shared" si="0"/>
        <v>0</v>
      </c>
    </row>
    <row r="17" spans="2:10" ht="16.899999999999999" customHeight="1" x14ac:dyDescent="0.25">
      <c r="B17" s="523"/>
      <c r="C17" s="524"/>
      <c r="D17" s="45"/>
      <c r="E17" s="45"/>
      <c r="F17" s="45"/>
      <c r="G17" s="45"/>
      <c r="H17" s="67">
        <f t="shared" si="0"/>
        <v>0</v>
      </c>
    </row>
    <row r="18" spans="2:10" ht="16.899999999999999" customHeight="1" x14ac:dyDescent="0.25">
      <c r="B18" s="523"/>
      <c r="C18" s="524"/>
      <c r="D18" s="45"/>
      <c r="E18" s="45"/>
      <c r="F18" s="45"/>
      <c r="G18" s="45"/>
      <c r="H18" s="67">
        <f t="shared" si="0"/>
        <v>0</v>
      </c>
    </row>
    <row r="19" spans="2:10" ht="16.899999999999999" customHeight="1" x14ac:dyDescent="0.25">
      <c r="B19" s="523"/>
      <c r="C19" s="524"/>
      <c r="D19" s="45"/>
      <c r="E19" s="45"/>
      <c r="F19" s="45"/>
      <c r="G19" s="45"/>
      <c r="H19" s="67">
        <f t="shared" si="0"/>
        <v>0</v>
      </c>
    </row>
    <row r="20" spans="2:10" ht="16.899999999999999" customHeight="1" x14ac:dyDescent="0.25">
      <c r="B20" s="523"/>
      <c r="C20" s="524"/>
      <c r="D20" s="45"/>
      <c r="E20" s="45"/>
      <c r="F20" s="45"/>
      <c r="G20" s="45"/>
      <c r="H20" s="67">
        <f t="shared" si="0"/>
        <v>0</v>
      </c>
    </row>
    <row r="21" spans="2:10" ht="16.899999999999999" customHeight="1" x14ac:dyDescent="0.25">
      <c r="B21" s="523"/>
      <c r="C21" s="524"/>
      <c r="D21" s="45"/>
      <c r="E21" s="45"/>
      <c r="F21" s="45"/>
      <c r="G21" s="45"/>
      <c r="H21" s="67">
        <f t="shared" si="0"/>
        <v>0</v>
      </c>
      <c r="J21" s="71"/>
    </row>
    <row r="22" spans="2:10" ht="16.899999999999999" customHeight="1" x14ac:dyDescent="0.25">
      <c r="B22" s="523"/>
      <c r="C22" s="524"/>
      <c r="D22" s="45"/>
      <c r="E22" s="45"/>
      <c r="F22" s="45"/>
      <c r="G22" s="45"/>
      <c r="H22" s="67">
        <f t="shared" si="0"/>
        <v>0</v>
      </c>
    </row>
    <row r="23" spans="2:10" ht="16.899999999999999" customHeight="1" x14ac:dyDescent="0.25">
      <c r="B23" s="523"/>
      <c r="C23" s="524"/>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48" t="s">
        <v>1073</v>
      </c>
      <c r="C28" s="549"/>
      <c r="D28" s="80"/>
      <c r="E28" s="80"/>
      <c r="F28" s="80"/>
      <c r="G28" s="112"/>
      <c r="H28" s="67">
        <f t="shared" si="0"/>
        <v>0</v>
      </c>
      <c r="J28" s="50"/>
    </row>
    <row r="29" spans="2:10" ht="16.899999999999999" customHeight="1" thickBot="1" x14ac:dyDescent="0.3">
      <c r="B29" s="544" t="s">
        <v>74</v>
      </c>
      <c r="C29" s="545"/>
      <c r="D29" s="64">
        <f>ROUND(SUM(D9:D28),0)</f>
        <v>0</v>
      </c>
      <c r="E29" s="64">
        <f>ROUND(SUM(E9:E28),0)</f>
        <v>0</v>
      </c>
      <c r="F29" s="64">
        <f>ROUND(SUM(F9:F28),0)</f>
        <v>0</v>
      </c>
      <c r="G29" s="64">
        <f>ROUND(SUM(G9:G28),0)</f>
        <v>0</v>
      </c>
      <c r="H29" s="153">
        <f>SUM(H9:H26)</f>
        <v>0</v>
      </c>
      <c r="J29" s="50"/>
    </row>
    <row r="30" spans="2:10" ht="19.5" thickBot="1" x14ac:dyDescent="0.35">
      <c r="B30" s="152"/>
      <c r="C30" s="540" t="str">
        <f>IF('1. Dashboard'!G12&lt;&gt;"School","Maximum Allowable Non-Exempt Property Tax Amount to be Levied:","Maximum Amount to be Levied for the Tort Fund:")</f>
        <v>Maximum Allowable Non-Exempt Property Tax Amount to be Levied:</v>
      </c>
      <c r="D30" s="540"/>
      <c r="E30" s="540"/>
      <c r="F30" s="540"/>
      <c r="G30" s="540"/>
      <c r="H30" s="158" t="str">
        <f>IFERROR(IF('1. Dashboard'!G12&lt;&gt;"School",'2. L-2 Worksheet'!G88,'2. L-2 Worksheet'!G83),"")</f>
        <v/>
      </c>
      <c r="J30" s="50"/>
    </row>
    <row r="31" spans="2:10" ht="21.75" customHeight="1" x14ac:dyDescent="0.35">
      <c r="B31" s="534" t="s">
        <v>75</v>
      </c>
      <c r="C31" s="535"/>
      <c r="D31" s="535"/>
      <c r="E31" s="535"/>
      <c r="F31" s="535"/>
      <c r="G31" s="535"/>
      <c r="H31" s="536"/>
      <c r="J31" s="50"/>
    </row>
    <row r="32" spans="2:10" ht="16.5" thickBot="1" x14ac:dyDescent="0.3">
      <c r="B32" s="541"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542"/>
      <c r="D32" s="542"/>
      <c r="E32" s="542"/>
      <c r="F32" s="542"/>
      <c r="G32" s="542"/>
      <c r="H32" s="543"/>
      <c r="J32" s="50"/>
    </row>
    <row r="33" spans="2:11" ht="16.899999999999999" customHeight="1" x14ac:dyDescent="0.25">
      <c r="B33" s="530"/>
      <c r="C33" s="531"/>
      <c r="D33" s="70"/>
      <c r="E33" s="70"/>
      <c r="F33" s="70"/>
      <c r="G33" s="70"/>
      <c r="H33" s="68">
        <f>ROUND(D33-(E33+F33+G33),0)</f>
        <v>0</v>
      </c>
      <c r="J33" s="50"/>
    </row>
    <row r="34" spans="2:11" ht="16.899999999999999" customHeight="1" x14ac:dyDescent="0.25">
      <c r="B34" s="523"/>
      <c r="C34" s="524"/>
      <c r="D34" s="59"/>
      <c r="E34" s="59"/>
      <c r="F34" s="59"/>
      <c r="G34" s="59"/>
      <c r="H34" s="68">
        <f t="shared" ref="H34:H39" si="1">ROUND(D34-(E34+F34+G34),0)</f>
        <v>0</v>
      </c>
      <c r="J34" s="50"/>
    </row>
    <row r="35" spans="2:11" ht="16.899999999999999" customHeight="1" x14ac:dyDescent="0.25">
      <c r="B35" s="523"/>
      <c r="C35" s="524"/>
      <c r="D35" s="59"/>
      <c r="E35" s="59"/>
      <c r="F35" s="59"/>
      <c r="G35" s="59"/>
      <c r="H35" s="68">
        <f t="shared" si="1"/>
        <v>0</v>
      </c>
      <c r="J35" s="50"/>
    </row>
    <row r="36" spans="2:11" ht="16.899999999999999" customHeight="1" x14ac:dyDescent="0.25">
      <c r="B36" s="523"/>
      <c r="C36" s="524"/>
      <c r="D36" s="80"/>
      <c r="E36" s="80"/>
      <c r="F36" s="80"/>
      <c r="G36" s="80"/>
      <c r="H36" s="68">
        <f t="shared" si="1"/>
        <v>0</v>
      </c>
      <c r="J36" s="50"/>
    </row>
    <row r="37" spans="2:11" ht="16.899999999999999" customHeight="1" x14ac:dyDescent="0.25">
      <c r="B37" s="523"/>
      <c r="C37" s="524"/>
      <c r="D37" s="80"/>
      <c r="E37" s="80"/>
      <c r="F37" s="80"/>
      <c r="G37" s="80"/>
      <c r="H37" s="68">
        <f t="shared" si="1"/>
        <v>0</v>
      </c>
      <c r="J37" s="50"/>
    </row>
    <row r="38" spans="2:11" ht="16.899999999999999" customHeight="1" x14ac:dyDescent="0.25">
      <c r="B38" s="523"/>
      <c r="C38" s="524"/>
      <c r="D38" s="80"/>
      <c r="E38" s="80"/>
      <c r="F38" s="80"/>
      <c r="G38" s="80"/>
      <c r="H38" s="68">
        <f t="shared" si="1"/>
        <v>0</v>
      </c>
      <c r="J38" s="50"/>
    </row>
    <row r="39" spans="2:11" ht="16.899999999999999" customHeight="1" x14ac:dyDescent="0.25">
      <c r="B39" s="523"/>
      <c r="C39" s="524"/>
      <c r="D39" s="80"/>
      <c r="E39" s="80"/>
      <c r="F39" s="80"/>
      <c r="G39" s="80"/>
      <c r="H39" s="68">
        <f t="shared" si="1"/>
        <v>0</v>
      </c>
      <c r="J39" s="50"/>
    </row>
    <row r="40" spans="2:11" ht="16.899999999999999" customHeight="1" thickBot="1" x14ac:dyDescent="0.3">
      <c r="B40" s="532" t="s">
        <v>74</v>
      </c>
      <c r="C40" s="533"/>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28" t="s">
        <v>30</v>
      </c>
      <c r="C41" s="529"/>
      <c r="D41" s="62">
        <f t="shared" ref="D41:F41" si="4">D29+D40</f>
        <v>0</v>
      </c>
      <c r="E41" s="62">
        <f t="shared" si="4"/>
        <v>0</v>
      </c>
      <c r="F41" s="62">
        <f t="shared" si="4"/>
        <v>0</v>
      </c>
      <c r="G41" s="62">
        <f>G29+G40</f>
        <v>0</v>
      </c>
      <c r="H41" s="63">
        <f>H29+H40</f>
        <v>0</v>
      </c>
      <c r="J41" s="50"/>
    </row>
    <row r="42" spans="2:11" ht="16.899999999999999" customHeight="1" thickBot="1" x14ac:dyDescent="0.3">
      <c r="B42" s="550" t="str">
        <f>IF('1. Dashboard'!G12&lt;&gt;"School", "Expected Totals (for balancing purposes, values from 'L-2 Worksheet')","Expected Totals (for balancing purposes)")</f>
        <v>Expected Totals (for balancing purposes, values from 'L-2 Worksheet')</v>
      </c>
      <c r="C42" s="551"/>
      <c r="D42" s="551"/>
      <c r="E42" s="551"/>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46"/>
      <c r="C46" s="547"/>
      <c r="D46" s="547"/>
      <c r="E46" s="547"/>
      <c r="F46" s="547"/>
      <c r="G46" s="10"/>
      <c r="H46" s="210"/>
    </row>
    <row r="47" spans="2:11" ht="16.5" customHeight="1" x14ac:dyDescent="0.25">
      <c r="B47" s="546"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47"/>
      <c r="D47" s="547"/>
      <c r="E47" s="547"/>
      <c r="F47" s="547"/>
      <c r="G47" s="23" t="str">
        <f>IF('1. Dashboard'!G12="School","",
 IF(SCOstatus="No","",
 IF(AND(SUM('2. L-2 Worksheet'!E64:E65)&lt;1,
        OR(DistrictType="Fire",DistrictType="Ambulance")),"",
    "Initials:")))</f>
        <v>Initials:</v>
      </c>
      <c r="H47" s="114"/>
    </row>
    <row r="48" spans="2:11" ht="16.899999999999999" customHeight="1" thickBot="1" x14ac:dyDescent="0.3">
      <c r="B48" s="555" t="str">
        <f>IF('1. Dashboard'!G12="Hospital", "HOSPITALS ONLY: If a public hearing was held pursuant to I.C. §39-1333","")</f>
        <v/>
      </c>
      <c r="C48" s="556"/>
      <c r="D48" s="556"/>
      <c r="E48" s="556"/>
      <c r="F48" s="209"/>
      <c r="G48" s="220" t="str">
        <f>IF('1. Dashboard'!G12="Hospital", "Initials:","")</f>
        <v/>
      </c>
      <c r="H48" s="31"/>
    </row>
    <row r="49" spans="2:8" ht="16.899999999999999" customHeight="1" x14ac:dyDescent="0.25">
      <c r="B49" s="502" t="s">
        <v>36</v>
      </c>
      <c r="C49" s="503"/>
      <c r="D49" s="503"/>
      <c r="E49" s="503"/>
      <c r="F49" s="503"/>
      <c r="G49" s="503"/>
      <c r="H49" s="597"/>
    </row>
    <row r="50" spans="2:8" ht="16.899999999999999" customHeight="1" x14ac:dyDescent="0.25">
      <c r="B50" s="505"/>
      <c r="C50" s="506"/>
      <c r="D50" s="506"/>
      <c r="E50" s="506"/>
      <c r="F50" s="506"/>
      <c r="G50" s="506"/>
      <c r="H50" s="598"/>
    </row>
    <row r="51" spans="2:8" ht="16.899999999999999" customHeight="1" x14ac:dyDescent="0.25">
      <c r="B51" s="583"/>
      <c r="C51" s="579"/>
      <c r="D51" s="578"/>
      <c r="E51" s="579"/>
      <c r="F51" s="578"/>
      <c r="G51" s="579"/>
      <c r="H51" s="574"/>
    </row>
    <row r="52" spans="2:8" ht="16.899999999999999" customHeight="1" x14ac:dyDescent="0.25">
      <c r="B52" s="584"/>
      <c r="C52" s="581"/>
      <c r="D52" s="580"/>
      <c r="E52" s="581"/>
      <c r="F52" s="580"/>
      <c r="G52" s="581"/>
      <c r="H52" s="575"/>
    </row>
    <row r="53" spans="2:8" ht="16.899999999999999" customHeight="1" x14ac:dyDescent="0.25">
      <c r="B53" s="582" t="s">
        <v>1126</v>
      </c>
      <c r="C53" s="577"/>
      <c r="D53" s="576" t="s">
        <v>29</v>
      </c>
      <c r="E53" s="577"/>
      <c r="F53" s="576" t="s">
        <v>28</v>
      </c>
      <c r="G53" s="577"/>
      <c r="H53" s="163" t="s">
        <v>27</v>
      </c>
    </row>
    <row r="54" spans="2:8" ht="16.899999999999999" customHeight="1" x14ac:dyDescent="0.25">
      <c r="B54" s="537"/>
      <c r="C54" s="538"/>
      <c r="D54" s="538"/>
      <c r="E54" s="539"/>
      <c r="F54" s="563"/>
      <c r="G54" s="564"/>
      <c r="H54" s="565"/>
    </row>
    <row r="55" spans="2:8" ht="16.899999999999999" customHeight="1" x14ac:dyDescent="0.25">
      <c r="B55" s="588"/>
      <c r="C55" s="589"/>
      <c r="D55" s="589"/>
      <c r="E55" s="590"/>
      <c r="F55" s="566"/>
      <c r="G55" s="567"/>
      <c r="H55" s="568"/>
    </row>
    <row r="56" spans="2:8" ht="16.899999999999999" customHeight="1" x14ac:dyDescent="0.25">
      <c r="B56" s="585"/>
      <c r="C56" s="586"/>
      <c r="D56" s="586"/>
      <c r="E56" s="587"/>
      <c r="F56" s="569"/>
      <c r="G56" s="570"/>
      <c r="H56" s="571"/>
    </row>
    <row r="57" spans="2:8" ht="16.899999999999999" customHeight="1" x14ac:dyDescent="0.25">
      <c r="B57" s="552" t="s">
        <v>32</v>
      </c>
      <c r="C57" s="553"/>
      <c r="D57" s="553"/>
      <c r="E57" s="554"/>
      <c r="F57" s="572" t="s">
        <v>33</v>
      </c>
      <c r="G57" s="553"/>
      <c r="H57" s="573"/>
    </row>
    <row r="58" spans="2:8" ht="16.899999999999999" customHeight="1" x14ac:dyDescent="0.25">
      <c r="B58" s="525"/>
      <c r="C58" s="526"/>
      <c r="D58" s="526"/>
      <c r="E58" s="527"/>
      <c r="F58" s="561"/>
      <c r="G58" s="526"/>
      <c r="H58" s="562"/>
    </row>
    <row r="59" spans="2:8" ht="16.899999999999999" customHeight="1" thickBot="1" x14ac:dyDescent="0.3">
      <c r="B59" s="528" t="s">
        <v>34</v>
      </c>
      <c r="C59" s="560"/>
      <c r="D59" s="560"/>
      <c r="E59" s="529"/>
      <c r="F59" s="557" t="s">
        <v>35</v>
      </c>
      <c r="G59" s="558"/>
      <c r="H59" s="559"/>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9:C29"/>
    <mergeCell ref="B47:F47"/>
    <mergeCell ref="B46:F46"/>
    <mergeCell ref="B16:C16"/>
    <mergeCell ref="B23:C23"/>
    <mergeCell ref="B28:C28"/>
    <mergeCell ref="B39:C39"/>
    <mergeCell ref="B42:E42"/>
    <mergeCell ref="B20:C20"/>
    <mergeCell ref="B22:C22"/>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1321</v>
      </c>
      <c r="B1" s="156" t="s">
        <v>596</v>
      </c>
      <c r="C1" s="156" t="s">
        <v>1336</v>
      </c>
      <c r="D1" s="156" t="s">
        <v>1337</v>
      </c>
      <c r="E1" s="156" t="s">
        <v>1338</v>
      </c>
      <c r="F1" s="156" t="str">
        <f>IF(DistrictType="School",
    "CashForward&amp;OtherRevenue",
    "CashForward")</f>
        <v>CashForward</v>
      </c>
      <c r="G1" s="156" t="str">
        <f>IF(DistrictType="School","SDFFreductions","OtherRevenue")</f>
        <v>OtherRevenue</v>
      </c>
      <c r="H1" s="156" t="s">
        <v>1339</v>
      </c>
      <c r="I1" s="156" t="s">
        <v>1340</v>
      </c>
      <c r="J1" s="156" t="s">
        <v>1348</v>
      </c>
      <c r="K1" s="156" t="s">
        <v>1350</v>
      </c>
      <c r="L1" s="156" t="s">
        <v>1349</v>
      </c>
      <c r="M1" s="237" t="s">
        <v>1351</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2.xml><?xml version="1.0" encoding="utf-8"?>
<ds:datastoreItem xmlns:ds="http://schemas.openxmlformats.org/officeDocument/2006/customXml" ds:itemID="{2116BD40-A8AB-4FFC-B314-EC33E697B421}">
  <ds:schemaRefs>
    <ds:schemaRef ds:uri="http://schemas.microsoft.com/DataMashup"/>
  </ds:schemaRefs>
</ds:datastoreItem>
</file>

<file path=customXml/itemProps3.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2026-07-15T14:54:03Z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