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defaultThemeVersion="166925"/>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1322B47D-5030-44E5-8B3D-23FF446D0295}" xr6:coauthVersionLast="47" xr6:coauthVersionMax="47" xr10:uidLastSave="{00000000-0000-0000-0000-000000000000}"/>
  <bookViews>
    <workbookView xWindow="-120" yWindow="-120" windowWidth="29040" windowHeight="15720" tabRatio="797" firstSheet="3" activeTab="3" xr2:uid="{00000000-000D-0000-FFFF-FFFF00000000}"/>
  </bookViews>
  <sheets>
    <sheet name="Review_Extract_Data" sheetId="15" state="hidden" r:id="rId1"/>
    <sheet name="DataDump" sheetId="13" state="hidden" r:id="rId2"/>
    <sheet name="Hidden" sheetId="14" state="hidden" r:id="rId3"/>
    <sheet name="Instructions" sheetId="17" r:id="rId4"/>
    <sheet name="1. Dashboard" sheetId="16" r:id="rId5"/>
    <sheet name="2. L-2 Worksheet" sheetId="4" r:id="rId6"/>
    <sheet name="3. L-2 Dollar Certification" sheetId="7" r:id="rId7"/>
    <sheet name="4. Levy Rate Calculation" sheetId="10" r:id="rId8"/>
    <sheet name="5. Voter Tracker" sheetId="9" r:id="rId9"/>
  </sheets>
  <definedNames>
    <definedName name="_xlnm._FilterDatabase" localSheetId="1" hidden="1">DataDump!$A$1:$H$1334</definedName>
    <definedName name="CountyList">Hidden!$A$2:$A$26</definedName>
    <definedName name="DistrictName">'1. Dashboard'!$G$10</definedName>
    <definedName name="_xlnm.Print_Area" localSheetId="5">'2. L-2 Worksheet'!$B$2:$I$74</definedName>
    <definedName name="_xlnm.Print_Area" localSheetId="6">'3. L-2 Dollar Certification'!$B$2:$H$64</definedName>
    <definedName name="_xlnm.Print_Area" localSheetId="7">'4. Levy Rate Calculation'!$B$2:$H$55</definedName>
    <definedName name="_xlnm.Print_Area" localSheetId="8">'5. Voter Tracker'!$B$2:$I$34</definedName>
    <definedName name="_xlnm.Print_Area" localSheetId="3">Instructions!$B$2:$S$16</definedName>
    <definedName name="YesNo">Hidden!$C$2:$C$4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5" l="1"/>
  <c r="C2" i="15"/>
  <c r="B13" i="4" l="1"/>
  <c r="AL2" i="15"/>
  <c r="AL3" i="15" s="1"/>
  <c r="F16" i="10"/>
  <c r="F15" i="10"/>
  <c r="F14" i="10"/>
  <c r="F13" i="10"/>
  <c r="F45" i="10" l="1"/>
  <c r="H45" i="10" s="1"/>
  <c r="F46" i="10"/>
  <c r="H46" i="10" s="1"/>
  <c r="F47" i="10"/>
  <c r="H47" i="10" s="1"/>
  <c r="F48" i="10"/>
  <c r="H48" i="10" s="1"/>
  <c r="F49" i="10"/>
  <c r="H49" i="10" s="1"/>
  <c r="F50" i="10"/>
  <c r="H50" i="10" s="1"/>
  <c r="F51" i="10"/>
  <c r="F52" i="10"/>
  <c r="H52" i="10" s="1"/>
  <c r="F43" i="10"/>
  <c r="H43" i="10" s="1"/>
  <c r="F39" i="10"/>
  <c r="H39" i="10" s="1"/>
  <c r="F40" i="10"/>
  <c r="H40" i="10" s="1"/>
  <c r="F38" i="10"/>
  <c r="F24" i="10"/>
  <c r="H24" i="10" s="1"/>
  <c r="F25" i="10"/>
  <c r="H25" i="10" s="1"/>
  <c r="F26" i="10"/>
  <c r="H26" i="10" s="1"/>
  <c r="F27" i="10"/>
  <c r="H27" i="10" s="1"/>
  <c r="F28" i="10"/>
  <c r="H28" i="10" s="1"/>
  <c r="F29" i="10"/>
  <c r="H29" i="10" s="1"/>
  <c r="F30" i="10"/>
  <c r="H30" i="10" s="1"/>
  <c r="F31" i="10"/>
  <c r="H31" i="10" s="1"/>
  <c r="F32" i="10"/>
  <c r="H32" i="10" s="1"/>
  <c r="F33" i="10"/>
  <c r="H33" i="10" s="1"/>
  <c r="F34" i="10"/>
  <c r="H34" i="10" s="1"/>
  <c r="F35" i="10"/>
  <c r="H35" i="10" s="1"/>
  <c r="F36" i="10"/>
  <c r="H36" i="10" s="1"/>
  <c r="F37" i="10"/>
  <c r="H37" i="10" s="1"/>
  <c r="F21" i="10"/>
  <c r="H21" i="10" s="1"/>
  <c r="F22" i="10"/>
  <c r="H22" i="10" s="1"/>
  <c r="F23" i="10"/>
  <c r="H23" i="10" s="1"/>
  <c r="B4" i="9"/>
  <c r="B4" i="7"/>
  <c r="C4" i="10"/>
  <c r="D19" i="10"/>
  <c r="H51" i="10"/>
  <c r="H38" i="10"/>
  <c r="G49" i="4"/>
  <c r="B49" i="4" s="1"/>
  <c r="R3" i="15"/>
  <c r="R2" i="15"/>
  <c r="B54" i="4"/>
  <c r="C11" i="10"/>
  <c r="E6" i="10"/>
  <c r="AG18" i="13"/>
  <c r="AG2" i="13"/>
  <c r="C50" i="7"/>
  <c r="B73" i="4"/>
  <c r="G44" i="4"/>
  <c r="G42" i="4"/>
  <c r="G25" i="16"/>
  <c r="G24" i="16"/>
  <c r="S2" i="15" l="1"/>
  <c r="B18" i="4"/>
  <c r="B3" i="4"/>
  <c r="G23" i="16"/>
  <c r="G22" i="16"/>
  <c r="G19" i="16"/>
  <c r="G18" i="16"/>
  <c r="G16" i="16"/>
  <c r="G15" i="16"/>
  <c r="G13" i="16"/>
  <c r="G12" i="16"/>
  <c r="AQ3" i="15"/>
  <c r="G52" i="7"/>
  <c r="B51" i="4"/>
  <c r="AH1" i="15"/>
  <c r="AG1" i="15"/>
  <c r="AF1" i="15"/>
  <c r="B2" i="15"/>
  <c r="B3" i="15" s="1"/>
  <c r="E18" i="4" l="1"/>
  <c r="I56" i="16" l="1"/>
  <c r="I55" i="16"/>
  <c r="G65" i="4"/>
  <c r="G66" i="4"/>
  <c r="W2" i="15" s="1"/>
  <c r="G69" i="4"/>
  <c r="G70" i="4"/>
  <c r="G64" i="4"/>
  <c r="G63" i="4"/>
  <c r="G62" i="4"/>
  <c r="G56" i="4"/>
  <c r="B32" i="4"/>
  <c r="B29" i="4"/>
  <c r="G27" i="4"/>
  <c r="G26" i="4"/>
  <c r="B26" i="4"/>
  <c r="D5" i="4"/>
  <c r="E14" i="4" s="1"/>
  <c r="B15" i="4"/>
  <c r="B14" i="4"/>
  <c r="B5" i="4"/>
  <c r="G58" i="4"/>
  <c r="G57" i="4"/>
  <c r="G43" i="4"/>
  <c r="G46" i="4" s="1"/>
  <c r="G41" i="4"/>
  <c r="G45" i="4" s="1"/>
  <c r="G33" i="4"/>
  <c r="G32" i="4"/>
  <c r="G30" i="4"/>
  <c r="G29" i="4"/>
  <c r="G23" i="4"/>
  <c r="G22" i="4"/>
  <c r="H38" i="16"/>
  <c r="B2" i="9"/>
  <c r="B2" i="10"/>
  <c r="B2" i="7"/>
  <c r="B17" i="4"/>
  <c r="I54" i="16"/>
  <c r="B53" i="16"/>
  <c r="B52" i="16"/>
  <c r="P20" i="13"/>
  <c r="H50" i="7" l="1"/>
  <c r="B52" i="7"/>
  <c r="U2" i="15"/>
  <c r="I67" i="4"/>
  <c r="G14" i="4"/>
  <c r="G8" i="4"/>
  <c r="I8" i="4"/>
  <c r="E9" i="4"/>
  <c r="G9" i="4"/>
  <c r="E13" i="4"/>
  <c r="G13" i="4"/>
  <c r="I13" i="4"/>
  <c r="G10" i="4"/>
  <c r="I14" i="4"/>
  <c r="E5" i="4"/>
  <c r="I10" i="4"/>
  <c r="G5" i="4"/>
  <c r="E11" i="4"/>
  <c r="I5" i="4"/>
  <c r="G11" i="4"/>
  <c r="E6" i="4"/>
  <c r="I11" i="4"/>
  <c r="G6" i="4"/>
  <c r="E12" i="4"/>
  <c r="I6" i="4"/>
  <c r="G12" i="4"/>
  <c r="E8" i="4"/>
  <c r="I12" i="4"/>
  <c r="I9" i="4"/>
  <c r="D6" i="4"/>
  <c r="E2" i="15" l="1"/>
  <c r="E3" i="15" s="1"/>
  <c r="E7" i="4"/>
  <c r="E15" i="4" s="1"/>
  <c r="I7" i="4"/>
  <c r="I15" i="4" s="1"/>
  <c r="G7" i="4"/>
  <c r="G15" i="4" s="1"/>
  <c r="I53" i="16" l="1"/>
  <c r="I20" i="4"/>
  <c r="H54" i="16" s="1"/>
  <c r="G59" i="4"/>
  <c r="I21" i="4"/>
  <c r="F3" i="15" s="1"/>
  <c r="H53" i="16" l="1"/>
  <c r="F2" i="15"/>
  <c r="I71" i="4"/>
  <c r="G47" i="7" s="1"/>
  <c r="I23" i="4"/>
  <c r="G36" i="4" s="1"/>
  <c r="I22" i="4"/>
  <c r="AK2" i="15"/>
  <c r="AK3" i="15"/>
  <c r="AJ3" i="15"/>
  <c r="AJ2" i="15"/>
  <c r="AI3" i="15"/>
  <c r="AI2" i="15"/>
  <c r="G35" i="4" l="1"/>
  <c r="G37" i="4" s="1"/>
  <c r="I49" i="16"/>
  <c r="H49" i="16" s="1"/>
  <c r="G48" i="4"/>
  <c r="T3" i="15" s="1"/>
  <c r="G38" i="4"/>
  <c r="B34" i="7"/>
  <c r="G47" i="4" l="1"/>
  <c r="I39" i="4"/>
  <c r="I50" i="16" s="1"/>
  <c r="H50" i="16" s="1"/>
  <c r="AH2" i="15"/>
  <c r="Z2" i="15"/>
  <c r="Y2" i="15"/>
  <c r="X2" i="15"/>
  <c r="V2" i="15"/>
  <c r="Q3" i="15"/>
  <c r="Q2" i="15"/>
  <c r="H3" i="15"/>
  <c r="H2" i="15"/>
  <c r="D3" i="15"/>
  <c r="D2" i="15"/>
  <c r="T2" i="15" l="1"/>
  <c r="I50" i="4"/>
  <c r="I52" i="16"/>
  <c r="H52" i="16" s="1"/>
  <c r="G16" i="10"/>
  <c r="H16" i="10"/>
  <c r="G52" i="4" l="1"/>
  <c r="G53" i="4"/>
  <c r="N2" i="15" s="1"/>
  <c r="G3" i="15"/>
  <c r="I51" i="16" l="1"/>
  <c r="H51" i="16" s="1"/>
  <c r="O2" i="15"/>
  <c r="I54" i="4"/>
  <c r="I60" i="4" s="1"/>
  <c r="I73" i="4" s="1"/>
  <c r="G2" i="15"/>
  <c r="I3" i="15"/>
  <c r="I2" i="15"/>
  <c r="I57" i="16" l="1"/>
  <c r="H57" i="16" s="1"/>
  <c r="H56" i="16"/>
  <c r="H42" i="16"/>
  <c r="H55" i="16"/>
  <c r="H40" i="16"/>
  <c r="J3" i="15"/>
  <c r="J2" i="15"/>
  <c r="G48" i="7" l="1"/>
  <c r="G49" i="7"/>
  <c r="G50" i="7"/>
  <c r="C49" i="7"/>
  <c r="B48" i="7"/>
  <c r="C29" i="7"/>
  <c r="B29" i="7"/>
  <c r="B28" i="7"/>
  <c r="C28" i="7"/>
  <c r="B9" i="9"/>
  <c r="B11" i="9"/>
  <c r="B10" i="9"/>
  <c r="B15" i="10" l="1"/>
  <c r="P2" i="15" l="1"/>
  <c r="O3" i="15"/>
  <c r="H32" i="7"/>
  <c r="H30" i="7"/>
  <c r="H44" i="7"/>
  <c r="H43" i="7"/>
  <c r="H42" i="7"/>
  <c r="H41" i="7"/>
  <c r="H40" i="7"/>
  <c r="H39" i="7"/>
  <c r="H38" i="7"/>
  <c r="H37" i="7"/>
  <c r="H36" i="7"/>
  <c r="AA2" i="15" l="1"/>
  <c r="F31" i="7"/>
  <c r="E31" i="7"/>
  <c r="D31" i="7"/>
  <c r="B40" i="10" l="1"/>
  <c r="B39" i="10"/>
  <c r="B46" i="10" l="1"/>
  <c r="B47" i="10"/>
  <c r="B48" i="10"/>
  <c r="B49" i="10"/>
  <c r="B50" i="10"/>
  <c r="B51" i="10"/>
  <c r="B52" i="10"/>
  <c r="C46" i="10"/>
  <c r="C47" i="10"/>
  <c r="C48" i="10"/>
  <c r="C49" i="10"/>
  <c r="C50" i="10"/>
  <c r="C51" i="10"/>
  <c r="C52" i="10"/>
  <c r="E45" i="7"/>
  <c r="E46" i="7" s="1"/>
  <c r="F45" i="7"/>
  <c r="F46" i="7" s="1"/>
  <c r="AD2" i="15" s="1"/>
  <c r="D45" i="7"/>
  <c r="D46" i="7" s="1"/>
  <c r="B44" i="10" l="1"/>
  <c r="B45" i="10"/>
  <c r="B43" i="10"/>
  <c r="C45" i="10" l="1"/>
  <c r="C44" i="10"/>
  <c r="F44" i="10" s="1"/>
  <c r="H44" i="10" s="1"/>
  <c r="B27" i="10" l="1"/>
  <c r="B28" i="10"/>
  <c r="B29" i="10"/>
  <c r="B30" i="10"/>
  <c r="B31" i="10"/>
  <c r="B32" i="10"/>
  <c r="B33" i="10"/>
  <c r="B34" i="10"/>
  <c r="B35" i="10"/>
  <c r="B36" i="10"/>
  <c r="B37" i="10"/>
  <c r="B38" i="10"/>
  <c r="B21" i="10" l="1"/>
  <c r="B22" i="10"/>
  <c r="B23" i="10"/>
  <c r="B24" i="10"/>
  <c r="B25" i="10"/>
  <c r="B26" i="10"/>
  <c r="B20" i="10" l="1"/>
  <c r="H17" i="9" l="1"/>
  <c r="I17" i="9" s="1"/>
  <c r="H18" i="9"/>
  <c r="I18" i="9" s="1"/>
  <c r="H19" i="9"/>
  <c r="I19" i="9" s="1"/>
  <c r="H20" i="9"/>
  <c r="I20" i="9" s="1"/>
  <c r="H21" i="9"/>
  <c r="I21" i="9" s="1"/>
  <c r="H15" i="10"/>
  <c r="G15" i="10"/>
  <c r="G24" i="9"/>
  <c r="H23" i="9"/>
  <c r="I23" i="9" s="1"/>
  <c r="H22" i="9"/>
  <c r="I22" i="9" s="1"/>
  <c r="H28" i="7" l="1"/>
  <c r="H9" i="7"/>
  <c r="C39" i="10" l="1"/>
  <c r="H29" i="7" l="1"/>
  <c r="C40" i="10" s="1"/>
  <c r="H10" i="7"/>
  <c r="C20" i="10"/>
  <c r="F20" i="10" s="1"/>
  <c r="H20" i="10" s="1"/>
  <c r="C21" i="10" l="1"/>
  <c r="H11" i="7"/>
  <c r="C22" i="10" s="1"/>
  <c r="H12" i="7" l="1"/>
  <c r="H13" i="7" l="1"/>
  <c r="C23" i="10"/>
  <c r="C24" i="10" l="1"/>
  <c r="H14" i="7"/>
  <c r="H35" i="7"/>
  <c r="H15" i="7" l="1"/>
  <c r="C26" i="10" s="1"/>
  <c r="C25" i="10"/>
  <c r="G45" i="7"/>
  <c r="H16" i="7" l="1"/>
  <c r="H45" i="7"/>
  <c r="AC2" i="15" s="1"/>
  <c r="C43" i="10"/>
  <c r="C27" i="10" l="1"/>
  <c r="H17" i="7"/>
  <c r="C28" i="10" s="1"/>
  <c r="C53" i="10"/>
  <c r="H18" i="7" l="1"/>
  <c r="C29" i="10" s="1"/>
  <c r="F53" i="10"/>
  <c r="AN2" i="15" s="1"/>
  <c r="H19" i="7" l="1"/>
  <c r="C30" i="10" s="1"/>
  <c r="H20" i="7" l="1"/>
  <c r="C31" i="10" s="1"/>
  <c r="H21" i="7" l="1"/>
  <c r="C32" i="10" s="1"/>
  <c r="H22" i="7" l="1"/>
  <c r="C33" i="10" s="1"/>
  <c r="H23" i="7" l="1"/>
  <c r="C34" i="10" s="1"/>
  <c r="H24" i="7" l="1"/>
  <c r="C35" i="10" s="1"/>
  <c r="AF2" i="15" l="1"/>
  <c r="H25" i="7"/>
  <c r="C36" i="10" s="1"/>
  <c r="H26" i="7" l="1"/>
  <c r="AQ2" i="15" s="1"/>
  <c r="C37" i="10" l="1"/>
  <c r="AB2" i="15"/>
  <c r="G31" i="7"/>
  <c r="G46" i="7" s="1"/>
  <c r="AE2" i="15" s="1"/>
  <c r="H27" i="7"/>
  <c r="AB3" i="15" s="1"/>
  <c r="C38" i="10" l="1"/>
  <c r="H31" i="7"/>
  <c r="H48" i="7" l="1"/>
  <c r="AG2" i="15" s="1"/>
  <c r="AM3" i="15"/>
  <c r="AO3" i="15"/>
  <c r="H46" i="7"/>
  <c r="C41" i="10"/>
  <c r="C54" i="10" s="1"/>
  <c r="F41" i="10" l="1"/>
  <c r="AO2" i="15" s="1"/>
  <c r="F54" i="10" l="1"/>
  <c r="AM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tc={3E94F99E-BBF6-4BBB-8D7F-A9385964CBF8}</author>
    <author>tc={887874F3-6649-4294-83E8-26D277E7E1B8}</author>
    <author>tc={F003EF1D-C3F4-4A2D-808F-63C5302D5124}</author>
    <author>tc={E8401FBE-EC75-4DD5-A3AC-63305CF5B155}</author>
    <author>tc={C552397B-2BFE-48B5-888D-0FAFCBB5D609}</author>
    <author>tc={CD6054E0-AF96-4E71-A433-C4BA9C57312C}</author>
    <author>tc={7EB1B5C1-48CC-43F2-9337-4054738B594F}</author>
    <author>tc={5DCE5089-F8CF-4D3B-A705-DF6872294F2C}</author>
    <author>tc={BEBF6E3D-09CA-4694-A6E2-B25DF6FE817C}</author>
    <author>tc={D48CB916-4521-4D0D-A290-2AB3BEDF063E}</author>
  </authors>
  <commentList>
    <comment ref="A1" authorId="0" shapeId="0" xr:uid="{3E94F99E-BBF6-4BBB-8D7F-A9385964CBF8}">
      <text>
        <t>[Threaded comment]
Your version of Excel allows you to read this threaded comment; however, any edits to it will get removed if the file is opened in a newer version of Excel. Learn more: https://go.microsoft.com/fwlink/?linkid=870924
Comment:
    For the formulas to match values correctly, BearLake, NezPerce, and TwinFalls counties cannot have spaces in their names.</t>
      </text>
    </comment>
    <comment ref="C1" authorId="1" shapeId="0" xr:uid="{887874F3-6649-4294-83E8-26D277E7E1B8}">
      <text>
        <t>[Threaded comment]
Your version of Excel allows you to read this threaded comment; however, any edits to it will get removed if the file is opened in a newer version of Excel. Learn more: https://go.microsoft.com/fwlink/?linkid=870924
Comment:
    For the L-2 to fill data correctly, this tab must remain sorted alphabetically by DistName.
Reply:
    Highlighted counties MUST use this form. The other listed counties may use this form but it shouldn't be different from the "General" form.</t>
      </text>
    </comment>
    <comment ref="G1" authorId="2" shapeId="0" xr:uid="{F003EF1D-C3F4-4A2D-808F-63C5302D5124}">
      <text>
        <t>[Threaded comment]
Your version of Excel allows you to read this threaded comment; however, any edits to it will get removed if the file is opened in a newer version of Excel. Learn more: https://go.microsoft.com/fwlink/?linkid=870924
Comment:
    Updated to 2024 OP values on 1/3/2025</t>
      </text>
    </comment>
    <comment ref="H1" authorId="3" shapeId="0" xr:uid="{E8401FBE-EC75-4DD5-A3AC-63305CF5B155}">
      <text>
        <t>[Threaded comment]
Your version of Excel allows you to read this threaded comment; however, any edits to it will get removed if the file is opened in a newer version of Excel. Learn more: https://go.microsoft.com/fwlink/?linkid=870924
Comment:
    Updated to 2024 OP values on 1/3/2025</t>
      </text>
    </comment>
    <comment ref="K1" authorId="4" shapeId="0" xr:uid="{C552397B-2BFE-48B5-888D-0FAFCBB5D609}">
      <text>
        <t>[Threaded comment]
Your version of Excel allows you to read this threaded comment; however, any edits to it will get removed if the file is opened in a newer version of Excel. Learn more: https://go.microsoft.com/fwlink/?linkid=870924
Comment:
    Updated 3/20/23 with figures that include the R&amp;B</t>
      </text>
    </comment>
    <comment ref="S1" authorId="5" shapeId="0" xr:uid="{CD6054E0-AF96-4E71-A433-C4BA9C57312C}">
      <text>
        <t>[Threaded comment]
Your version of Excel allows you to read this threaded comment; however, any edits to it will get removed if the file is opened in a newer version of Excel. Learn more: https://go.microsoft.com/fwlink/?linkid=870924
Comment:
    We didn’t use this method in 2022</t>
      </text>
    </comment>
    <comment ref="U1" authorId="6" shapeId="0" xr:uid="{7EB1B5C1-48CC-43F2-9337-4054738B594F}">
      <text>
        <t>[Threaded comment]
Your version of Excel allows you to read this threaded comment; however, any edits to it will get removed if the file is opened in a newer version of Excel. Learn more: https://go.microsoft.com/fwlink/?linkid=870924
Comment:
    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
      </text>
    </comment>
    <comment ref="Y1" authorId="7" shapeId="0" xr:uid="{5DCE5089-F8CF-4D3B-A705-DF6872294F2C}">
      <text>
        <t>[Threaded comment]
Your version of Excel allows you to read this threaded comment; however, any edits to it will get removed if the file is opened in a newer version of Excel. Learn more: https://go.microsoft.com/fwlink/?linkid=870924
Comment:
    2025 Forgone amounts updated - 1/3/2025</t>
      </text>
    </comment>
    <comment ref="C12" authorId="8" shapeId="0" xr:uid="{BEBF6E3D-09CA-4694-A6E2-B25DF6FE817C}">
      <text>
        <t>[Threaded comment]
Your version of Excel allows you to read this threaded comment; however, any edits to it will get removed if the file is opened in a newer version of Excel. Learn more: https://go.microsoft.com/fwlink/?linkid=870924
Comment:
    Hasn't levied for R&amp;B for over 3 yrs</t>
      </text>
    </comment>
    <comment ref="C22" authorId="9" shapeId="0" xr:uid="{D48CB916-4521-4D0D-A290-2AB3BEDF063E}">
      <text>
        <t>[Threaded comment]
Your version of Excel allows you to read this threaded comment; however, any edits to it will get removed if the file is opened in a newer version of Excel. Learn more: https://go.microsoft.com/fwlink/?linkid=870924
Comment:
    Did not levy for R&amp;B in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tc={50D2A384-A6A2-44C2-865B-69A641B7D144}</author>
    <author>tc={CA58D89E-B1D5-4B19-BA9B-9D399917ADC8}</author>
    <author>tc={1E3FF760-EB62-42E4-97A1-F019FA214901}</author>
  </authors>
  <commentList>
    <comment ref="H12" authorId="0" shapeId="0" xr:uid="{50D2A384-A6A2-44C2-865B-69A641B7D144}">
      <text>
        <t>[Threaded comment]
Your version of Excel allows you to read this threaded comment; however, any edits to it will get removed if the file is opened in a newer version of Excel. Learn more: https://go.microsoft.com/fwlink/?linkid=870924
Comment:
    Change this value if you would like to calculate a maximum using less than 3% base budget growth.
The default is set to 3% because that is the maximum value and the purpose of the form is to calculate the legal maximum.</t>
      </text>
    </comment>
    <comment ref="B39" authorId="1" shapeId="0" xr:uid="{CA58D89E-B1D5-4B19-BA9B-9D399917ADC8}">
      <text>
        <t>[Threaded comment]
Your version of Excel allows you to read this threaded comment; however, any edits to it will get removed if the file is opened in a newer version of Excel. Learn more: https://go.microsoft.com/fwlink/?linkid=870924
Comment:
    Once all the above boxes are completed, you can look at the L-2 Worksheet tab to review what the maximum property tax budget would be without using forgone amounts. This information can be used to guide your decision in this box.</t>
      </text>
    </comment>
    <comment ref="H57" authorId="2" shapeId="0" xr:uid="{1E3FF760-EB62-42E4-97A1-F019FA214901}">
      <text>
        <t>[Threaded comment]
Your version of Excel allows you to read this threaded comment; however, any edits to it will get removed if the file is opened in a newer version of Excel. Learn more: https://go.microsoft.com/fwlink/?linkid=870924
Comment:
    If forgone amounts have been recovered into the budget, then this figure will not equal the sum of the above percentages because forgone recovery percentages (1% &amp; 3%) are based on the budget after the initial increases have been allowed.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tc={690176EA-5F06-4F30-B8A6-206AB8A10730}</author>
    <author>tc={A4425859-192B-478C-A2AA-BFB58207FFC6}</author>
  </authors>
  <commentList>
    <comment ref="H48" authorId="0" shapeId="0" xr:uid="{690176EA-5F06-4F30-B8A6-206AB8A10730}">
      <text>
        <t>[Threaded comment]
Your version of Excel allows you to read this threaded comment; however, any edits to it will get removed if the file is opened in a newer version of Excel. Learn more: https://go.microsoft.com/fwlink/?linkid=870924
Comment:
    This amount should be the sum of the growth from: 3%, new construction, annexations, and expiring urban renewal minus the amount of growth being taken.</t>
      </text>
    </comment>
    <comment ref="H49" authorId="1" shapeId="0" xr:uid="{A4425859-192B-478C-A2AA-BFB58207FFC6}">
      <text>
        <t>[Threaded comment]
Your version of Excel allows you to read this threaded comment; however, any edits to it will get removed if the file is opened in a newer version of Excel. Learn more: https://go.microsoft.com/fwlink/?linkid=870924
Comment:
    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tc={D2BAE6D6-0F23-46D6-8ABB-B25CF97CA56D}</author>
  </authors>
  <commentList>
    <comment ref="C11" authorId="0" shapeId="0" xr:uid="{D2BAE6D6-0F23-46D6-8ABB-B25CF97CA56D}">
      <text>
        <t>[Threaded comment]
Your version of Excel allows you to read this threaded comment; however, any edits to it will get removed if the file is opened in a newer version of Excel. Learn more: https://go.microsoft.com/fwlink/?linkid=870924
Comment:
    This needs to include Operating Property Value from current year.</t>
      </text>
    </comment>
  </commentList>
</comments>
</file>

<file path=xl/sharedStrings.xml><?xml version="1.0" encoding="utf-8"?>
<sst xmlns="http://schemas.openxmlformats.org/spreadsheetml/2006/main" count="445" uniqueCount="374">
  <si>
    <t>District Name:</t>
  </si>
  <si>
    <t>(21)</t>
  </si>
  <si>
    <t>(20)</t>
  </si>
  <si>
    <t>(19)</t>
  </si>
  <si>
    <t>(18)</t>
  </si>
  <si>
    <t>(4)</t>
  </si>
  <si>
    <t>(3)</t>
  </si>
  <si>
    <t>(2)</t>
  </si>
  <si>
    <t>(1)</t>
  </si>
  <si>
    <t>1st Calendar Year Levied</t>
  </si>
  <si>
    <t>Date</t>
  </si>
  <si>
    <t>Title</t>
  </si>
  <si>
    <t>Signature of District Representative</t>
  </si>
  <si>
    <t>Column Total:</t>
  </si>
  <si>
    <t>Balance to be levied</t>
  </si>
  <si>
    <t>Fund</t>
  </si>
  <si>
    <t>Contact Name and Mailing Address</t>
  </si>
  <si>
    <t>Email Address</t>
  </si>
  <si>
    <t>Phone Number (###) ###-### EXT ###</t>
  </si>
  <si>
    <t>Fax Number (###) ###-###</t>
  </si>
  <si>
    <t>I certify that the amounts shown above accurately reflect the budget being certified in accordance with the provisions of I.C. §63-803.
To the best of my knowledge, this district has established and adopted this budget in accordance with all provisions of Idaho Law.</t>
  </si>
  <si>
    <t>Fund Name</t>
  </si>
  <si>
    <t>Term of Initiative</t>
  </si>
  <si>
    <t>Annual Amount Authorized by Voters</t>
  </si>
  <si>
    <t>District Bond Initiative (Voter Approved Bonds)</t>
  </si>
  <si>
    <t>Amount Authorized by Voters</t>
  </si>
  <si>
    <t>Prior Year 
P-Tax $</t>
  </si>
  <si>
    <t>Current Year
P-Tax $</t>
  </si>
  <si>
    <t xml:space="preserve">Current Year's Total Bond Fund (Reported on L-2 Col. 6):  </t>
  </si>
  <si>
    <t>Explanation (If Required):</t>
  </si>
  <si>
    <t>Date of Election
(If current year attach copy of Ballot)</t>
  </si>
  <si>
    <t>Date of Election</t>
  </si>
  <si>
    <r>
      <t xml:space="preserve">Other revenue </t>
    </r>
    <r>
      <rPr>
        <i/>
        <u/>
        <sz val="12"/>
        <rFont val="Calibri"/>
        <family val="2"/>
      </rPr>
      <t>NOT</t>
    </r>
    <r>
      <rPr>
        <sz val="12"/>
        <rFont val="Calibri"/>
        <family val="2"/>
      </rPr>
      <t xml:space="preserve"> shown in Column 5</t>
    </r>
  </si>
  <si>
    <t>(If current year, attach copy of Ballot)</t>
  </si>
  <si>
    <t>% Change
(+/- 20% Explan-
ation Required)</t>
  </si>
  <si>
    <t>"YES" = Explanation 
Required</t>
  </si>
  <si>
    <t>County</t>
  </si>
  <si>
    <t>Levy Calculation Area</t>
  </si>
  <si>
    <t>Levy Rate</t>
  </si>
  <si>
    <t>Maximum Levy Rate</t>
  </si>
  <si>
    <t>For I.C. §63-1305 Judgments, I.C §33-802 Judgment Obligations, temporary Override/Supplemental, and School Emergency funds increment value added if first certified after 12/31/2007. For Bonds, and Plant Facility, increment value added if voter approved after 12/31/2007, or if new RAA or RAA annexation. For any existing funds, the levy may need to be computed using part of the increment value if boundary changes have occurred.</t>
  </si>
  <si>
    <t>(the "L-2 Worksheet" and applicable "Voter Approved Fund Tracker" and budget publication must be attached)</t>
  </si>
  <si>
    <t>Balance to be levied
Col. 2 minus (Cols. 3+4+5)</t>
  </si>
  <si>
    <t>Cash Forward
Balance</t>
  </si>
  <si>
    <t>Total Approved
Budget*</t>
  </si>
  <si>
    <t>*Do not include revenue allocated to urban renewal agencies</t>
  </si>
  <si>
    <t>(22)</t>
  </si>
  <si>
    <t>County Road &amp; Bridge</t>
  </si>
  <si>
    <t>Column Subtotal:</t>
  </si>
  <si>
    <t>Exempt Funds</t>
  </si>
  <si>
    <t>Total</t>
  </si>
  <si>
    <t>Subtotal</t>
  </si>
  <si>
    <t>Bannock County</t>
  </si>
  <si>
    <t>Bear Lake County</t>
  </si>
  <si>
    <t>Benewah County</t>
  </si>
  <si>
    <t>Bingham County</t>
  </si>
  <si>
    <t>Boise County</t>
  </si>
  <si>
    <t>Bonner County</t>
  </si>
  <si>
    <t>Bonneville County</t>
  </si>
  <si>
    <t>Boundary County</t>
  </si>
  <si>
    <t>Caribou County</t>
  </si>
  <si>
    <t>Cassia County</t>
  </si>
  <si>
    <t>Franklin County</t>
  </si>
  <si>
    <t>Fremont County</t>
  </si>
  <si>
    <t>Gem County</t>
  </si>
  <si>
    <t>Idaho County</t>
  </si>
  <si>
    <t>Jefferson County</t>
  </si>
  <si>
    <t>Madison County</t>
  </si>
  <si>
    <t>Nez Perce County</t>
  </si>
  <si>
    <t>Owyhee County</t>
  </si>
  <si>
    <t>Payette County</t>
  </si>
  <si>
    <t>Teton County</t>
  </si>
  <si>
    <t>Valley County</t>
  </si>
  <si>
    <t>Washington County</t>
  </si>
  <si>
    <t>DistName</t>
  </si>
  <si>
    <t>Bannock</t>
  </si>
  <si>
    <t>Benewah</t>
  </si>
  <si>
    <t>Bingham</t>
  </si>
  <si>
    <t>Boise</t>
  </si>
  <si>
    <t>Bonner</t>
  </si>
  <si>
    <t>Bonneville</t>
  </si>
  <si>
    <t>Boundary</t>
  </si>
  <si>
    <t>Caribou</t>
  </si>
  <si>
    <t>Cassia</t>
  </si>
  <si>
    <t>Franklin</t>
  </si>
  <si>
    <t>Fremont</t>
  </si>
  <si>
    <t>Gem</t>
  </si>
  <si>
    <t>Idaho</t>
  </si>
  <si>
    <t>Jefferson</t>
  </si>
  <si>
    <t>Madison</t>
  </si>
  <si>
    <t>Owyhee</t>
  </si>
  <si>
    <t>Payette</t>
  </si>
  <si>
    <t>Teton</t>
  </si>
  <si>
    <t>Valley</t>
  </si>
  <si>
    <t>Washington</t>
  </si>
  <si>
    <t>NezPerce</t>
  </si>
  <si>
    <t>BearLake</t>
  </si>
  <si>
    <t>CoName</t>
  </si>
  <si>
    <t>CatName</t>
  </si>
  <si>
    <t>Ag Equipment Replacement</t>
  </si>
  <si>
    <t>NON-LEVIED FUNDS (must net zero)</t>
  </si>
  <si>
    <t>(24)</t>
  </si>
  <si>
    <t>(6a)</t>
  </si>
  <si>
    <t>(6b)</t>
  </si>
  <si>
    <t>County Road &amp; Bridge:</t>
  </si>
  <si>
    <t>County Road &amp; Bridge fund amount for the year indicated in line 1</t>
  </si>
  <si>
    <t>(7a)</t>
  </si>
  <si>
    <t>(7b)</t>
  </si>
  <si>
    <t>(8a)</t>
  </si>
  <si>
    <t>(8b)</t>
  </si>
  <si>
    <t>(9a)</t>
  </si>
  <si>
    <t>(9b)</t>
  </si>
  <si>
    <t>(12a)</t>
  </si>
  <si>
    <t>(12b)</t>
  </si>
  <si>
    <t>(13a)</t>
  </si>
  <si>
    <t>(13b)</t>
  </si>
  <si>
    <t>(23)</t>
  </si>
  <si>
    <t>(28)</t>
  </si>
  <si>
    <t>New Construction Budget Increases (NOT including expiring Urban Renewal):</t>
  </si>
  <si>
    <t>Expiring Urban Renewal Budget Increases:</t>
  </si>
  <si>
    <t>Attach to your L-2 form.</t>
  </si>
  <si>
    <t>^^This fund is not shared with the cities within your district.</t>
  </si>
  <si>
    <t>Clearwater County</t>
  </si>
  <si>
    <t>Shoshone County</t>
  </si>
  <si>
    <t>(25)</t>
  </si>
  <si>
    <t>(29)</t>
  </si>
  <si>
    <t>NewConstruction</t>
  </si>
  <si>
    <t>SolarTaxCurrentYear</t>
  </si>
  <si>
    <t>RecHE</t>
  </si>
  <si>
    <t>OtherReductions</t>
  </si>
  <si>
    <t>ForgoneRecovered_general</t>
  </si>
  <si>
    <t>ForgoneRecovered_capitalprojects</t>
  </si>
  <si>
    <t>NewConstructionBudgetIncrease</t>
  </si>
  <si>
    <t>8% Capped?</t>
  </si>
  <si>
    <t>GrowthLostTo8%Cap</t>
  </si>
  <si>
    <t>MaxNonExemptLevy</t>
  </si>
  <si>
    <t>Non-ExemptLeviedAmount</t>
  </si>
  <si>
    <t>ExemptLeviedAmount</t>
  </si>
  <si>
    <t>Other Revenue/HB292 Funds for Schools</t>
  </si>
  <si>
    <t>Replacements Listed</t>
  </si>
  <si>
    <t>2013 Personal Property Replacement</t>
  </si>
  <si>
    <t>2022 Personal Property Replacement</t>
  </si>
  <si>
    <t>3% Budget Increase</t>
  </si>
  <si>
    <t>NCPrelimLevyRate</t>
  </si>
  <si>
    <t>Maximum Allowable Non-Exempt Property Tax Amount to be Levied:</t>
  </si>
  <si>
    <t>^A proportionate share of the property tax portion of this fund is shared with each city within your district.</t>
  </si>
  <si>
    <t>Total Replacements (for balancing purposes; line 24 from "L-2 Worksheet")</t>
  </si>
  <si>
    <t>NetTaxableValueForLevyRateCalculation</t>
  </si>
  <si>
    <t>IncrementValue</t>
  </si>
  <si>
    <t>Post2007IncrementValue</t>
  </si>
  <si>
    <t>NonExemptLevyRate</t>
  </si>
  <si>
    <t>ExemptLevyRate</t>
  </si>
  <si>
    <t>TotalLevyRate</t>
  </si>
  <si>
    <t>Printed Name</t>
  </si>
  <si>
    <t>Highest Non-Exempt P-Tax Budget + P-Tax Replacement (from the 'Maximum Budget and Forgone Amount Worksheet')*                                             
Including County Road &amp; Bridge fund (Reduced by Indigent Public Defense Levied Amount for the Applicable Year)</t>
  </si>
  <si>
    <t>(5a)</t>
  </si>
  <si>
    <t>(5b)</t>
  </si>
  <si>
    <t>(10)</t>
  </si>
  <si>
    <t>2024 New construction preliminary levy rate for County minus County Road &amp; Bridge;                                                      (line 1 - line 2 + line 3) divided by (line 5a + line 6a)</t>
  </si>
  <si>
    <t>2024 New construction preliminary levy rate for County Road &amp; Bridge;                                                                                 (line 2 + line 4) divided by (line 5b + line 6b)</t>
  </si>
  <si>
    <t>2024 New construction allowable budget increase for County minus County Road &amp; Bridge;                                                      (multiply line 7a by line 8a)</t>
  </si>
  <si>
    <t>2024 New construction allowable budget increase for County Road &amp; Bridge;                                                      (multiply line 7b by line 8b)</t>
  </si>
  <si>
    <t>Total new construction roll budget increase (line 9a + line 9b)</t>
  </si>
  <si>
    <t>(11a)</t>
  </si>
  <si>
    <t>(11b)</t>
  </si>
  <si>
    <t>2023SolarTax</t>
  </si>
  <si>
    <t>Countywide</t>
  </si>
  <si>
    <t>Yearly amount of the agricultural equipment replacement money</t>
  </si>
  <si>
    <t>Yearly amount of the 2013 personal property replacement money</t>
  </si>
  <si>
    <t>Yearly amount of the 2022 personal property replacement money</t>
  </si>
  <si>
    <t>Allowable Base Budget Calculation:</t>
  </si>
  <si>
    <t>New Construction, Annexation, &amp; Expiring Urban Renewal Allowable Budget Increases Calculation:</t>
  </si>
  <si>
    <t>Up to 3% Base Budget Growth for County minus County Road &amp; Bridge (line 1 minus line 2)</t>
  </si>
  <si>
    <t>Up to 3% Base Budget Growth for County Road &amp; Bridge fund (line 2)</t>
  </si>
  <si>
    <t>(3a)</t>
  </si>
  <si>
    <t>(4a)</t>
  </si>
  <si>
    <t>2025 Net Taxable Value+Sub-roll</t>
  </si>
  <si>
    <t>2024County_OperatingProperty</t>
  </si>
  <si>
    <t>2024CountyRoad&amp;Bridge_OperatingProperty</t>
  </si>
  <si>
    <t>2025 Forgone</t>
  </si>
  <si>
    <t>2022SolarTax</t>
  </si>
  <si>
    <t>2024SolarTax</t>
  </si>
  <si>
    <t>Instructions &amp; Notes</t>
  </si>
  <si>
    <t>Enter values or select text in the fields that are this color:</t>
  </si>
  <si>
    <t>Fields that turn red are above their cap or conflict with another field:</t>
  </si>
  <si>
    <t>Incorrect values</t>
  </si>
  <si>
    <t>If prompted: click "Enable Editing" or "Enable Content" on Excel Workbook</t>
  </si>
  <si>
    <t>Total 2025 Net Taxable Value + Estimated Sub-roll:</t>
  </si>
  <si>
    <t xml:space="preserve">      (not including Operating Property)</t>
  </si>
  <si>
    <t>No</t>
  </si>
  <si>
    <t>Yes</t>
  </si>
  <si>
    <t>"Recovered/Recaptured Property Tax and Refund List" form data</t>
  </si>
  <si>
    <t>Did this district receive Solar Farm Tax?
(Column 1 of "Recovered/Recaptured Property Tax and Refund List")</t>
  </si>
  <si>
    <t>Enter current year's amount of Solar Farm Tax here (7/1/24 - 6/30/25):</t>
  </si>
  <si>
    <t>Did this district receive income from recovered homeowner's exemptions?
(Column 2 of the "Recovered/Recaptured Property Tax and Refund List")</t>
  </si>
  <si>
    <t>Enter the amount received from recovered homeowner's exemptions:</t>
  </si>
  <si>
    <t>Does the "Recovered/Recaptured Property Tax and Refund List" form have any amounts in column 3 for this district? (Recaptured QIE)</t>
  </si>
  <si>
    <t>Enter the amount received from recaptured QIE:</t>
  </si>
  <si>
    <t>Does the "Recovered/Recaptured Property Tax and Refund List" form have any amounts in column 4 for this district? (Other reductions)</t>
  </si>
  <si>
    <t>Enter any other reductions to levying authority for 2025:</t>
  </si>
  <si>
    <t>District's Existing Forgone Balance:</t>
  </si>
  <si>
    <t>Max Forgone Allowed to Recover for Maintenance &amp; Operations (up to 1%):</t>
  </si>
  <si>
    <t>Enter Amount of Forgone to be Recovered for Maintenance &amp; Operations:</t>
  </si>
  <si>
    <t>Max Forgone Allowed to Recover for Capital Projects (up to 3%):</t>
  </si>
  <si>
    <t>Enter Amount of Forgone to be Recovered for Capital Projects:</t>
  </si>
  <si>
    <t>Please complete and submit a resolution to recover forgone</t>
  </si>
  <si>
    <t>Non-Exempt Budget Increase Calculation Summary</t>
  </si>
  <si>
    <t>Base budget increase selected (up to 3% selected above)</t>
  </si>
  <si>
    <t>New construction budget increase</t>
  </si>
  <si>
    <t>Effect of 8% cap on new construction &amp; annexation increases</t>
  </si>
  <si>
    <t>Other reductions to levying authority</t>
  </si>
  <si>
    <t>Extra increase to the maximum budget from forgone amounts 
      (Maintenance &amp; Operations)</t>
  </si>
  <si>
    <t>Extra increase to the maximum budget from forgone amounts 
      (Capital Projects)</t>
  </si>
  <si>
    <t>Total non-exempt budget increase</t>
  </si>
  <si>
    <t>Recovery of Forgone Amounts:</t>
  </si>
  <si>
    <t>Does this county have expiring Urban Renewal?</t>
  </si>
  <si>
    <t>2025 L-2 DASHBOARD (County w/R&amp;B)</t>
  </si>
  <si>
    <t>Enter 2025 New Construction value:     
      (reported by County Assessor at 90%)</t>
  </si>
  <si>
    <t>Will the district use its forgone balance to increase this year's budget?</t>
  </si>
  <si>
    <t>2024 Operating Property Value:</t>
  </si>
  <si>
    <t>2025 Net Taxable Value of Real &amp; Personal Property (Including Estimated Sub-Roll):</t>
  </si>
  <si>
    <t>2025 New Construction Roll Values:</t>
  </si>
  <si>
    <t>Previous Three Years' Property Tax Budget Data</t>
  </si>
  <si>
    <t>Amounts from 'Maximum Budget &amp; Forgone Amounts Worksheet':</t>
  </si>
  <si>
    <t>Agricultural Equipment Replacement Money (+)</t>
  </si>
  <si>
    <t>2013 Personal Property Replacement Money (+)</t>
  </si>
  <si>
    <t>2022 Personal Property Replacement Money (+)</t>
  </si>
  <si>
    <t>Recovered Homeowner's Exemptions (+)</t>
  </si>
  <si>
    <t>Other Reductions (+)</t>
  </si>
  <si>
    <t>2022 County non-exempt Budget</t>
  </si>
  <si>
    <t>2023 County non-exempt Budget</t>
  </si>
  <si>
    <t>2024 County non-exempt Budget</t>
  </si>
  <si>
    <t>2022 County R&amp;B non-exempt Budget</t>
  </si>
  <si>
    <t>2023 County R&amp;B non-exempt Budget</t>
  </si>
  <si>
    <t>2024 County R&amp;B non-exempt Budget</t>
  </si>
  <si>
    <t>TOTAL</t>
  </si>
  <si>
    <t>2022 PP Rep_TOTAL_after2024cityhwyadjustments</t>
  </si>
  <si>
    <t>2022 Rec. H/E</t>
  </si>
  <si>
    <t>2023 Rec. H/E</t>
  </si>
  <si>
    <t>2024 Rec. H/E</t>
  </si>
  <si>
    <t>2022 Capital Projects - Forgone recovered</t>
  </si>
  <si>
    <t>2023 Capital Projects - Forgone recovered</t>
  </si>
  <si>
    <t>2024 Capital Projects - Forgone recovered</t>
  </si>
  <si>
    <t>2022 Other Reductions</t>
  </si>
  <si>
    <t>2023 Other Reductions</t>
  </si>
  <si>
    <t>2024 Other Reductions</t>
  </si>
  <si>
    <t>(26)</t>
  </si>
  <si>
    <t>(27)</t>
  </si>
  <si>
    <t>Total accrued forgone balance (from the 'Maximum Budget and Forgone Amount Worksheet')</t>
  </si>
  <si>
    <t>Property Tax Replacements:</t>
  </si>
  <si>
    <t>Recovered Homeowner's Exemption property tax</t>
  </si>
  <si>
    <t>Recaptured QIE</t>
  </si>
  <si>
    <t>Other reductions reported in column 4 of the Recovered/Recaptured Property Tax list</t>
  </si>
  <si>
    <t>(30)</t>
  </si>
  <si>
    <t>(31)</t>
  </si>
  <si>
    <t>Other Subtractions from Levying Authority:</t>
  </si>
  <si>
    <t>Solar Farm Tax received in the current year (7/1/24 - 6/30/25)</t>
  </si>
  <si>
    <t>Select County with Road &amp; Bridge Fund 
from the Drop Down Menu:</t>
  </si>
  <si>
    <t>Highest Budget year of last 3 yrs</t>
  </si>
  <si>
    <t>Highest Budget of last 3 yrs plus rep.</t>
  </si>
  <si>
    <t>Solar Farm Tax received in the highest budget of the last 3 years (added back in after all growth calculations)</t>
  </si>
  <si>
    <t>Previously Forgone Increases &amp; Previous Solar Farm Tax:</t>
  </si>
  <si>
    <t>Maximum Allowable Non-Exempt Property Tax That Can Be Levied (Including Forgone Amount):</t>
  </si>
  <si>
    <t>In an effort to simplify the L-2 process, we have given the L-2 form a "Dashboard" tab.</t>
  </si>
  <si>
    <r>
      <rPr>
        <b/>
        <sz val="12"/>
        <color theme="1"/>
        <rFont val="Calibri"/>
        <family val="2"/>
        <scheme val="minor"/>
      </rPr>
      <t>Dashboard tab</t>
    </r>
    <r>
      <rPr>
        <sz val="12"/>
        <color theme="1"/>
        <rFont val="Calibri"/>
        <family val="2"/>
        <scheme val="minor"/>
      </rPr>
      <t xml:space="preserve"> - input values necessary to calculate the maximum allowable non-exempt property tax budget and appropriate budget reductions</t>
    </r>
  </si>
  <si>
    <r>
      <rPr>
        <b/>
        <sz val="12"/>
        <color theme="1"/>
        <rFont val="Calibri"/>
        <family val="2"/>
        <scheme val="minor"/>
      </rPr>
      <t>L-2 Worksheet</t>
    </r>
    <r>
      <rPr>
        <sz val="12"/>
        <color theme="1"/>
        <rFont val="Calibri"/>
        <family val="2"/>
        <scheme val="minor"/>
      </rPr>
      <t xml:space="preserve"> - review the calculation of the maximum allowable non-exempt property tax budget</t>
    </r>
  </si>
  <si>
    <r>
      <rPr>
        <b/>
        <sz val="12"/>
        <color theme="1"/>
        <rFont val="Calibri"/>
        <family val="2"/>
        <scheme val="minor"/>
      </rPr>
      <t>L-2 Dollar Certification</t>
    </r>
    <r>
      <rPr>
        <sz val="12"/>
        <color theme="1"/>
        <rFont val="Calibri"/>
        <family val="2"/>
        <scheme val="minor"/>
      </rPr>
      <t xml:space="preserve"> - input budget figures for the current year's property tax budget request certification</t>
    </r>
  </si>
  <si>
    <t>White cells have values calculated/filled automatically</t>
  </si>
  <si>
    <t>Green cells require you to enter information</t>
  </si>
  <si>
    <t>Red cells exceed a cap or conflict with other data</t>
  </si>
  <si>
    <t>If prompted by a yellow banner near the top, select "Enable editing" or "Enable content"</t>
  </si>
  <si>
    <t xml:space="preserve">If there are any questions or issues with the form, contact Ben Seloske for assistance at (208) 334-7541 or ben.seloske@tax.idaho.gov </t>
  </si>
  <si>
    <t>8%Cap</t>
  </si>
  <si>
    <t>RecQie</t>
  </si>
  <si>
    <t>LevyRateWoutSDFF</t>
  </si>
  <si>
    <t>Non-exempt budget plus rep. except solar and "other reductions"</t>
  </si>
  <si>
    <t>Percent Base Budget Growth Requested 
     (max 3%)</t>
  </si>
  <si>
    <t>This section summarizes the allowable increases from the highest non-exempt property tax 
budget of the last 3 years (including replacements but not solar farm tax)
(see 'L-2 worksheet' tab for calculation detail)</t>
  </si>
  <si>
    <t>Enter the value of the expiring Urban Renewal 
to be reduced to 80%:</t>
  </si>
  <si>
    <t>Enter the value of the expiring Urban Renewal 
to be reduced to 90%:</t>
  </si>
  <si>
    <t>Expiring Urban Renewal Increment Value to be Reduced to 80% for the County</t>
  </si>
  <si>
    <t>Expiring Urban Renewal Increment Value to be Reduced to 80% for the County Road &amp; Bridge</t>
  </si>
  <si>
    <t>Expiring Urban Renewal Increment Value to be Reduced to 90% for the County</t>
  </si>
  <si>
    <t>Expiring Urban Renewal Increment Value to be Reduced to 90% for the County Road &amp; Bridge</t>
  </si>
  <si>
    <t>Total Expiring Urban Renewal Increment Value after Reductions for the County</t>
  </si>
  <si>
    <t>Total Expiring Urban Renewal Increment Value after Reductions for the County Road &amp; Bridge</t>
  </si>
  <si>
    <t>(14a)</t>
  </si>
  <si>
    <t>(14b)</t>
  </si>
  <si>
    <t>(15)</t>
  </si>
  <si>
    <t>Expiring Urban Renewal budget increase for County Road &amp; Bridge
      (line 13b multiplied by line 8b)</t>
  </si>
  <si>
    <t>Expiring Urban Renewal budget increase for County minus County Road &amp; Bridge
      (line 13a multiplied by line 8a)</t>
  </si>
  <si>
    <t>Total of Property Tax Replacements to be subtracted from levying authority (add lines 23 thru 27)</t>
  </si>
  <si>
    <t>Total of other subtractions to be made from levying authority (Add lines 29 &amp; 30)</t>
  </si>
  <si>
    <t>(32)</t>
  </si>
  <si>
    <t>Property Tax Replacement Plus Solar (Line 28 + Line 31 of 'L-2 Worksheet')</t>
  </si>
  <si>
    <t>Special 2025 Extra budget increase for change in legal interpretation about terminating UR since HB389:</t>
  </si>
  <si>
    <t>Does this District Overlap any Urban Renewal RAAs?</t>
  </si>
  <si>
    <t>Total Net Increment Value</t>
  </si>
  <si>
    <t>Increment Value of Post-2007 RAAs or Annexations</t>
  </si>
  <si>
    <t>Funds for this type of district that should NOT 
generate revenue for Urban Renewal include:</t>
  </si>
  <si>
    <t>(16)</t>
  </si>
  <si>
    <t>Total budget increase from expiring Urban Renewal (line 14a + line 14b + line 15)</t>
  </si>
  <si>
    <t>Total uncapped budget growth potential (Add lines 1+3+4+10+16)</t>
  </si>
  <si>
    <t>Total capped growth (max 8%) (line 1 X 1.08 + line 16)</t>
  </si>
  <si>
    <t>(17a)</t>
  </si>
  <si>
    <t>(17b)</t>
  </si>
  <si>
    <t>Forgone amount to be recovered in this year's budget for Maintenance &amp; Operations (up to 1% of line 18)</t>
  </si>
  <si>
    <t>Forgone amount to be recovered in this year's budget for Capital Projects (up to 3% of line 18)</t>
  </si>
  <si>
    <t>Maximum non-exempt property tax budget before subtractions (line 18 plus lines 19 thru 21)</t>
  </si>
  <si>
    <t>ExpiringURbefore80%</t>
  </si>
  <si>
    <t>ExpiringURbefore90%</t>
  </si>
  <si>
    <t>TotalExpiringUR_BudgetIncrease</t>
  </si>
  <si>
    <t>UR_LegalInterpretationChangeBudgetIncrease</t>
  </si>
  <si>
    <t>"Over Max"</t>
  </si>
  <si>
    <t>CountyNoURFunds</t>
  </si>
  <si>
    <t>- I.C.§63-1305 Judgments</t>
  </si>
  <si>
    <t>- Temporary Overrides</t>
  </si>
  <si>
    <t>- Bonds passed after 2007</t>
  </si>
  <si>
    <t>- Bonds passed before 2008 &amp; RAA created/modified after 2007</t>
  </si>
  <si>
    <t>IncrementAdded?</t>
  </si>
  <si>
    <t>*Leave blank if the fund should generate revenue for all Urban Renewal, add increment value for all RAAs that should NOT get revenue from the specific fund.</t>
  </si>
  <si>
    <t>commonkey</t>
  </si>
  <si>
    <t>R&amp;B_commonkey</t>
  </si>
  <si>
    <t>3-2-3</t>
  </si>
  <si>
    <t>3-11-71</t>
  </si>
  <si>
    <t>4-2-4</t>
  </si>
  <si>
    <t>4-11-72</t>
  </si>
  <si>
    <t>5-2-5</t>
  </si>
  <si>
    <t>5-11-73</t>
  </si>
  <si>
    <t>6-2-6</t>
  </si>
  <si>
    <t>6-11-74</t>
  </si>
  <si>
    <t>8-2-8</t>
  </si>
  <si>
    <t>8-11-76</t>
  </si>
  <si>
    <t>9-2-9</t>
  </si>
  <si>
    <t>9-11-105</t>
  </si>
  <si>
    <t>10-2-10</t>
  </si>
  <si>
    <t>10-11-77</t>
  </si>
  <si>
    <t>11-2-11</t>
  </si>
  <si>
    <t>11-11-78</t>
  </si>
  <si>
    <t>15-2-15</t>
  </si>
  <si>
    <t>15-11-82</t>
  </si>
  <si>
    <t>16-2-16</t>
  </si>
  <si>
    <t>16-11-15</t>
  </si>
  <si>
    <t>18-2-18</t>
  </si>
  <si>
    <t>18-11-85</t>
  </si>
  <si>
    <t>21-2-21</t>
  </si>
  <si>
    <t>21-11-87</t>
  </si>
  <si>
    <t>22-2-22</t>
  </si>
  <si>
    <t>22-11-88</t>
  </si>
  <si>
    <t>23-2-23</t>
  </si>
  <si>
    <t>23-11-89</t>
  </si>
  <si>
    <t>25-2-25</t>
  </si>
  <si>
    <t>25-11-91</t>
  </si>
  <si>
    <t>26-2-26</t>
  </si>
  <si>
    <t>26-11-92</t>
  </si>
  <si>
    <t>33-2-33</t>
  </si>
  <si>
    <t>33-11-95</t>
  </si>
  <si>
    <t>35-2-35</t>
  </si>
  <si>
    <t>35-11-96</t>
  </si>
  <si>
    <t>37-2-37</t>
  </si>
  <si>
    <t>37-11-98</t>
  </si>
  <si>
    <t>38-2-38</t>
  </si>
  <si>
    <t>38-11-99</t>
  </si>
  <si>
    <t>40-2-40</t>
  </si>
  <si>
    <t>40-11-100</t>
  </si>
  <si>
    <t>41-2-41</t>
  </si>
  <si>
    <t>41-11-101</t>
  </si>
  <si>
    <t>43-2-43</t>
  </si>
  <si>
    <t>43-11-103</t>
  </si>
  <si>
    <t>44-2-44</t>
  </si>
  <si>
    <t>44-11-104</t>
  </si>
  <si>
    <t>Clearwater</t>
  </si>
  <si>
    <t>Shoshone</t>
  </si>
  <si>
    <t>1=thisformrequired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</si>
</sst>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quot;District Name:&quot;\ #"/>
    <numFmt numFmtId="167" formatCode="0.000000000"/>
    <numFmt numFmtId="168" formatCode="_(&quot;$&quot;* #,##0_);_(&quot;$&quot;* \(#,##0\);_(&quot;$&quot;* &quot;-&quot;??_);_(@_)"/>
    <numFmt numFmtId="169" formatCode="yyyy"/>
    <numFmt numFmtId="170" formatCode="m/d/yyyy;@"/>
    <numFmt numFmtId="171" formatCode="0.000%"/>
    <numFmt numFmtId="172" formatCode="#,##0.000000000_);\(#,##0.000000000\)"/>
    <numFmt numFmtId="173" formatCode="_(* #,##0.000000000_);_(* \(#,##0.000000000\);_(* &quot;-&quot;??_);_(@_)"/>
    <numFmt numFmtId="174" formatCode="&quot;This value is over the limit&quot;\ #"/>
  </numFmts>
  <fonts count="21"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font>
    <font>
      <b/>
      <sz val="12"/>
      <color theme="1"/>
      <name val="Calibri"/>
      <family val="2"/>
    </font>
    <font>
      <sz val="12"/>
      <name val="Times New Roman"/>
      <family val="1"/>
    </font>
    <font>
      <sz val="12"/>
      <name val="Calibri"/>
      <family val="2"/>
    </font>
    <font>
      <sz val="12"/>
      <color theme="1"/>
      <name val="Calibri"/>
      <family val="2"/>
      <scheme val="minor"/>
    </font>
    <font>
      <b/>
      <sz val="12"/>
      <name val="Calibri"/>
      <family val="2"/>
    </font>
    <font>
      <i/>
      <u/>
      <sz val="12"/>
      <name val="Calibri"/>
      <family val="2"/>
    </font>
    <font>
      <b/>
      <sz val="14"/>
      <name val="Calibri"/>
      <family val="2"/>
    </font>
    <font>
      <b/>
      <sz val="18"/>
      <name val="Calibri"/>
      <family val="2"/>
    </font>
    <font>
      <b/>
      <sz val="20"/>
      <color theme="1"/>
      <name val="Calibri"/>
      <family val="2"/>
    </font>
    <font>
      <sz val="12"/>
      <color theme="9" tint="0.39997558519241921"/>
      <name val="Calibri"/>
      <family val="2"/>
    </font>
    <font>
      <b/>
      <sz val="16"/>
      <name val="Calibri"/>
      <family val="2"/>
    </font>
    <font>
      <b/>
      <sz val="14"/>
      <color theme="1"/>
      <name val="Calibri"/>
      <family val="2"/>
      <scheme val="minor"/>
    </font>
    <font>
      <b/>
      <sz val="18"/>
      <color theme="1"/>
      <name val="Calibri"/>
      <family val="2"/>
      <scheme val="minor"/>
    </font>
    <font>
      <b/>
      <sz val="12"/>
      <color theme="1"/>
      <name val="Calibri"/>
      <family val="2"/>
      <scheme val="minor"/>
    </font>
    <font>
      <b/>
      <sz val="20"/>
      <color theme="1"/>
      <name val="Calibri"/>
      <family val="2"/>
      <scheme val="minor"/>
    </font>
    <font>
      <b/>
      <sz val="26"/>
      <name val="Calibri"/>
      <family val="2"/>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0C0C0"/>
        <bgColor indexed="64"/>
      </patternFill>
    </fill>
    <fill>
      <patternFill patternType="solid">
        <fgColor theme="9" tint="0.59999389629810485"/>
        <bgColor indexed="64"/>
      </patternFill>
    </fill>
    <fill>
      <patternFill patternType="solid">
        <fgColor rgb="FFFCE4D6"/>
        <bgColor indexed="64"/>
      </patternFill>
    </fill>
    <fill>
      <patternFill patternType="solid">
        <fgColor theme="0"/>
        <bgColor theme="0"/>
      </patternFill>
    </fill>
    <fill>
      <patternFill patternType="solid">
        <fgColor theme="9" tint="0.59999389629810485"/>
        <bgColor theme="0"/>
      </patternFill>
    </fill>
    <fill>
      <patternFill patternType="solid">
        <fgColor rgb="FFEFBAC0"/>
        <bgColor indexed="64"/>
      </patternFill>
    </fill>
  </fills>
  <borders count="7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auto="1"/>
      </bottom>
      <diagonal/>
    </border>
    <border>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indexed="64"/>
      </left>
      <right/>
      <top/>
      <bottom style="medium">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auto="1"/>
      </right>
      <top/>
      <bottom/>
      <diagonal/>
    </border>
    <border>
      <left style="thin">
        <color auto="1"/>
      </left>
      <right style="medium">
        <color auto="1"/>
      </right>
      <top/>
      <bottom/>
      <diagonal/>
    </border>
    <border>
      <left style="thin">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indexed="64"/>
      </bottom>
      <diagonal/>
    </border>
    <border>
      <left style="medium">
        <color auto="1"/>
      </left>
      <right style="thin">
        <color indexed="64"/>
      </right>
      <top/>
      <bottom style="thin">
        <color auto="1"/>
      </bottom>
      <diagonal/>
    </border>
    <border>
      <left style="medium">
        <color auto="1"/>
      </left>
      <right style="thin">
        <color indexed="64"/>
      </right>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auto="1"/>
      </right>
      <top style="thin">
        <color auto="1"/>
      </top>
      <bottom/>
      <diagonal/>
    </border>
    <border>
      <left style="thin">
        <color indexed="64"/>
      </left>
      <right style="thin">
        <color indexed="64"/>
      </right>
      <top style="medium">
        <color auto="1"/>
      </top>
      <bottom style="medium">
        <color auto="1"/>
      </bottom>
      <diagonal/>
    </border>
    <border>
      <left/>
      <right style="thin">
        <color indexed="64"/>
      </right>
      <top style="medium">
        <color auto="1"/>
      </top>
      <bottom style="medium">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medium">
        <color indexed="64"/>
      </bottom>
      <diagonal/>
    </border>
    <border>
      <left style="thin">
        <color auto="1"/>
      </left>
      <right/>
      <top style="medium">
        <color auto="1"/>
      </top>
      <bottom style="thin">
        <color auto="1"/>
      </bottom>
      <diagonal/>
    </border>
    <border>
      <left/>
      <right style="medium">
        <color indexed="64"/>
      </right>
      <top style="double">
        <color indexed="64"/>
      </top>
      <bottom style="medium">
        <color indexed="64"/>
      </bottom>
      <diagonal/>
    </border>
    <border>
      <left style="medium">
        <color auto="1"/>
      </left>
      <right/>
      <top style="thin">
        <color auto="1"/>
      </top>
      <bottom style="double">
        <color indexed="64"/>
      </bottom>
      <diagonal/>
    </border>
    <border>
      <left style="medium">
        <color auto="1"/>
      </left>
      <right style="thin">
        <color auto="1"/>
      </right>
      <top/>
      <bottom style="double">
        <color indexed="64"/>
      </bottom>
      <diagonal/>
    </border>
    <border>
      <left style="thin">
        <color auto="1"/>
      </left>
      <right style="thin">
        <color auto="1"/>
      </right>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style="medium">
        <color indexed="64"/>
      </left>
      <right style="medium">
        <color indexed="64"/>
      </right>
      <top style="medium">
        <color indexed="64"/>
      </top>
      <bottom style="medium">
        <color auto="1"/>
      </bottom>
      <diagonal/>
    </border>
    <border>
      <left style="thin">
        <color indexed="64"/>
      </left>
      <right/>
      <top style="thin">
        <color auto="1"/>
      </top>
      <bottom style="double">
        <color auto="1"/>
      </bottom>
      <diagonal/>
    </border>
    <border>
      <left style="thin">
        <color indexed="64"/>
      </left>
      <right/>
      <top style="medium">
        <color indexed="64"/>
      </top>
      <bottom style="medium">
        <color indexed="64"/>
      </bottom>
      <diagonal/>
    </border>
  </borders>
  <cellStyleXfs count="1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5"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43" fontId="5" fillId="0" borderId="0" applyFont="0" applyFill="0" applyBorder="0" applyAlignment="0" applyProtection="0"/>
    <xf numFmtId="44" fontId="7"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36">
    <xf numFmtId="0" fontId="0" fillId="0" borderId="0" xfId="0"/>
    <xf numFmtId="0" fontId="5" fillId="0" borderId="0" xfId="114"/>
    <xf numFmtId="0" fontId="6" fillId="0" borderId="0" xfId="114" applyFont="1"/>
    <xf numFmtId="169" fontId="6" fillId="0" borderId="0" xfId="114" applyNumberFormat="1" applyFont="1"/>
    <xf numFmtId="0" fontId="6" fillId="0" borderId="0" xfId="118" applyFont="1"/>
    <xf numFmtId="0" fontId="8" fillId="0" borderId="0" xfId="118" applyFont="1"/>
    <xf numFmtId="0" fontId="8" fillId="0" borderId="0" xfId="114" applyFont="1"/>
    <xf numFmtId="0" fontId="6" fillId="0" borderId="0" xfId="114" applyFont="1" applyAlignment="1">
      <alignment horizontal="right"/>
    </xf>
    <xf numFmtId="168" fontId="3" fillId="0" borderId="0" xfId="119" applyNumberFormat="1" applyFont="1" applyFill="1" applyBorder="1"/>
    <xf numFmtId="9" fontId="3" fillId="0" borderId="0" xfId="117" applyFont="1" applyFill="1" applyBorder="1" applyAlignment="1">
      <alignment horizontal="center"/>
    </xf>
    <xf numFmtId="0" fontId="6" fillId="0" borderId="0" xfId="114" applyFont="1" applyAlignment="1">
      <alignment horizontal="right" wrapText="1"/>
    </xf>
    <xf numFmtId="0" fontId="6" fillId="2" borderId="1" xfId="114" applyFont="1" applyFill="1" applyBorder="1" applyAlignment="1">
      <alignment horizontal="center"/>
    </xf>
    <xf numFmtId="0" fontId="4" fillId="2" borderId="0" xfId="114" applyFont="1" applyFill="1" applyAlignment="1">
      <alignment horizontal="center" vertical="center"/>
    </xf>
    <xf numFmtId="0" fontId="4" fillId="2" borderId="0" xfId="114" applyFont="1" applyFill="1" applyAlignment="1">
      <alignment horizontal="center" vertical="top" wrapText="1"/>
    </xf>
    <xf numFmtId="0" fontId="4" fillId="2" borderId="0" xfId="114" applyFont="1" applyFill="1" applyAlignment="1">
      <alignment horizontal="center" vertical="center" wrapText="1"/>
    </xf>
    <xf numFmtId="0" fontId="4" fillId="5" borderId="45" xfId="114" applyFont="1" applyFill="1" applyBorder="1" applyAlignment="1">
      <alignment horizontal="center" wrapText="1"/>
    </xf>
    <xf numFmtId="167" fontId="6" fillId="2" borderId="1" xfId="114" applyNumberFormat="1" applyFont="1" applyFill="1" applyBorder="1"/>
    <xf numFmtId="37" fontId="8" fillId="2" borderId="24" xfId="65" applyNumberFormat="1" applyFont="1" applyFill="1" applyBorder="1" applyProtection="1"/>
    <xf numFmtId="0" fontId="8" fillId="7" borderId="0" xfId="114" applyFont="1" applyFill="1" applyAlignment="1">
      <alignment horizontal="right" vertical="center" wrapText="1"/>
    </xf>
    <xf numFmtId="0" fontId="8" fillId="7" borderId="58" xfId="114" applyFont="1" applyFill="1" applyBorder="1" applyAlignment="1">
      <alignment horizontal="right" vertical="center" wrapText="1"/>
    </xf>
    <xf numFmtId="0" fontId="6" fillId="2" borderId="4" xfId="114" applyFont="1" applyFill="1" applyBorder="1" applyAlignment="1">
      <alignment horizontal="center"/>
    </xf>
    <xf numFmtId="164" fontId="6" fillId="2" borderId="4" xfId="114" applyNumberFormat="1" applyFont="1" applyFill="1" applyBorder="1" applyAlignment="1">
      <alignment vertical="center" wrapText="1"/>
    </xf>
    <xf numFmtId="171" fontId="3" fillId="2" borderId="1" xfId="117" applyNumberFormat="1" applyFont="1" applyFill="1" applyBorder="1" applyProtection="1"/>
    <xf numFmtId="0" fontId="3" fillId="2" borderId="4" xfId="114" applyFont="1" applyFill="1" applyBorder="1" applyAlignment="1">
      <alignment horizontal="center"/>
    </xf>
    <xf numFmtId="164" fontId="6" fillId="9" borderId="1" xfId="65" applyNumberFormat="1" applyFont="1" applyFill="1" applyBorder="1" applyProtection="1">
      <protection locked="0"/>
    </xf>
    <xf numFmtId="0" fontId="6" fillId="9" borderId="1" xfId="114" applyFont="1" applyFill="1" applyBorder="1" applyProtection="1">
      <protection locked="0"/>
    </xf>
    <xf numFmtId="164" fontId="6" fillId="9" borderId="12" xfId="114" applyNumberFormat="1" applyFont="1" applyFill="1" applyBorder="1" applyProtection="1">
      <protection locked="0"/>
    </xf>
    <xf numFmtId="164" fontId="6" fillId="9" borderId="7" xfId="114" applyNumberFormat="1" applyFont="1" applyFill="1" applyBorder="1" applyProtection="1">
      <protection locked="0"/>
    </xf>
    <xf numFmtId="164" fontId="6" fillId="9" borderId="1" xfId="114" applyNumberFormat="1" applyFont="1" applyFill="1" applyBorder="1" applyAlignment="1" applyProtection="1">
      <alignment horizontal="center"/>
      <protection locked="0"/>
    </xf>
    <xf numFmtId="164" fontId="3" fillId="9" borderId="1" xfId="119" applyNumberFormat="1" applyFont="1" applyFill="1" applyBorder="1" applyProtection="1">
      <protection locked="0"/>
    </xf>
    <xf numFmtId="0" fontId="8" fillId="7" borderId="10" xfId="114" applyFont="1" applyFill="1" applyBorder="1" applyAlignment="1">
      <alignment horizontal="right" vertical="center" wrapText="1"/>
    </xf>
    <xf numFmtId="5" fontId="3" fillId="9" borderId="1" xfId="65" applyNumberFormat="1" applyFont="1" applyFill="1" applyBorder="1" applyAlignment="1" applyProtection="1">
      <alignment horizontal="right"/>
      <protection locked="0"/>
    </xf>
    <xf numFmtId="164" fontId="6" fillId="2" borderId="12" xfId="114" applyNumberFormat="1" applyFont="1" applyFill="1" applyBorder="1" applyAlignment="1">
      <alignment horizontal="right" vertical="center" wrapText="1"/>
    </xf>
    <xf numFmtId="5" fontId="6" fillId="2" borderId="1" xfId="65" applyNumberFormat="1" applyFont="1" applyFill="1" applyBorder="1" applyProtection="1"/>
    <xf numFmtId="5" fontId="6" fillId="2" borderId="45" xfId="65" applyNumberFormat="1" applyFont="1" applyFill="1" applyBorder="1" applyProtection="1"/>
    <xf numFmtId="164" fontId="6" fillId="0" borderId="0" xfId="114" applyNumberFormat="1" applyFont="1"/>
    <xf numFmtId="42" fontId="6" fillId="0" borderId="0" xfId="114" applyNumberFormat="1" applyFont="1"/>
    <xf numFmtId="0" fontId="6" fillId="2" borderId="13" xfId="121" applyFont="1" applyFill="1" applyBorder="1"/>
    <xf numFmtId="0" fontId="8" fillId="5" borderId="49" xfId="114" applyFont="1" applyFill="1" applyBorder="1" applyAlignment="1">
      <alignment horizontal="center"/>
    </xf>
    <xf numFmtId="0" fontId="6" fillId="0" borderId="0" xfId="114" applyFont="1" applyProtection="1">
      <protection locked="0"/>
    </xf>
    <xf numFmtId="0" fontId="6" fillId="0" borderId="16" xfId="114" applyFont="1" applyBorder="1"/>
    <xf numFmtId="5" fontId="6" fillId="9" borderId="1" xfId="65" applyNumberFormat="1" applyFont="1" applyFill="1" applyBorder="1" applyAlignment="1" applyProtection="1">
      <alignment horizontal="right"/>
      <protection locked="0"/>
    </xf>
    <xf numFmtId="5" fontId="6" fillId="2" borderId="32" xfId="65" applyNumberFormat="1" applyFont="1" applyFill="1" applyBorder="1" applyProtection="1"/>
    <xf numFmtId="0" fontId="6" fillId="9" borderId="32" xfId="114" applyFont="1" applyFill="1" applyBorder="1" applyProtection="1">
      <protection locked="0"/>
    </xf>
    <xf numFmtId="164" fontId="4" fillId="0" borderId="24" xfId="65" applyNumberFormat="1" applyFont="1" applyBorder="1"/>
    <xf numFmtId="164" fontId="4" fillId="0" borderId="23" xfId="65" applyNumberFormat="1" applyFont="1" applyBorder="1"/>
    <xf numFmtId="164" fontId="3" fillId="0" borderId="37" xfId="65" applyNumberFormat="1" applyFont="1" applyBorder="1"/>
    <xf numFmtId="164" fontId="3" fillId="0" borderId="65" xfId="65" applyNumberFormat="1" applyFont="1" applyBorder="1"/>
    <xf numFmtId="0" fontId="6" fillId="9" borderId="40" xfId="114" applyFont="1" applyFill="1" applyBorder="1" applyProtection="1">
      <protection locked="0"/>
    </xf>
    <xf numFmtId="164" fontId="3" fillId="0" borderId="7" xfId="65" applyNumberFormat="1" applyFont="1" applyBorder="1"/>
    <xf numFmtId="164" fontId="6" fillId="2" borderId="4" xfId="65" applyNumberFormat="1" applyFont="1" applyFill="1" applyBorder="1"/>
    <xf numFmtId="164" fontId="6" fillId="2" borderId="15" xfId="65" applyNumberFormat="1" applyFont="1" applyFill="1" applyBorder="1"/>
    <xf numFmtId="0" fontId="8" fillId="2" borderId="51" xfId="114" applyFont="1" applyFill="1" applyBorder="1" applyAlignment="1">
      <alignment horizontal="left"/>
    </xf>
    <xf numFmtId="5" fontId="3" fillId="9" borderId="32" xfId="65" applyNumberFormat="1" applyFont="1" applyFill="1" applyBorder="1" applyAlignment="1" applyProtection="1">
      <alignment horizontal="right"/>
      <protection locked="0"/>
    </xf>
    <xf numFmtId="164" fontId="3" fillId="0" borderId="0" xfId="114" applyNumberFormat="1" applyFont="1"/>
    <xf numFmtId="0" fontId="6" fillId="2" borderId="51" xfId="114" applyFont="1" applyFill="1" applyBorder="1" applyAlignment="1">
      <alignment horizontal="left"/>
    </xf>
    <xf numFmtId="37" fontId="6" fillId="2" borderId="24" xfId="65" applyNumberFormat="1" applyFont="1" applyFill="1" applyBorder="1" applyProtection="1"/>
    <xf numFmtId="0" fontId="8" fillId="5" borderId="40" xfId="114" applyFont="1" applyFill="1" applyBorder="1" applyAlignment="1">
      <alignment horizontal="center"/>
    </xf>
    <xf numFmtId="168" fontId="3" fillId="0" borderId="24" xfId="119" applyNumberFormat="1" applyFont="1" applyBorder="1"/>
    <xf numFmtId="164" fontId="6" fillId="9" borderId="37" xfId="114" applyNumberFormat="1" applyFont="1" applyFill="1" applyBorder="1" applyAlignment="1" applyProtection="1">
      <alignment horizontal="center"/>
      <protection locked="0"/>
    </xf>
    <xf numFmtId="164" fontId="3" fillId="9" borderId="37" xfId="119" applyNumberFormat="1" applyFont="1" applyFill="1" applyBorder="1" applyProtection="1">
      <protection locked="0"/>
    </xf>
    <xf numFmtId="171" fontId="3" fillId="2" borderId="37" xfId="117" applyNumberFormat="1" applyFont="1" applyFill="1" applyBorder="1" applyProtection="1"/>
    <xf numFmtId="0" fontId="3" fillId="2" borderId="7" xfId="114" applyFont="1" applyFill="1" applyBorder="1" applyAlignment="1">
      <alignment horizontal="center"/>
    </xf>
    <xf numFmtId="5" fontId="6" fillId="9" borderId="45" xfId="65" applyNumberFormat="1" applyFont="1" applyFill="1" applyBorder="1" applyAlignment="1" applyProtection="1">
      <alignment horizontal="right"/>
      <protection locked="0"/>
    </xf>
    <xf numFmtId="5" fontId="6" fillId="2" borderId="73" xfId="65" applyNumberFormat="1" applyFont="1" applyFill="1" applyBorder="1" applyProtection="1"/>
    <xf numFmtId="0" fontId="6" fillId="9" borderId="73" xfId="114" applyFont="1" applyFill="1" applyBorder="1" applyProtection="1">
      <protection locked="0"/>
    </xf>
    <xf numFmtId="0" fontId="6" fillId="2" borderId="13" xfId="114" applyFont="1" applyFill="1" applyBorder="1"/>
    <xf numFmtId="0" fontId="6" fillId="2" borderId="13" xfId="65" applyNumberFormat="1" applyFont="1" applyFill="1" applyBorder="1" applyProtection="1"/>
    <xf numFmtId="0" fontId="6" fillId="2" borderId="72" xfId="65" applyNumberFormat="1" applyFont="1" applyFill="1" applyBorder="1" applyProtection="1"/>
    <xf numFmtId="172" fontId="6" fillId="2" borderId="24" xfId="65" applyNumberFormat="1" applyFont="1" applyFill="1" applyBorder="1" applyProtection="1"/>
    <xf numFmtId="172" fontId="8" fillId="2" borderId="24" xfId="65" applyNumberFormat="1" applyFont="1" applyFill="1" applyBorder="1" applyProtection="1"/>
    <xf numFmtId="165" fontId="0" fillId="0" borderId="0" xfId="123" applyNumberFormat="1" applyFont="1"/>
    <xf numFmtId="0" fontId="6" fillId="0" borderId="14" xfId="114" applyFont="1" applyBorder="1" applyAlignment="1">
      <alignment horizontal="center"/>
    </xf>
    <xf numFmtId="0" fontId="6" fillId="0" borderId="43" xfId="114" applyFont="1" applyBorder="1" applyAlignment="1">
      <alignment horizontal="left"/>
    </xf>
    <xf numFmtId="5" fontId="6" fillId="0" borderId="45" xfId="65" applyNumberFormat="1" applyFont="1" applyFill="1" applyBorder="1" applyAlignment="1" applyProtection="1">
      <alignment horizontal="right"/>
    </xf>
    <xf numFmtId="0" fontId="6" fillId="9" borderId="1" xfId="114" applyFont="1" applyFill="1" applyBorder="1" applyAlignment="1" applyProtection="1">
      <alignment horizontal="center"/>
      <protection locked="0"/>
    </xf>
    <xf numFmtId="0" fontId="6" fillId="9" borderId="4" xfId="114" applyFont="1" applyFill="1" applyBorder="1" applyAlignment="1" applyProtection="1">
      <alignment vertical="center" wrapText="1"/>
      <protection locked="0"/>
    </xf>
    <xf numFmtId="170" fontId="6" fillId="9" borderId="40" xfId="114" applyNumberFormat="1" applyFont="1" applyFill="1" applyBorder="1" applyProtection="1">
      <protection locked="0"/>
    </xf>
    <xf numFmtId="170" fontId="6" fillId="9" borderId="13" xfId="114" applyNumberFormat="1" applyFont="1" applyFill="1" applyBorder="1" applyAlignment="1" applyProtection="1">
      <alignment horizontal="center"/>
      <protection locked="0"/>
    </xf>
    <xf numFmtId="170" fontId="6" fillId="9" borderId="55" xfId="114" applyNumberFormat="1" applyFont="1" applyFill="1" applyBorder="1" applyAlignment="1" applyProtection="1">
      <alignment horizontal="center"/>
      <protection locked="0"/>
    </xf>
    <xf numFmtId="0" fontId="6" fillId="9" borderId="37" xfId="114" applyFont="1" applyFill="1" applyBorder="1" applyAlignment="1" applyProtection="1">
      <alignment horizontal="center"/>
      <protection locked="0"/>
    </xf>
    <xf numFmtId="165" fontId="8" fillId="0" borderId="32" xfId="115" quotePrefix="1" applyNumberFormat="1" applyFont="1" applyBorder="1" applyAlignment="1" applyProtection="1">
      <alignment horizontal="center" vertical="center"/>
    </xf>
    <xf numFmtId="165" fontId="8" fillId="0" borderId="45" xfId="115" quotePrefix="1" applyNumberFormat="1" applyFont="1" applyBorder="1" applyAlignment="1" applyProtection="1">
      <alignment horizontal="center" vertical="center"/>
    </xf>
    <xf numFmtId="165" fontId="8" fillId="0" borderId="24" xfId="115" quotePrefix="1" applyNumberFormat="1" applyFont="1" applyBorder="1" applyAlignment="1" applyProtection="1">
      <alignment horizontal="center" vertical="center"/>
    </xf>
    <xf numFmtId="164" fontId="4" fillId="0" borderId="76" xfId="65" applyNumberFormat="1" applyFont="1" applyBorder="1"/>
    <xf numFmtId="164" fontId="4" fillId="10" borderId="3" xfId="65" applyNumberFormat="1" applyFont="1" applyFill="1" applyBorder="1"/>
    <xf numFmtId="165" fontId="8" fillId="0" borderId="1" xfId="115" quotePrefix="1" applyNumberFormat="1" applyFont="1" applyBorder="1" applyAlignment="1" applyProtection="1">
      <alignment horizontal="center" vertical="center"/>
    </xf>
    <xf numFmtId="167" fontId="3" fillId="0" borderId="1" xfId="115" applyNumberFormat="1" applyFont="1" applyBorder="1" applyAlignment="1" applyProtection="1">
      <alignment horizontal="right" vertical="center"/>
    </xf>
    <xf numFmtId="165" fontId="8" fillId="4" borderId="1" xfId="115" quotePrefix="1" applyNumberFormat="1" applyFont="1" applyFill="1" applyBorder="1" applyAlignment="1" applyProtection="1">
      <alignment horizontal="center" vertical="center"/>
    </xf>
    <xf numFmtId="165" fontId="8" fillId="4" borderId="4" xfId="115" quotePrefix="1" applyNumberFormat="1" applyFont="1" applyFill="1" applyBorder="1" applyAlignment="1" applyProtection="1">
      <alignment horizontal="center" vertical="center"/>
    </xf>
    <xf numFmtId="168" fontId="3" fillId="0" borderId="4" xfId="116" applyNumberFormat="1" applyFont="1" applyBorder="1" applyAlignment="1" applyProtection="1">
      <alignment vertical="center"/>
    </xf>
    <xf numFmtId="165" fontId="3" fillId="4" borderId="4" xfId="115" applyNumberFormat="1" applyFont="1" applyFill="1" applyBorder="1" applyAlignment="1" applyProtection="1">
      <alignment vertical="center"/>
    </xf>
    <xf numFmtId="0" fontId="6" fillId="7" borderId="2" xfId="114" applyFont="1" applyFill="1" applyBorder="1" applyAlignment="1">
      <alignment vertical="center" wrapText="1"/>
    </xf>
    <xf numFmtId="0" fontId="6" fillId="7" borderId="2" xfId="114" applyFont="1" applyFill="1" applyBorder="1" applyAlignment="1">
      <alignment vertical="center"/>
    </xf>
    <xf numFmtId="164" fontId="6" fillId="9" borderId="4" xfId="114" applyNumberFormat="1" applyFont="1" applyFill="1" applyBorder="1" applyAlignment="1" applyProtection="1">
      <alignment vertical="center" wrapText="1"/>
      <protection locked="0"/>
    </xf>
    <xf numFmtId="168" fontId="3" fillId="0" borderId="53" xfId="116" applyNumberFormat="1" applyFont="1" applyBorder="1" applyAlignment="1" applyProtection="1">
      <alignment vertical="center"/>
    </xf>
    <xf numFmtId="167" fontId="6" fillId="2" borderId="65" xfId="114" applyNumberFormat="1" applyFont="1" applyFill="1" applyBorder="1"/>
    <xf numFmtId="0" fontId="6" fillId="2" borderId="50" xfId="65" applyNumberFormat="1" applyFont="1" applyFill="1" applyBorder="1" applyProtection="1"/>
    <xf numFmtId="5" fontId="6" fillId="2" borderId="65" xfId="65" applyNumberFormat="1" applyFont="1" applyFill="1" applyBorder="1" applyProtection="1"/>
    <xf numFmtId="0" fontId="6" fillId="2" borderId="64" xfId="114" applyFont="1" applyFill="1" applyBorder="1"/>
    <xf numFmtId="0" fontId="6" fillId="9" borderId="65" xfId="114" applyFont="1" applyFill="1" applyBorder="1" applyProtection="1">
      <protection locked="0"/>
    </xf>
    <xf numFmtId="168" fontId="3" fillId="0" borderId="4" xfId="116" applyNumberFormat="1" applyFont="1" applyFill="1" applyBorder="1" applyAlignment="1" applyProtection="1">
      <alignment vertical="center"/>
    </xf>
    <xf numFmtId="165" fontId="8" fillId="4" borderId="38" xfId="115" quotePrefix="1" applyNumberFormat="1" applyFont="1" applyFill="1" applyBorder="1" applyAlignment="1" applyProtection="1">
      <alignment horizontal="center" vertical="center"/>
    </xf>
    <xf numFmtId="165" fontId="8" fillId="4" borderId="15" xfId="115" quotePrefix="1" applyNumberFormat="1" applyFont="1" applyFill="1" applyBorder="1" applyAlignment="1" applyProtection="1">
      <alignment horizontal="center" vertical="center"/>
    </xf>
    <xf numFmtId="165" fontId="8" fillId="4" borderId="19" xfId="115" quotePrefix="1" applyNumberFormat="1" applyFont="1" applyFill="1" applyBorder="1" applyAlignment="1" applyProtection="1">
      <alignment horizontal="center" vertical="center"/>
    </xf>
    <xf numFmtId="168" fontId="3" fillId="0" borderId="1" xfId="116" applyNumberFormat="1" applyFont="1" applyBorder="1" applyAlignment="1" applyProtection="1">
      <alignment vertical="center"/>
    </xf>
    <xf numFmtId="165" fontId="0" fillId="6" borderId="0" xfId="123" applyNumberFormat="1" applyFont="1" applyFill="1"/>
    <xf numFmtId="164" fontId="6" fillId="2" borderId="66" xfId="65" applyNumberFormat="1" applyFont="1" applyFill="1" applyBorder="1"/>
    <xf numFmtId="168" fontId="3" fillId="0" borderId="1" xfId="123" applyNumberFormat="1" applyFont="1" applyFill="1" applyBorder="1" applyAlignment="1" applyProtection="1">
      <alignment vertical="center"/>
    </xf>
    <xf numFmtId="168" fontId="3" fillId="0" borderId="32" xfId="123" applyNumberFormat="1" applyFont="1" applyBorder="1" applyAlignment="1" applyProtection="1">
      <alignment vertical="center"/>
    </xf>
    <xf numFmtId="168" fontId="3" fillId="0" borderId="32" xfId="123" applyNumberFormat="1" applyFont="1" applyFill="1" applyBorder="1" applyAlignment="1" applyProtection="1">
      <alignment vertical="center"/>
    </xf>
    <xf numFmtId="165" fontId="0" fillId="0" borderId="0" xfId="123" applyNumberFormat="1" applyFont="1" applyFill="1"/>
    <xf numFmtId="0" fontId="0" fillId="0" borderId="26" xfId="0" applyBorder="1"/>
    <xf numFmtId="173" fontId="0" fillId="0" borderId="0" xfId="123" applyNumberFormat="1" applyFont="1"/>
    <xf numFmtId="0" fontId="6" fillId="0" borderId="5" xfId="114" applyFont="1" applyBorder="1" applyAlignment="1">
      <alignment horizontal="left"/>
    </xf>
    <xf numFmtId="164" fontId="8" fillId="2" borderId="53" xfId="65" applyNumberFormat="1" applyFont="1" applyFill="1" applyBorder="1"/>
    <xf numFmtId="170" fontId="6" fillId="9" borderId="37" xfId="114" applyNumberFormat="1" applyFont="1" applyFill="1" applyBorder="1" applyProtection="1">
      <protection locked="0"/>
    </xf>
    <xf numFmtId="0" fontId="6" fillId="9" borderId="37" xfId="114" applyFont="1" applyFill="1" applyBorder="1" applyProtection="1">
      <protection locked="0"/>
    </xf>
    <xf numFmtId="0" fontId="8" fillId="2" borderId="1" xfId="114" applyFont="1" applyFill="1" applyBorder="1"/>
    <xf numFmtId="10" fontId="8" fillId="0" borderId="1" xfId="124" applyNumberFormat="1" applyFont="1" applyFill="1" applyBorder="1" applyAlignment="1">
      <alignment vertical="center"/>
    </xf>
    <xf numFmtId="168" fontId="8" fillId="0" borderId="4" xfId="116" applyNumberFormat="1" applyFont="1" applyFill="1" applyBorder="1" applyAlignment="1">
      <alignment vertical="center"/>
    </xf>
    <xf numFmtId="10" fontId="8" fillId="0" borderId="1" xfId="0" applyNumberFormat="1" applyFont="1" applyBorder="1" applyAlignment="1">
      <alignment vertical="center"/>
    </xf>
    <xf numFmtId="10" fontId="8" fillId="0" borderId="37" xfId="0" applyNumberFormat="1" applyFont="1" applyBorder="1" applyAlignment="1">
      <alignment vertical="center"/>
    </xf>
    <xf numFmtId="168" fontId="8" fillId="0" borderId="7" xfId="116" applyNumberFormat="1" applyFont="1" applyFill="1" applyBorder="1" applyAlignment="1">
      <alignment vertical="center"/>
    </xf>
    <xf numFmtId="0" fontId="8" fillId="2" borderId="1" xfId="0" applyFont="1" applyFill="1" applyBorder="1" applyAlignment="1">
      <alignment vertical="center"/>
    </xf>
    <xf numFmtId="0" fontId="8" fillId="2" borderId="32" xfId="0" applyFont="1" applyFill="1" applyBorder="1" applyAlignment="1">
      <alignment horizontal="left" vertical="center"/>
    </xf>
    <xf numFmtId="10" fontId="3" fillId="0" borderId="1" xfId="124" applyNumberFormat="1" applyFont="1" applyFill="1" applyBorder="1" applyAlignment="1" applyProtection="1">
      <alignment vertical="center"/>
    </xf>
    <xf numFmtId="0" fontId="8" fillId="5" borderId="12" xfId="114" applyFont="1" applyFill="1" applyBorder="1" applyAlignment="1" applyProtection="1">
      <alignment horizontal="center" vertical="center"/>
      <protection hidden="1"/>
    </xf>
    <xf numFmtId="168" fontId="6" fillId="0" borderId="4" xfId="116" applyNumberFormat="1" applyFont="1" applyBorder="1" applyAlignment="1" applyProtection="1">
      <alignment vertical="center" wrapText="1"/>
      <protection hidden="1"/>
    </xf>
    <xf numFmtId="168" fontId="6" fillId="0" borderId="7" xfId="116" applyNumberFormat="1" applyFont="1" applyBorder="1" applyAlignment="1" applyProtection="1">
      <alignment vertical="center" wrapText="1"/>
      <protection hidden="1"/>
    </xf>
    <xf numFmtId="168" fontId="6" fillId="0" borderId="53" xfId="116" applyNumberFormat="1" applyFont="1" applyBorder="1" applyAlignment="1" applyProtection="1">
      <alignment vertical="center" wrapText="1"/>
      <protection hidden="1"/>
    </xf>
    <xf numFmtId="168" fontId="6" fillId="0" borderId="15" xfId="116" applyNumberFormat="1" applyFont="1" applyBorder="1" applyAlignment="1" applyProtection="1">
      <alignment vertical="center" wrapText="1"/>
      <protection hidden="1"/>
    </xf>
    <xf numFmtId="0" fontId="6" fillId="0" borderId="31" xfId="114" applyFont="1" applyBorder="1" applyAlignment="1" applyProtection="1">
      <alignment vertical="center" wrapText="1"/>
      <protection hidden="1"/>
    </xf>
    <xf numFmtId="0" fontId="6" fillId="0" borderId="26" xfId="114" applyFont="1" applyBorder="1" applyAlignment="1" applyProtection="1">
      <alignment vertical="center" wrapText="1"/>
      <protection hidden="1"/>
    </xf>
    <xf numFmtId="0" fontId="6" fillId="0" borderId="26" xfId="114" applyFont="1" applyBorder="1" applyAlignment="1" applyProtection="1">
      <alignment horizontal="right" vertical="center" wrapText="1"/>
      <protection hidden="1"/>
    </xf>
    <xf numFmtId="168" fontId="0" fillId="0" borderId="0" xfId="116" applyNumberFormat="1" applyFont="1"/>
    <xf numFmtId="1" fontId="0" fillId="0" borderId="0" xfId="123" applyNumberFormat="1" applyFont="1"/>
    <xf numFmtId="168" fontId="3" fillId="0" borderId="46" xfId="116" applyNumberFormat="1" applyFont="1" applyBorder="1" applyAlignment="1" applyProtection="1">
      <alignment vertical="center"/>
    </xf>
    <xf numFmtId="165" fontId="8" fillId="0" borderId="38" xfId="115" quotePrefix="1" applyNumberFormat="1" applyFont="1" applyBorder="1" applyAlignment="1" applyProtection="1">
      <alignment horizontal="center" vertical="center"/>
    </xf>
    <xf numFmtId="168" fontId="3" fillId="0" borderId="38" xfId="123" applyNumberFormat="1" applyFont="1" applyFill="1" applyBorder="1" applyAlignment="1" applyProtection="1">
      <alignment vertical="center"/>
    </xf>
    <xf numFmtId="165" fontId="8" fillId="4" borderId="32" xfId="115" quotePrefix="1" applyNumberFormat="1" applyFont="1" applyFill="1" applyBorder="1" applyAlignment="1" applyProtection="1">
      <alignment horizontal="center" vertical="center"/>
    </xf>
    <xf numFmtId="0" fontId="0" fillId="0" borderId="3" xfId="0" applyBorder="1"/>
    <xf numFmtId="0" fontId="0" fillId="0" borderId="63" xfId="0" applyBorder="1"/>
    <xf numFmtId="0" fontId="8" fillId="2" borderId="10" xfId="0" applyFont="1" applyFill="1" applyBorder="1" applyAlignment="1">
      <alignment horizontal="center"/>
    </xf>
    <xf numFmtId="0" fontId="6" fillId="2" borderId="47" xfId="114" applyFont="1" applyFill="1" applyBorder="1" applyAlignment="1">
      <alignment horizontal="center"/>
    </xf>
    <xf numFmtId="0" fontId="8" fillId="5" borderId="41" xfId="114" applyFont="1" applyFill="1" applyBorder="1" applyAlignment="1">
      <alignment horizontal="center"/>
    </xf>
    <xf numFmtId="0" fontId="6" fillId="2" borderId="30" xfId="114" applyFont="1" applyFill="1" applyBorder="1" applyAlignment="1">
      <alignment horizont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164" fontId="6" fillId="9" borderId="60" xfId="65" applyNumberFormat="1" applyFont="1" applyFill="1" applyBorder="1" applyAlignment="1" applyProtection="1">
      <alignment horizontal="center"/>
      <protection locked="0"/>
    </xf>
    <xf numFmtId="0" fontId="6" fillId="2" borderId="55" xfId="121" applyFont="1" applyFill="1" applyBorder="1"/>
    <xf numFmtId="164" fontId="6" fillId="9" borderId="37" xfId="65" applyNumberFormat="1" applyFont="1" applyFill="1" applyBorder="1" applyProtection="1">
      <protection locked="0"/>
    </xf>
    <xf numFmtId="0" fontId="6" fillId="2" borderId="66" xfId="114" applyFont="1" applyFill="1" applyBorder="1" applyAlignment="1">
      <alignment horizontal="center"/>
    </xf>
    <xf numFmtId="0" fontId="6" fillId="2" borderId="50" xfId="114" applyFont="1" applyFill="1" applyBorder="1"/>
    <xf numFmtId="167" fontId="6" fillId="2" borderId="32" xfId="114" applyNumberFormat="1" applyFont="1" applyFill="1" applyBorder="1"/>
    <xf numFmtId="165" fontId="0" fillId="0" borderId="0" xfId="123" quotePrefix="1" applyNumberFormat="1" applyFont="1"/>
    <xf numFmtId="0" fontId="0" fillId="0" borderId="2" xfId="0" applyBorder="1"/>
    <xf numFmtId="0" fontId="0" fillId="0" borderId="0" xfId="0"/>
    <xf numFmtId="0" fontId="0" fillId="0" borderId="3" xfId="0" applyBorder="1"/>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5" xfId="0" applyBorder="1"/>
    <xf numFmtId="0" fontId="0" fillId="0" borderId="11" xfId="0" applyBorder="1"/>
    <xf numFmtId="0" fontId="0" fillId="0" borderId="6" xfId="0" applyBorder="1"/>
    <xf numFmtId="0" fontId="0" fillId="0" borderId="8" xfId="0" applyBorder="1"/>
    <xf numFmtId="0" fontId="0" fillId="0" borderId="10" xfId="0" applyBorder="1"/>
    <xf numFmtId="0" fontId="0" fillId="0" borderId="9" xfId="0" applyBorder="1"/>
    <xf numFmtId="0" fontId="0" fillId="0" borderId="34" xfId="0" applyBorder="1"/>
    <xf numFmtId="0" fontId="0" fillId="0" borderId="18" xfId="0" applyBorder="1"/>
    <xf numFmtId="0" fontId="0" fillId="0" borderId="19" xfId="0" applyBorder="1"/>
    <xf numFmtId="0" fontId="0" fillId="9" borderId="34" xfId="0" applyFill="1" applyBorder="1"/>
    <xf numFmtId="0" fontId="0" fillId="9" borderId="18" xfId="0" applyFill="1" applyBorder="1"/>
    <xf numFmtId="0" fontId="0" fillId="9" borderId="19" xfId="0" applyFill="1" applyBorder="1"/>
    <xf numFmtId="0" fontId="0" fillId="13" borderId="34" xfId="0" applyFill="1" applyBorder="1"/>
    <xf numFmtId="0" fontId="0" fillId="13" borderId="18" xfId="0" applyFill="1" applyBorder="1"/>
    <xf numFmtId="0" fontId="0" fillId="13" borderId="19" xfId="0" applyFill="1" applyBorder="1"/>
    <xf numFmtId="0" fontId="8" fillId="2" borderId="14"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7" xfId="0" applyFont="1" applyFill="1" applyBorder="1" applyAlignment="1">
      <alignment vertical="center"/>
    </xf>
    <xf numFmtId="0" fontId="8" fillId="2" borderId="36" xfId="0" applyFont="1" applyFill="1" applyBorder="1" applyAlignment="1">
      <alignment vertical="center"/>
    </xf>
    <xf numFmtId="0" fontId="8" fillId="2" borderId="28" xfId="0" applyFont="1" applyFill="1" applyBorder="1" applyAlignment="1">
      <alignment vertical="center"/>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4" xfId="0" applyFont="1" applyFill="1" applyBorder="1" applyAlignment="1">
      <alignment horizontal="left"/>
    </xf>
    <xf numFmtId="0" fontId="8" fillId="2" borderId="18" xfId="0" applyFont="1" applyFill="1" applyBorder="1" applyAlignment="1">
      <alignment horizontal="left"/>
    </xf>
    <xf numFmtId="0" fontId="8" fillId="2" borderId="47" xfId="0" applyFont="1" applyFill="1" applyBorder="1" applyAlignment="1">
      <alignment horizontal="left"/>
    </xf>
    <xf numFmtId="0" fontId="8" fillId="2" borderId="14" xfId="0" applyFont="1" applyFill="1" applyBorder="1" applyAlignment="1">
      <alignment vertical="center"/>
    </xf>
    <xf numFmtId="0" fontId="8" fillId="2" borderId="18" xfId="0" applyFont="1" applyFill="1" applyBorder="1" applyAlignment="1">
      <alignment vertical="center"/>
    </xf>
    <xf numFmtId="0" fontId="8" fillId="2" borderId="19" xfId="0" applyFont="1" applyFill="1" applyBorder="1" applyAlignment="1">
      <alignment vertical="center"/>
    </xf>
    <xf numFmtId="168" fontId="17" fillId="12" borderId="34" xfId="116" applyNumberFormat="1" applyFont="1" applyFill="1" applyBorder="1" applyAlignment="1" applyProtection="1">
      <alignment vertical="center"/>
      <protection locked="0"/>
    </xf>
    <xf numFmtId="168" fontId="17" fillId="12" borderId="47" xfId="116" applyNumberFormat="1" applyFont="1" applyFill="1" applyBorder="1" applyAlignment="1" applyProtection="1">
      <alignment vertical="center"/>
      <protection locked="0"/>
    </xf>
    <xf numFmtId="0" fontId="8" fillId="2" borderId="20" xfId="0" applyFont="1" applyFill="1" applyBorder="1" applyAlignment="1">
      <alignment horizontal="left"/>
    </xf>
    <xf numFmtId="0" fontId="8" fillId="2" borderId="21" xfId="0" applyFont="1" applyFill="1" applyBorder="1" applyAlignment="1">
      <alignment horizontal="left"/>
    </xf>
    <xf numFmtId="0" fontId="8" fillId="2" borderId="22" xfId="0" applyFont="1" applyFill="1" applyBorder="1" applyAlignment="1">
      <alignment horizontal="left"/>
    </xf>
    <xf numFmtId="168" fontId="8" fillId="0" borderId="69" xfId="116" applyNumberFormat="1" applyFont="1" applyFill="1" applyBorder="1" applyAlignment="1" applyProtection="1">
      <alignment horizontal="center" vertical="center"/>
    </xf>
    <xf numFmtId="168" fontId="8" fillId="0" borderId="41" xfId="116" applyNumberFormat="1" applyFont="1" applyFill="1" applyBorder="1" applyAlignment="1" applyProtection="1">
      <alignment horizontal="center" vertical="center"/>
    </xf>
    <xf numFmtId="0" fontId="17" fillId="11" borderId="29" xfId="0" applyFont="1" applyFill="1" applyBorder="1" applyAlignment="1">
      <alignment horizontal="left" vertical="center"/>
    </xf>
    <xf numFmtId="0" fontId="17" fillId="11" borderId="26" xfId="0" applyFont="1" applyFill="1" applyBorder="1" applyAlignment="1">
      <alignment horizontal="left" vertical="center"/>
    </xf>
    <xf numFmtId="49" fontId="8" fillId="9" borderId="56" xfId="116" applyNumberFormat="1" applyFont="1" applyFill="1" applyBorder="1" applyAlignment="1" applyProtection="1">
      <alignment horizontal="center" vertical="center"/>
      <protection locked="0"/>
    </xf>
    <xf numFmtId="49" fontId="8" fillId="9" borderId="30" xfId="116" applyNumberFormat="1" applyFont="1" applyFill="1" applyBorder="1" applyAlignment="1" applyProtection="1">
      <alignment horizontal="center" vertical="center"/>
      <protection locked="0"/>
    </xf>
    <xf numFmtId="0" fontId="17" fillId="11" borderId="14" xfId="0" applyFont="1" applyFill="1" applyBorder="1" applyAlignment="1">
      <alignment horizontal="left" vertical="center"/>
    </xf>
    <xf numFmtId="0" fontId="17" fillId="11" borderId="18" xfId="0" applyFont="1" applyFill="1" applyBorder="1" applyAlignment="1">
      <alignment horizontal="left" vertical="center"/>
    </xf>
    <xf numFmtId="168" fontId="8" fillId="2" borderId="34" xfId="116" applyNumberFormat="1" applyFont="1" applyFill="1" applyBorder="1" applyAlignment="1" applyProtection="1">
      <alignment vertical="center"/>
    </xf>
    <xf numFmtId="168" fontId="8" fillId="2" borderId="47" xfId="116" applyNumberFormat="1" applyFont="1" applyFill="1" applyBorder="1" applyAlignment="1" applyProtection="1">
      <alignment vertical="center"/>
    </xf>
    <xf numFmtId="0" fontId="8" fillId="2" borderId="29" xfId="0" applyFont="1" applyFill="1" applyBorder="1" applyAlignment="1">
      <alignment vertical="center" wrapText="1"/>
    </xf>
    <xf numFmtId="0" fontId="8" fillId="2" borderId="26" xfId="0" applyFont="1" applyFill="1" applyBorder="1" applyAlignment="1">
      <alignment vertical="center" wrapText="1"/>
    </xf>
    <xf numFmtId="0" fontId="8" fillId="2" borderId="31" xfId="0" applyFont="1" applyFill="1" applyBorder="1" applyAlignment="1">
      <alignment vertical="center" wrapText="1"/>
    </xf>
    <xf numFmtId="0" fontId="8" fillId="2" borderId="27" xfId="0" applyFont="1" applyFill="1" applyBorder="1" applyAlignment="1">
      <alignment wrapText="1"/>
    </xf>
    <xf numFmtId="0" fontId="8" fillId="2" borderId="36" xfId="0" applyFont="1" applyFill="1" applyBorder="1" applyAlignment="1">
      <alignment wrapText="1"/>
    </xf>
    <xf numFmtId="0" fontId="8" fillId="2" borderId="28" xfId="0" applyFont="1" applyFill="1" applyBorder="1" applyAlignment="1">
      <alignment wrapText="1"/>
    </xf>
    <xf numFmtId="0" fontId="8" fillId="2" borderId="29" xfId="0" applyFont="1" applyFill="1" applyBorder="1" applyAlignment="1">
      <alignment horizontal="center"/>
    </xf>
    <xf numFmtId="0" fontId="8" fillId="2" borderId="26" xfId="0" applyFont="1" applyFill="1" applyBorder="1" applyAlignment="1">
      <alignment horizontal="center"/>
    </xf>
    <xf numFmtId="0" fontId="8" fillId="2" borderId="30" xfId="0" applyFont="1" applyFill="1" applyBorder="1" applyAlignment="1">
      <alignment horizontal="center"/>
    </xf>
    <xf numFmtId="0" fontId="8" fillId="2" borderId="44" xfId="0" applyFont="1" applyFill="1" applyBorder="1" applyAlignment="1">
      <alignment horizontal="left" vertical="center"/>
    </xf>
    <xf numFmtId="0" fontId="8" fillId="2" borderId="43" xfId="0" applyFont="1" applyFill="1" applyBorder="1" applyAlignment="1">
      <alignment horizontal="left" vertical="center"/>
    </xf>
    <xf numFmtId="0" fontId="8" fillId="2" borderId="29" xfId="0" applyFont="1" applyFill="1" applyBorder="1" applyAlignment="1">
      <alignment horizontal="left" vertical="center"/>
    </xf>
    <xf numFmtId="0" fontId="8" fillId="2" borderId="26" xfId="0" applyFont="1" applyFill="1" applyBorder="1" applyAlignment="1">
      <alignment horizontal="left" vertical="center"/>
    </xf>
    <xf numFmtId="0" fontId="8" fillId="2" borderId="31" xfId="0" applyFont="1" applyFill="1" applyBorder="1" applyAlignment="1">
      <alignment horizontal="left" vertical="center"/>
    </xf>
    <xf numFmtId="0" fontId="8" fillId="2" borderId="27" xfId="0" applyFont="1" applyFill="1" applyBorder="1" applyAlignment="1">
      <alignment horizontal="center"/>
    </xf>
    <xf numFmtId="0" fontId="8" fillId="2" borderId="36" xfId="0" applyFont="1" applyFill="1" applyBorder="1" applyAlignment="1">
      <alignment horizontal="center"/>
    </xf>
    <xf numFmtId="0" fontId="8" fillId="2" borderId="48" xfId="0" applyFont="1" applyFill="1" applyBorder="1" applyAlignment="1">
      <alignment horizontal="center"/>
    </xf>
    <xf numFmtId="0" fontId="0" fillId="11" borderId="11" xfId="0" applyFill="1" applyBorder="1" applyAlignment="1">
      <alignment horizontal="center"/>
    </xf>
    <xf numFmtId="0" fontId="18" fillId="11" borderId="20" xfId="0" applyFont="1" applyFill="1" applyBorder="1" applyAlignment="1">
      <alignment horizontal="center" vertical="center"/>
    </xf>
    <xf numFmtId="0" fontId="18" fillId="11" borderId="21" xfId="0" applyFont="1" applyFill="1" applyBorder="1" applyAlignment="1">
      <alignment horizontal="center" vertical="center"/>
    </xf>
    <xf numFmtId="0" fontId="18" fillId="11" borderId="41" xfId="0" applyFont="1" applyFill="1" applyBorder="1" applyAlignment="1">
      <alignment horizontal="center" vertical="center"/>
    </xf>
    <xf numFmtId="0" fontId="17" fillId="11" borderId="29" xfId="0" applyFont="1" applyFill="1" applyBorder="1" applyAlignment="1">
      <alignment horizontal="center" vertical="center" wrapText="1"/>
    </xf>
    <xf numFmtId="0" fontId="17" fillId="11" borderId="26" xfId="0" applyFont="1" applyFill="1" applyBorder="1" applyAlignment="1">
      <alignment horizontal="center" vertical="center"/>
    </xf>
    <xf numFmtId="0" fontId="17" fillId="11" borderId="30" xfId="0" applyFont="1" applyFill="1" applyBorder="1" applyAlignment="1">
      <alignment horizontal="center" vertical="center"/>
    </xf>
    <xf numFmtId="168" fontId="8" fillId="9" borderId="52" xfId="116" applyNumberFormat="1" applyFont="1" applyFill="1" applyBorder="1" applyAlignment="1" applyProtection="1">
      <alignment horizontal="center" vertical="center"/>
      <protection locked="0"/>
    </xf>
    <xf numFmtId="168" fontId="8" fillId="9" borderId="48" xfId="116" applyNumberFormat="1" applyFont="1" applyFill="1" applyBorder="1" applyAlignment="1" applyProtection="1">
      <alignment horizontal="center" vertical="center"/>
      <protection locked="0"/>
    </xf>
    <xf numFmtId="0" fontId="8" fillId="2" borderId="35" xfId="0" applyFont="1" applyFill="1" applyBorder="1"/>
    <xf numFmtId="0" fontId="16" fillId="11" borderId="16" xfId="0" applyFont="1" applyFill="1" applyBorder="1" applyAlignment="1">
      <alignment horizontal="center"/>
    </xf>
    <xf numFmtId="0" fontId="16" fillId="11" borderId="35" xfId="0" applyFont="1" applyFill="1" applyBorder="1" applyAlignment="1">
      <alignment horizontal="center"/>
    </xf>
    <xf numFmtId="0" fontId="16" fillId="11" borderId="17" xfId="0" applyFont="1" applyFill="1" applyBorder="1" applyAlignment="1">
      <alignment horizontal="center"/>
    </xf>
    <xf numFmtId="0" fontId="8" fillId="2" borderId="14" xfId="0" applyFont="1" applyFill="1" applyBorder="1"/>
    <xf numFmtId="0" fontId="8" fillId="2" borderId="18" xfId="0" applyFont="1" applyFill="1" applyBorder="1"/>
    <xf numFmtId="0" fontId="8" fillId="2" borderId="19" xfId="0" applyFont="1" applyFill="1" applyBorder="1"/>
    <xf numFmtId="168" fontId="8" fillId="9" borderId="34" xfId="116" applyNumberFormat="1" applyFont="1" applyFill="1" applyBorder="1" applyAlignment="1" applyProtection="1">
      <alignment horizontal="center" vertical="center"/>
      <protection locked="0"/>
    </xf>
    <xf numFmtId="168" fontId="8" fillId="9" borderId="47" xfId="116" applyNumberFormat="1" applyFont="1" applyFill="1" applyBorder="1" applyAlignment="1" applyProtection="1">
      <alignment horizontal="center" vertical="center"/>
      <protection locked="0"/>
    </xf>
    <xf numFmtId="49" fontId="8" fillId="9" borderId="34" xfId="116" applyNumberFormat="1" applyFont="1" applyFill="1" applyBorder="1" applyAlignment="1" applyProtection="1">
      <alignment horizontal="center" vertical="center"/>
      <protection locked="0"/>
    </xf>
    <xf numFmtId="49" fontId="8" fillId="9" borderId="47" xfId="116" applyNumberFormat="1" applyFont="1" applyFill="1" applyBorder="1" applyAlignment="1" applyProtection="1">
      <alignment horizontal="center" vertical="center"/>
      <protection locked="0"/>
    </xf>
    <xf numFmtId="0" fontId="8" fillId="2" borderId="14" xfId="0" applyFont="1" applyFill="1" applyBorder="1" applyAlignment="1">
      <alignment wrapText="1"/>
    </xf>
    <xf numFmtId="0" fontId="8" fillId="2" borderId="18" xfId="0" applyFont="1" applyFill="1" applyBorder="1" applyAlignment="1">
      <alignment wrapText="1"/>
    </xf>
    <xf numFmtId="0" fontId="8" fillId="2" borderId="19" xfId="0" applyFont="1" applyFill="1" applyBorder="1" applyAlignment="1">
      <alignment wrapText="1"/>
    </xf>
    <xf numFmtId="0" fontId="8" fillId="2" borderId="29" xfId="0" applyFont="1" applyFill="1" applyBorder="1" applyAlignment="1">
      <alignment horizontal="left" wrapText="1"/>
    </xf>
    <xf numFmtId="0" fontId="8" fillId="2" borderId="26" xfId="0" applyFont="1" applyFill="1" applyBorder="1" applyAlignment="1">
      <alignment horizontal="left" wrapText="1"/>
    </xf>
    <xf numFmtId="49" fontId="8" fillId="9" borderId="56" xfId="124" applyNumberFormat="1" applyFont="1" applyFill="1" applyBorder="1" applyAlignment="1" applyProtection="1">
      <alignment horizontal="center" vertical="center"/>
      <protection locked="0"/>
    </xf>
    <xf numFmtId="49" fontId="8" fillId="9" borderId="30" xfId="124" applyNumberFormat="1" applyFont="1" applyFill="1" applyBorder="1" applyAlignment="1" applyProtection="1">
      <alignment horizontal="center" vertical="center"/>
      <protection locked="0"/>
    </xf>
    <xf numFmtId="168" fontId="8" fillId="9" borderId="34" xfId="116" applyNumberFormat="1" applyFont="1" applyFill="1" applyBorder="1" applyAlignment="1" applyProtection="1">
      <alignment vertical="center"/>
      <protection locked="0"/>
    </xf>
    <xf numFmtId="168" fontId="8" fillId="9" borderId="47" xfId="116" applyNumberFormat="1" applyFont="1" applyFill="1" applyBorder="1" applyAlignment="1" applyProtection="1">
      <alignment vertical="center"/>
      <protection locked="0"/>
    </xf>
    <xf numFmtId="0" fontId="8" fillId="2" borderId="10" xfId="0" applyFont="1" applyFill="1" applyBorder="1" applyAlignment="1">
      <alignment horizontal="left" vertical="center" wrapText="1"/>
    </xf>
    <xf numFmtId="0" fontId="15" fillId="11" borderId="20" xfId="0" applyFont="1" applyFill="1" applyBorder="1" applyAlignment="1">
      <alignment horizontal="center" vertical="center"/>
    </xf>
    <xf numFmtId="0" fontId="15" fillId="11" borderId="21" xfId="0" applyFont="1" applyFill="1" applyBorder="1" applyAlignment="1">
      <alignment horizontal="center" vertical="center"/>
    </xf>
    <xf numFmtId="0" fontId="15" fillId="11" borderId="41" xfId="0" applyFont="1" applyFill="1" applyBorder="1" applyAlignment="1">
      <alignment horizontal="center" vertical="center"/>
    </xf>
    <xf numFmtId="0" fontId="8" fillId="2" borderId="14" xfId="0" applyFont="1" applyFill="1" applyBorder="1" applyAlignment="1">
      <alignment horizontal="left" wrapText="1"/>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49" fontId="8" fillId="9" borderId="34" xfId="124" applyNumberFormat="1" applyFont="1" applyFill="1" applyBorder="1" applyAlignment="1" applyProtection="1">
      <alignment horizontal="center" vertical="center"/>
      <protection locked="0"/>
    </xf>
    <xf numFmtId="49" fontId="8" fillId="9" borderId="47" xfId="124" applyNumberFormat="1" applyFont="1" applyFill="1" applyBorder="1" applyAlignment="1" applyProtection="1">
      <alignment horizontal="center" vertical="center"/>
      <protection locked="0"/>
    </xf>
    <xf numFmtId="0" fontId="8" fillId="2" borderId="19" xfId="0" applyFont="1" applyFill="1" applyBorder="1" applyAlignment="1">
      <alignment horizontal="left"/>
    </xf>
    <xf numFmtId="0" fontId="8" fillId="2" borderId="2" xfId="0" applyFont="1" applyFill="1" applyBorder="1" applyAlignment="1">
      <alignment horizontal="left" vertical="center" wrapText="1"/>
    </xf>
    <xf numFmtId="0" fontId="8" fillId="2" borderId="0" xfId="0" applyFont="1" applyFill="1" applyAlignment="1">
      <alignment horizontal="left" vertical="center"/>
    </xf>
    <xf numFmtId="0" fontId="8" fillId="2" borderId="58" xfId="0" applyFont="1" applyFill="1" applyBorder="1" applyAlignment="1">
      <alignment horizontal="left" vertical="center"/>
    </xf>
    <xf numFmtId="0" fontId="8" fillId="2" borderId="5" xfId="0" applyFont="1" applyFill="1" applyBorder="1" applyAlignment="1">
      <alignment horizontal="left" vertical="center"/>
    </xf>
    <xf numFmtId="0" fontId="8" fillId="2" borderId="11" xfId="0" applyFont="1" applyFill="1" applyBorder="1" applyAlignment="1">
      <alignment horizontal="left" vertical="center"/>
    </xf>
    <xf numFmtId="0" fontId="8" fillId="2" borderId="25" xfId="0" applyFont="1" applyFill="1" applyBorder="1" applyAlignment="1">
      <alignment horizontal="left" vertical="center"/>
    </xf>
    <xf numFmtId="168" fontId="8" fillId="9" borderId="56" xfId="116" applyNumberFormat="1" applyFont="1" applyFill="1" applyBorder="1" applyAlignment="1" applyProtection="1">
      <alignment vertical="center"/>
      <protection locked="0"/>
    </xf>
    <xf numFmtId="168" fontId="8" fillId="9" borderId="30" xfId="116" applyNumberFormat="1" applyFont="1" applyFill="1" applyBorder="1" applyAlignment="1" applyProtection="1">
      <alignment vertical="center"/>
      <protection locked="0"/>
    </xf>
    <xf numFmtId="49" fontId="8" fillId="2" borderId="14" xfId="0" applyNumberFormat="1" applyFont="1" applyFill="1" applyBorder="1" applyAlignment="1">
      <alignment horizontal="left"/>
    </xf>
    <xf numFmtId="49" fontId="8" fillId="2" borderId="18" xfId="0" applyNumberFormat="1" applyFont="1" applyFill="1" applyBorder="1" applyAlignment="1">
      <alignment horizontal="left"/>
    </xf>
    <xf numFmtId="49" fontId="8" fillId="2" borderId="19" xfId="0" applyNumberFormat="1" applyFont="1" applyFill="1" applyBorder="1" applyAlignment="1">
      <alignment horizontal="left"/>
    </xf>
    <xf numFmtId="0" fontId="0" fillId="11" borderId="35" xfId="0" applyFill="1" applyBorder="1" applyAlignment="1">
      <alignment horizontal="left"/>
    </xf>
    <xf numFmtId="10" fontId="14" fillId="9" borderId="69" xfId="124" applyNumberFormat="1" applyFont="1" applyFill="1" applyBorder="1" applyAlignment="1" applyProtection="1">
      <alignment vertical="center"/>
      <protection locked="0"/>
    </xf>
    <xf numFmtId="10" fontId="14" fillId="9" borderId="41" xfId="124" applyNumberFormat="1" applyFont="1" applyFill="1" applyBorder="1" applyAlignment="1" applyProtection="1">
      <alignment vertical="center"/>
      <protection locked="0"/>
    </xf>
    <xf numFmtId="0" fontId="8" fillId="2" borderId="42" xfId="0" applyFont="1" applyFill="1" applyBorder="1"/>
    <xf numFmtId="0" fontId="8" fillId="2" borderId="44" xfId="0" applyFont="1" applyFill="1" applyBorder="1"/>
    <xf numFmtId="0" fontId="8" fillId="2" borderId="29" xfId="0" applyFont="1" applyFill="1" applyBorder="1" applyAlignment="1">
      <alignment horizontal="left"/>
    </xf>
    <xf numFmtId="0" fontId="8" fillId="2" borderId="26" xfId="0" applyFont="1" applyFill="1" applyBorder="1" applyAlignment="1">
      <alignment horizontal="left"/>
    </xf>
    <xf numFmtId="0" fontId="8" fillId="2" borderId="31" xfId="0" applyFont="1" applyFill="1" applyBorder="1" applyAlignment="1">
      <alignment horizontal="left"/>
    </xf>
    <xf numFmtId="0" fontId="1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26" xfId="0" applyFont="1" applyFill="1" applyBorder="1" applyAlignment="1">
      <alignment horizontal="left" vertical="center" wrapText="1"/>
    </xf>
    <xf numFmtId="10" fontId="14" fillId="9" borderId="56" xfId="124" applyNumberFormat="1" applyFont="1" applyFill="1" applyBorder="1" applyAlignment="1" applyProtection="1">
      <alignment vertical="center"/>
      <protection locked="0"/>
    </xf>
    <xf numFmtId="10" fontId="14" fillId="9" borderId="30" xfId="124" applyNumberFormat="1" applyFont="1" applyFill="1" applyBorder="1" applyAlignment="1" applyProtection="1">
      <alignment vertical="center"/>
      <protection locked="0"/>
    </xf>
    <xf numFmtId="0" fontId="0" fillId="11" borderId="35" xfId="0" applyFill="1" applyBorder="1"/>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6" xfId="0" applyFont="1" applyFill="1" applyBorder="1" applyAlignment="1">
      <alignment horizontal="center" vertical="center"/>
    </xf>
    <xf numFmtId="0" fontId="8" fillId="2" borderId="50" xfId="0" applyFont="1" applyFill="1" applyBorder="1" applyAlignment="1">
      <alignment horizontal="left" wrapText="1"/>
    </xf>
    <xf numFmtId="0" fontId="8" fillId="2" borderId="32" xfId="0" applyFont="1" applyFill="1" applyBorder="1" applyAlignment="1">
      <alignment horizontal="left" wrapText="1"/>
    </xf>
    <xf numFmtId="0" fontId="10" fillId="9" borderId="56" xfId="0" applyFont="1" applyFill="1" applyBorder="1" applyAlignment="1" applyProtection="1">
      <alignment horizontal="center" vertical="center"/>
      <protection locked="0"/>
    </xf>
    <xf numFmtId="0" fontId="10" fillId="9" borderId="26" xfId="0" applyFont="1" applyFill="1" applyBorder="1" applyAlignment="1" applyProtection="1">
      <alignment horizontal="center" vertical="center"/>
      <protection locked="0"/>
    </xf>
    <xf numFmtId="0" fontId="10" fillId="9" borderId="30" xfId="0" applyFont="1" applyFill="1" applyBorder="1" applyAlignment="1" applyProtection="1">
      <alignment horizontal="center" vertical="center"/>
      <protection locked="0"/>
    </xf>
    <xf numFmtId="0" fontId="12" fillId="5" borderId="8"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11" borderId="20" xfId="0" applyFill="1" applyBorder="1" applyAlignment="1">
      <alignment horizontal="left"/>
    </xf>
    <xf numFmtId="0" fontId="0" fillId="11" borderId="21" xfId="0" applyFill="1" applyBorder="1" applyAlignment="1">
      <alignment horizontal="left"/>
    </xf>
    <xf numFmtId="0" fontId="0" fillId="11" borderId="22" xfId="0" applyFill="1" applyBorder="1" applyAlignment="1">
      <alignment horizontal="left"/>
    </xf>
    <xf numFmtId="0" fontId="13" fillId="9" borderId="69"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0" fillId="11" borderId="14" xfId="0" applyFill="1" applyBorder="1" applyAlignment="1">
      <alignment horizontal="left"/>
    </xf>
    <xf numFmtId="0" fontId="0" fillId="11" borderId="18" xfId="0" applyFill="1" applyBorder="1" applyAlignment="1">
      <alignment horizontal="left"/>
    </xf>
    <xf numFmtId="0" fontId="0" fillId="11" borderId="19" xfId="0" applyFill="1" applyBorder="1" applyAlignment="1">
      <alignment horizontal="left"/>
    </xf>
    <xf numFmtId="174" fontId="8" fillId="2" borderId="34" xfId="0" applyNumberFormat="1" applyFont="1" applyFill="1" applyBorder="1" applyAlignment="1">
      <alignment horizontal="center" vertical="center" wrapText="1"/>
    </xf>
    <xf numFmtId="174" fontId="8" fillId="2" borderId="47" xfId="0" applyNumberFormat="1" applyFont="1" applyFill="1" applyBorder="1" applyAlignment="1">
      <alignment horizontal="center" vertical="center" wrapText="1"/>
    </xf>
    <xf numFmtId="0" fontId="0" fillId="11" borderId="5" xfId="0" applyFill="1" applyBorder="1"/>
    <xf numFmtId="0" fontId="0" fillId="11" borderId="11" xfId="0" applyFill="1" applyBorder="1"/>
    <xf numFmtId="0" fontId="0" fillId="11" borderId="6" xfId="0" applyFill="1" applyBorder="1"/>
    <xf numFmtId="166" fontId="6" fillId="0" borderId="21" xfId="114" applyNumberFormat="1" applyFont="1" applyBorder="1" applyAlignment="1">
      <alignment horizontal="right" vertical="center"/>
    </xf>
    <xf numFmtId="166" fontId="6" fillId="0" borderId="41" xfId="114" applyNumberFormat="1" applyFont="1" applyBorder="1" applyAlignment="1">
      <alignment horizontal="right" vertical="center"/>
    </xf>
    <xf numFmtId="166" fontId="6" fillId="0" borderId="20" xfId="114" applyNumberFormat="1" applyFont="1" applyBorder="1" applyAlignment="1">
      <alignment vertical="center"/>
    </xf>
    <xf numFmtId="166" fontId="6" fillId="0" borderId="21" xfId="114" applyNumberFormat="1" applyFont="1" applyBorder="1" applyAlignment="1">
      <alignment vertical="center"/>
    </xf>
    <xf numFmtId="0" fontId="6" fillId="0" borderId="16" xfId="114" applyFont="1" applyBorder="1" applyAlignment="1" applyProtection="1">
      <alignment vertical="center" wrapText="1"/>
      <protection hidden="1"/>
    </xf>
    <xf numFmtId="0" fontId="6" fillId="0" borderId="35" xfId="114" applyFont="1" applyBorder="1" applyAlignment="1" applyProtection="1">
      <alignment vertical="center" wrapText="1"/>
      <protection hidden="1"/>
    </xf>
    <xf numFmtId="0" fontId="6" fillId="0" borderId="61" xfId="114" applyFont="1" applyBorder="1" applyAlignment="1" applyProtection="1">
      <alignment vertical="center" wrapText="1"/>
      <protection hidden="1"/>
    </xf>
    <xf numFmtId="168" fontId="6" fillId="0" borderId="34" xfId="116" applyNumberFormat="1" applyFont="1" applyBorder="1" applyAlignment="1" applyProtection="1">
      <alignment vertical="center" wrapText="1"/>
      <protection hidden="1"/>
    </xf>
    <xf numFmtId="168" fontId="6" fillId="0" borderId="19" xfId="116" applyNumberFormat="1" applyFont="1" applyBorder="1" applyAlignment="1" applyProtection="1">
      <alignment vertical="center" wrapText="1"/>
      <protection hidden="1"/>
    </xf>
    <xf numFmtId="0" fontId="6" fillId="0" borderId="42" xfId="114" applyFont="1" applyBorder="1" applyAlignment="1" applyProtection="1">
      <alignment horizontal="left" vertical="center" wrapText="1"/>
      <protection hidden="1"/>
    </xf>
    <xf numFmtId="0" fontId="6" fillId="0" borderId="43" xfId="114" applyFont="1" applyBorder="1" applyAlignment="1" applyProtection="1">
      <alignment horizontal="left" vertical="center" wrapText="1"/>
      <protection hidden="1"/>
    </xf>
    <xf numFmtId="0" fontId="6" fillId="0" borderId="2" xfId="114" applyFont="1" applyBorder="1" applyAlignment="1" applyProtection="1">
      <alignment horizontal="left" vertical="center" wrapText="1"/>
      <protection hidden="1"/>
    </xf>
    <xf numFmtId="0" fontId="6" fillId="0" borderId="58" xfId="114" applyFont="1" applyBorder="1" applyAlignment="1" applyProtection="1">
      <alignment horizontal="left" vertical="center" wrapText="1"/>
      <protection hidden="1"/>
    </xf>
    <xf numFmtId="0" fontId="6" fillId="0" borderId="29" xfId="114" applyFont="1" applyBorder="1" applyAlignment="1" applyProtection="1">
      <alignment horizontal="left" vertical="center" wrapText="1"/>
      <protection hidden="1"/>
    </xf>
    <xf numFmtId="0" fontId="6" fillId="0" borderId="31" xfId="114" applyFont="1" applyBorder="1" applyAlignment="1" applyProtection="1">
      <alignment horizontal="left" vertical="center" wrapText="1"/>
      <protection hidden="1"/>
    </xf>
    <xf numFmtId="168" fontId="6" fillId="0" borderId="60" xfId="116" applyNumberFormat="1" applyFont="1" applyBorder="1" applyAlignment="1" applyProtection="1">
      <alignment vertical="center" wrapText="1"/>
      <protection hidden="1"/>
    </xf>
    <xf numFmtId="168" fontId="6" fillId="0" borderId="1" xfId="116" applyNumberFormat="1" applyFont="1" applyBorder="1" applyAlignment="1" applyProtection="1">
      <alignment vertical="center" wrapText="1"/>
      <protection hidden="1"/>
    </xf>
    <xf numFmtId="168" fontId="6" fillId="0" borderId="52" xfId="116" applyNumberFormat="1" applyFont="1" applyBorder="1" applyAlignment="1" applyProtection="1">
      <alignment vertical="center" wrapText="1"/>
      <protection hidden="1"/>
    </xf>
    <xf numFmtId="168" fontId="6" fillId="0" borderId="28" xfId="116" applyNumberFormat="1" applyFont="1" applyBorder="1" applyAlignment="1" applyProtection="1">
      <alignment vertical="center" wrapText="1"/>
      <protection hidden="1"/>
    </xf>
    <xf numFmtId="0" fontId="6" fillId="0" borderId="14" xfId="114" applyFont="1" applyBorder="1" applyAlignment="1" applyProtection="1">
      <alignment vertical="center" wrapText="1"/>
      <protection hidden="1"/>
    </xf>
    <xf numFmtId="0" fontId="6" fillId="0" borderId="18" xfId="114" applyFont="1" applyBorder="1" applyAlignment="1" applyProtection="1">
      <alignment vertical="center" wrapText="1"/>
      <protection hidden="1"/>
    </xf>
    <xf numFmtId="0" fontId="6" fillId="0" borderId="19" xfId="114" applyFont="1" applyBorder="1" applyAlignment="1" applyProtection="1">
      <alignment vertical="center" wrapText="1"/>
      <protection hidden="1"/>
    </xf>
    <xf numFmtId="0" fontId="6" fillId="0" borderId="27" xfId="114" applyFont="1" applyBorder="1" applyAlignment="1" applyProtection="1">
      <alignment vertical="center" wrapText="1"/>
      <protection hidden="1"/>
    </xf>
    <xf numFmtId="0" fontId="6" fillId="0" borderId="36" xfId="114" applyFont="1" applyBorder="1" applyAlignment="1" applyProtection="1">
      <alignment vertical="center" wrapText="1"/>
      <protection hidden="1"/>
    </xf>
    <xf numFmtId="0" fontId="6" fillId="0" borderId="28" xfId="114" applyFont="1" applyBorder="1" applyAlignment="1" applyProtection="1">
      <alignment vertical="center" wrapText="1"/>
      <protection hidden="1"/>
    </xf>
    <xf numFmtId="0" fontId="5" fillId="0" borderId="11" xfId="114" applyBorder="1"/>
    <xf numFmtId="0" fontId="8" fillId="3" borderId="20" xfId="114" applyFont="1" applyFill="1" applyBorder="1" applyAlignment="1" applyProtection="1">
      <alignment vertical="center" wrapText="1"/>
      <protection hidden="1"/>
    </xf>
    <xf numFmtId="0" fontId="8" fillId="3" borderId="21" xfId="114" applyFont="1" applyFill="1" applyBorder="1" applyAlignment="1" applyProtection="1">
      <alignment vertical="center" wrapText="1"/>
      <protection hidden="1"/>
    </xf>
    <xf numFmtId="0" fontId="8" fillId="3" borderId="22" xfId="114" applyFont="1" applyFill="1" applyBorder="1" applyAlignment="1" applyProtection="1">
      <alignment vertical="center" wrapText="1"/>
      <protection hidden="1"/>
    </xf>
    <xf numFmtId="0" fontId="10" fillId="5" borderId="16" xfId="114" applyFont="1" applyFill="1" applyBorder="1" applyAlignment="1" applyProtection="1">
      <alignment horizontal="center" vertical="center"/>
      <protection hidden="1"/>
    </xf>
    <xf numFmtId="0" fontId="10" fillId="5" borderId="35" xfId="114" applyFont="1" applyFill="1" applyBorder="1" applyAlignment="1" applyProtection="1">
      <alignment horizontal="center" vertical="center"/>
      <protection hidden="1"/>
    </xf>
    <xf numFmtId="0" fontId="10" fillId="5" borderId="17" xfId="114" applyFont="1" applyFill="1" applyBorder="1" applyAlignment="1" applyProtection="1">
      <alignment horizontal="center" vertical="center"/>
      <protection hidden="1"/>
    </xf>
    <xf numFmtId="0" fontId="10" fillId="5" borderId="16" xfId="114" applyFont="1" applyFill="1" applyBorder="1" applyAlignment="1">
      <alignment horizontal="center" vertical="center"/>
    </xf>
    <xf numFmtId="0" fontId="10" fillId="5" borderId="35" xfId="114" applyFont="1" applyFill="1" applyBorder="1" applyAlignment="1">
      <alignment horizontal="center" vertical="center"/>
    </xf>
    <xf numFmtId="0" fontId="10" fillId="5" borderId="17" xfId="114" applyFont="1" applyFill="1" applyBorder="1" applyAlignment="1">
      <alignment horizontal="center" vertical="center"/>
    </xf>
    <xf numFmtId="166" fontId="6" fillId="0" borderId="16" xfId="114" applyNumberFormat="1" applyFont="1" applyBorder="1" applyAlignment="1" applyProtection="1">
      <alignment vertical="center"/>
      <protection hidden="1"/>
    </xf>
    <xf numFmtId="166" fontId="6" fillId="0" borderId="35" xfId="114" applyNumberFormat="1" applyFont="1" applyBorder="1" applyAlignment="1" applyProtection="1">
      <alignment vertical="center"/>
      <protection hidden="1"/>
    </xf>
    <xf numFmtId="166" fontId="6" fillId="0" borderId="17" xfId="114" applyNumberFormat="1" applyFont="1" applyBorder="1" applyAlignment="1" applyProtection="1">
      <alignment vertical="center"/>
      <protection hidden="1"/>
    </xf>
    <xf numFmtId="0" fontId="8" fillId="5" borderId="69" xfId="114" applyFont="1" applyFill="1" applyBorder="1" applyAlignment="1" applyProtection="1">
      <alignment horizontal="center" vertical="center"/>
      <protection hidden="1"/>
    </xf>
    <xf numFmtId="0" fontId="8" fillId="5" borderId="22" xfId="114" applyFont="1" applyFill="1" applyBorder="1" applyAlignment="1" applyProtection="1">
      <alignment horizontal="center" vertical="center"/>
      <protection hidden="1"/>
    </xf>
    <xf numFmtId="0" fontId="6" fillId="0" borderId="14" xfId="114" applyFont="1" applyBorder="1" applyAlignment="1">
      <alignment vertical="center" wrapText="1"/>
    </xf>
    <xf numFmtId="0" fontId="6" fillId="0" borderId="18" xfId="114" applyFont="1" applyBorder="1" applyAlignment="1">
      <alignment vertical="center" wrapText="1"/>
    </xf>
    <xf numFmtId="0" fontId="6" fillId="0" borderId="19" xfId="114" applyFont="1" applyBorder="1" applyAlignment="1">
      <alignment vertical="center" wrapText="1"/>
    </xf>
    <xf numFmtId="0" fontId="6" fillId="0" borderId="14" xfId="114" applyFont="1" applyBorder="1" applyAlignment="1">
      <alignment horizontal="left" vertical="center" wrapText="1"/>
    </xf>
    <xf numFmtId="0" fontId="6" fillId="0" borderId="18" xfId="114" applyFont="1" applyBorder="1" applyAlignment="1">
      <alignment horizontal="left" vertical="center" wrapText="1"/>
    </xf>
    <xf numFmtId="0" fontId="6" fillId="0" borderId="19" xfId="114" applyFont="1" applyBorder="1" applyAlignment="1">
      <alignment horizontal="left" vertical="center" wrapText="1"/>
    </xf>
    <xf numFmtId="0" fontId="6" fillId="0" borderId="14" xfId="114" applyFont="1" applyBorder="1" applyAlignment="1">
      <alignment vertical="center"/>
    </xf>
    <xf numFmtId="0" fontId="6" fillId="0" borderId="18" xfId="114" applyFont="1" applyBorder="1" applyAlignment="1">
      <alignment vertical="center"/>
    </xf>
    <xf numFmtId="0" fontId="6" fillId="0" borderId="19" xfId="114" applyFont="1" applyBorder="1" applyAlignment="1">
      <alignment vertical="center"/>
    </xf>
    <xf numFmtId="0" fontId="8" fillId="3" borderId="14" xfId="114" applyFont="1" applyFill="1" applyBorder="1" applyAlignment="1">
      <alignment horizontal="left" vertical="center" wrapText="1"/>
    </xf>
    <xf numFmtId="0" fontId="8" fillId="3" borderId="18" xfId="114" applyFont="1" applyFill="1" applyBorder="1" applyAlignment="1">
      <alignment horizontal="left" vertical="center" wrapText="1"/>
    </xf>
    <xf numFmtId="0" fontId="8" fillId="3" borderId="19" xfId="114" applyFont="1" applyFill="1" applyBorder="1" applyAlignment="1">
      <alignment horizontal="left" vertical="center" wrapText="1"/>
    </xf>
    <xf numFmtId="0" fontId="8" fillId="3" borderId="16" xfId="114" applyFont="1" applyFill="1" applyBorder="1" applyAlignment="1">
      <alignment horizontal="left" vertical="center" wrapText="1"/>
    </xf>
    <xf numFmtId="0" fontId="8" fillId="3" borderId="35" xfId="114" applyFont="1" applyFill="1" applyBorder="1" applyAlignment="1">
      <alignment horizontal="left" vertical="center" wrapText="1"/>
    </xf>
    <xf numFmtId="0" fontId="8" fillId="3" borderId="17" xfId="114" applyFont="1" applyFill="1" applyBorder="1" applyAlignment="1">
      <alignment horizontal="left" vertical="center" wrapText="1"/>
    </xf>
    <xf numFmtId="0" fontId="6" fillId="0" borderId="20" xfId="114" applyFont="1" applyBorder="1" applyAlignment="1">
      <alignment horizontal="left" vertical="center" wrapText="1"/>
    </xf>
    <xf numFmtId="0" fontId="6" fillId="0" borderId="21" xfId="114" applyFont="1" applyBorder="1" applyAlignment="1">
      <alignment horizontal="left" vertical="center" wrapText="1"/>
    </xf>
    <xf numFmtId="0" fontId="6" fillId="0" borderId="22" xfId="114" applyFont="1" applyBorder="1" applyAlignment="1">
      <alignment horizontal="left" vertical="center" wrapText="1"/>
    </xf>
    <xf numFmtId="0" fontId="8" fillId="3" borderId="42" xfId="114" applyFont="1" applyFill="1" applyBorder="1" applyAlignment="1">
      <alignment horizontal="left" vertical="center" wrapText="1"/>
    </xf>
    <xf numFmtId="0" fontId="8" fillId="3" borderId="44" xfId="114" applyFont="1" applyFill="1" applyBorder="1" applyAlignment="1">
      <alignment horizontal="left" vertical="center" wrapText="1"/>
    </xf>
    <xf numFmtId="0" fontId="8" fillId="3" borderId="43" xfId="114" applyFont="1" applyFill="1" applyBorder="1" applyAlignment="1">
      <alignment horizontal="left" vertical="center" wrapText="1"/>
    </xf>
    <xf numFmtId="0" fontId="6" fillId="0" borderId="14" xfId="114" applyFont="1" applyBorder="1" applyAlignment="1">
      <alignment horizontal="left" vertical="center"/>
    </xf>
    <xf numFmtId="0" fontId="6" fillId="0" borderId="18" xfId="114" applyFont="1" applyBorder="1" applyAlignment="1">
      <alignment horizontal="left" vertical="center"/>
    </xf>
    <xf numFmtId="0" fontId="6" fillId="0" borderId="19" xfId="114" applyFont="1" applyBorder="1" applyAlignment="1">
      <alignment horizontal="left" vertical="center"/>
    </xf>
    <xf numFmtId="166" fontId="6" fillId="0" borderId="14" xfId="114" applyNumberFormat="1" applyFont="1" applyBorder="1" applyAlignment="1">
      <alignment vertical="center" wrapText="1"/>
    </xf>
    <xf numFmtId="166" fontId="6" fillId="0" borderId="18" xfId="114" applyNumberFormat="1" applyFont="1" applyBorder="1" applyAlignment="1">
      <alignment vertical="center" wrapText="1"/>
    </xf>
    <xf numFmtId="166" fontId="6" fillId="0" borderId="19" xfId="114" applyNumberFormat="1" applyFont="1" applyBorder="1" applyAlignment="1">
      <alignment vertical="center" wrapText="1"/>
    </xf>
    <xf numFmtId="0" fontId="6" fillId="0" borderId="42" xfId="114" applyFont="1" applyBorder="1" applyAlignment="1">
      <alignment horizontal="left" vertical="center" wrapText="1"/>
    </xf>
    <xf numFmtId="0" fontId="6" fillId="0" borderId="44" xfId="114" applyFont="1" applyBorder="1" applyAlignment="1">
      <alignment horizontal="left" vertical="center" wrapText="1"/>
    </xf>
    <xf numFmtId="0" fontId="6" fillId="0" borderId="43" xfId="114" applyFont="1" applyBorder="1" applyAlignment="1">
      <alignment horizontal="left" vertical="center" wrapText="1"/>
    </xf>
    <xf numFmtId="0" fontId="6" fillId="0" borderId="29" xfId="114" applyFont="1" applyBorder="1" applyAlignment="1">
      <alignment vertical="center" wrapText="1"/>
    </xf>
    <xf numFmtId="0" fontId="6" fillId="0" borderId="26" xfId="114" applyFont="1" applyBorder="1" applyAlignment="1">
      <alignment vertical="center" wrapText="1"/>
    </xf>
    <xf numFmtId="0" fontId="6" fillId="0" borderId="31" xfId="114" applyFont="1" applyBorder="1" applyAlignment="1">
      <alignment vertical="center" wrapText="1"/>
    </xf>
    <xf numFmtId="0" fontId="6" fillId="0" borderId="10" xfId="114" applyFont="1" applyBorder="1"/>
    <xf numFmtId="0" fontId="6" fillId="0" borderId="29" xfId="114" applyFont="1" applyBorder="1" applyAlignment="1">
      <alignment vertical="center"/>
    </xf>
    <xf numFmtId="0" fontId="6" fillId="0" borderId="26" xfId="114" applyFont="1" applyBorder="1" applyAlignment="1">
      <alignment vertical="center"/>
    </xf>
    <xf numFmtId="0" fontId="6" fillId="0" borderId="31" xfId="114" applyFont="1" applyBorder="1" applyAlignment="1">
      <alignment vertical="center"/>
    </xf>
    <xf numFmtId="0" fontId="6" fillId="0" borderId="42" xfId="114" applyFont="1" applyBorder="1" applyAlignment="1">
      <alignment vertical="center" wrapText="1"/>
    </xf>
    <xf numFmtId="0" fontId="6" fillId="0" borderId="44" xfId="114" applyFont="1" applyBorder="1" applyAlignment="1">
      <alignment vertical="center" wrapText="1"/>
    </xf>
    <xf numFmtId="0" fontId="6" fillId="0" borderId="43" xfId="114" applyFont="1" applyBorder="1" applyAlignment="1">
      <alignment vertical="center" wrapText="1"/>
    </xf>
    <xf numFmtId="0" fontId="6" fillId="0" borderId="27" xfId="114" applyFont="1" applyBorder="1" applyAlignment="1">
      <alignment horizontal="left" vertical="center" wrapText="1"/>
    </xf>
    <xf numFmtId="0" fontId="6" fillId="0" borderId="36" xfId="114" applyFont="1" applyBorder="1" applyAlignment="1">
      <alignment horizontal="left" vertical="center" wrapText="1"/>
    </xf>
    <xf numFmtId="0" fontId="6" fillId="0" borderId="28" xfId="114" applyFont="1" applyBorder="1" applyAlignment="1">
      <alignment horizontal="left" vertical="center" wrapText="1"/>
    </xf>
    <xf numFmtId="0" fontId="6" fillId="0" borderId="5" xfId="114" applyFont="1" applyBorder="1" applyAlignment="1">
      <alignment vertical="center" wrapText="1"/>
    </xf>
    <xf numFmtId="0" fontId="6" fillId="0" borderId="11" xfId="114" applyFont="1" applyBorder="1" applyAlignment="1">
      <alignment vertical="center" wrapText="1"/>
    </xf>
    <xf numFmtId="0" fontId="6" fillId="0" borderId="25" xfId="114" applyFont="1" applyBorder="1" applyAlignment="1">
      <alignment vertical="center" wrapText="1"/>
    </xf>
    <xf numFmtId="0" fontId="5" fillId="0" borderId="11" xfId="114" applyBorder="1" applyAlignment="1">
      <alignment horizontal="center"/>
    </xf>
    <xf numFmtId="0" fontId="8" fillId="3" borderId="13" xfId="114" applyFont="1" applyFill="1" applyBorder="1" applyAlignment="1">
      <alignment horizontal="left" vertical="center" wrapText="1"/>
    </xf>
    <xf numFmtId="0" fontId="8" fillId="3" borderId="1" xfId="114" applyFont="1" applyFill="1" applyBorder="1" applyAlignment="1">
      <alignment horizontal="left" vertical="center" wrapText="1"/>
    </xf>
    <xf numFmtId="0" fontId="6" fillId="0" borderId="27" xfId="114" applyFont="1" applyBorder="1" applyAlignment="1">
      <alignment vertical="center" wrapText="1"/>
    </xf>
    <xf numFmtId="0" fontId="6" fillId="0" borderId="36" xfId="114" applyFont="1" applyBorder="1" applyAlignment="1">
      <alignment vertical="center" wrapText="1"/>
    </xf>
    <xf numFmtId="0" fontId="6" fillId="0" borderId="28" xfId="114" applyFont="1" applyBorder="1" applyAlignment="1">
      <alignment vertical="center" wrapText="1"/>
    </xf>
    <xf numFmtId="0" fontId="6" fillId="7" borderId="8" xfId="114" applyFont="1" applyFill="1" applyBorder="1" applyAlignment="1">
      <alignment horizontal="left" vertical="center" wrapText="1"/>
    </xf>
    <xf numFmtId="0" fontId="6" fillId="7" borderId="10" xfId="114" applyFont="1" applyFill="1" applyBorder="1" applyAlignment="1">
      <alignment horizontal="left" vertical="center" wrapText="1"/>
    </xf>
    <xf numFmtId="0" fontId="6" fillId="2" borderId="71" xfId="114" applyFont="1" applyFill="1" applyBorder="1" applyAlignment="1">
      <alignment horizontal="left"/>
    </xf>
    <xf numFmtId="0" fontId="6" fillId="2" borderId="67" xfId="114" applyFont="1" applyFill="1" applyBorder="1" applyAlignment="1">
      <alignment horizontal="left"/>
    </xf>
    <xf numFmtId="0" fontId="6" fillId="9" borderId="14" xfId="114" applyFont="1" applyFill="1" applyBorder="1" applyAlignment="1" applyProtection="1">
      <alignment horizontal="left"/>
      <protection locked="0"/>
    </xf>
    <xf numFmtId="0" fontId="6" fillId="9" borderId="19" xfId="114" applyFont="1" applyFill="1" applyBorder="1" applyAlignment="1" applyProtection="1">
      <alignment horizontal="left"/>
      <protection locked="0"/>
    </xf>
    <xf numFmtId="0" fontId="6" fillId="0" borderId="11" xfId="114" applyFont="1" applyBorder="1"/>
    <xf numFmtId="0" fontId="8" fillId="0" borderId="14" xfId="114" applyFont="1" applyBorder="1" applyAlignment="1">
      <alignment horizontal="left"/>
    </xf>
    <xf numFmtId="0" fontId="8" fillId="0" borderId="19" xfId="114" applyFont="1" applyBorder="1" applyAlignment="1">
      <alignment horizontal="left"/>
    </xf>
    <xf numFmtId="169" fontId="8" fillId="5" borderId="8" xfId="114" applyNumberFormat="1" applyFont="1" applyFill="1" applyBorder="1" applyAlignment="1">
      <alignment horizontal="center" vertical="center" wrapText="1"/>
    </xf>
    <xf numFmtId="169" fontId="8" fillId="5" borderId="10" xfId="114" applyNumberFormat="1" applyFont="1" applyFill="1" applyBorder="1" applyAlignment="1">
      <alignment horizontal="center" vertical="center" wrapText="1"/>
    </xf>
    <xf numFmtId="169" fontId="8" fillId="5" borderId="9" xfId="114" applyNumberFormat="1" applyFont="1" applyFill="1" applyBorder="1" applyAlignment="1">
      <alignment horizontal="center" vertical="center" wrapText="1"/>
    </xf>
    <xf numFmtId="169" fontId="8" fillId="5" borderId="2" xfId="114" applyNumberFormat="1" applyFont="1" applyFill="1" applyBorder="1" applyAlignment="1">
      <alignment horizontal="center" vertical="top"/>
    </xf>
    <xf numFmtId="169" fontId="8" fillId="5" borderId="0" xfId="114" applyNumberFormat="1" applyFont="1" applyFill="1" applyAlignment="1">
      <alignment horizontal="center" vertical="top"/>
    </xf>
    <xf numFmtId="169" fontId="8" fillId="5" borderId="3" xfId="114" applyNumberFormat="1" applyFont="1" applyFill="1" applyBorder="1" applyAlignment="1">
      <alignment horizontal="center" vertical="top"/>
    </xf>
    <xf numFmtId="0" fontId="6" fillId="5" borderId="45" xfId="114" applyFont="1" applyFill="1" applyBorder="1" applyAlignment="1">
      <alignment horizontal="center" vertical="center" wrapText="1"/>
    </xf>
    <xf numFmtId="0" fontId="6" fillId="5" borderId="38" xfId="114" applyFont="1" applyFill="1" applyBorder="1" applyAlignment="1">
      <alignment horizontal="center" vertical="center" wrapText="1"/>
    </xf>
    <xf numFmtId="0" fontId="6" fillId="0" borderId="14" xfId="114" applyFont="1" applyBorder="1" applyAlignment="1">
      <alignment horizontal="left"/>
    </xf>
    <xf numFmtId="0" fontId="6" fillId="0" borderId="19" xfId="114" applyFont="1" applyBorder="1" applyAlignment="1">
      <alignment horizontal="left"/>
    </xf>
    <xf numFmtId="0" fontId="6" fillId="0" borderId="20" xfId="114" applyFont="1" applyBorder="1"/>
    <xf numFmtId="0" fontId="6" fillId="0" borderId="21" xfId="114" applyFont="1" applyBorder="1"/>
    <xf numFmtId="0" fontId="6" fillId="0" borderId="41" xfId="114" applyFont="1" applyBorder="1"/>
    <xf numFmtId="0" fontId="0" fillId="9" borderId="57" xfId="0" applyFill="1" applyBorder="1" applyAlignment="1" applyProtection="1">
      <alignment horizontal="center" vertical="center"/>
      <protection locked="0"/>
    </xf>
    <xf numFmtId="0" fontId="0" fillId="9" borderId="44" xfId="0" applyFill="1" applyBorder="1" applyAlignment="1" applyProtection="1">
      <alignment horizontal="center" vertical="center"/>
      <protection locked="0"/>
    </xf>
    <xf numFmtId="0" fontId="0" fillId="9" borderId="59"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0" fillId="9" borderId="56" xfId="0" applyFill="1" applyBorder="1" applyAlignment="1" applyProtection="1">
      <alignment horizontal="center" vertical="center"/>
      <protection locked="0"/>
    </xf>
    <xf numFmtId="0" fontId="0" fillId="9" borderId="26" xfId="0" applyFill="1" applyBorder="1" applyAlignment="1" applyProtection="1">
      <alignment horizontal="center" vertical="center"/>
      <protection locked="0"/>
    </xf>
    <xf numFmtId="0" fontId="0" fillId="9" borderId="30" xfId="0" applyFill="1" applyBorder="1" applyAlignment="1" applyProtection="1">
      <alignment horizontal="center" vertical="center"/>
      <protection locked="0"/>
    </xf>
    <xf numFmtId="0" fontId="8" fillId="2" borderId="34" xfId="114" applyFont="1" applyFill="1" applyBorder="1" applyAlignment="1">
      <alignment horizontal="left"/>
    </xf>
    <xf numFmtId="0" fontId="8" fillId="2" borderId="18" xfId="114" applyFont="1" applyFill="1" applyBorder="1" applyAlignment="1">
      <alignment horizontal="left"/>
    </xf>
    <xf numFmtId="0" fontId="8" fillId="2" borderId="47" xfId="114" applyFont="1" applyFill="1" applyBorder="1" applyAlignment="1">
      <alignment horizontal="left"/>
    </xf>
    <xf numFmtId="0" fontId="8" fillId="2" borderId="14" xfId="114" applyFont="1" applyFill="1" applyBorder="1" applyAlignment="1">
      <alignment horizontal="left"/>
    </xf>
    <xf numFmtId="0" fontId="8" fillId="2" borderId="19" xfId="114" applyFont="1" applyFill="1" applyBorder="1" applyAlignment="1">
      <alignment horizontal="left"/>
    </xf>
    <xf numFmtId="0" fontId="6" fillId="9" borderId="29" xfId="114" applyFont="1" applyFill="1" applyBorder="1" applyAlignment="1" applyProtection="1">
      <alignment horizontal="center" wrapText="1"/>
      <protection locked="0"/>
    </xf>
    <xf numFmtId="0" fontId="6" fillId="9" borderId="26" xfId="114" applyFont="1" applyFill="1" applyBorder="1" applyAlignment="1" applyProtection="1">
      <alignment horizontal="center"/>
      <protection locked="0"/>
    </xf>
    <xf numFmtId="0" fontId="6" fillId="9" borderId="31" xfId="114" applyFont="1" applyFill="1" applyBorder="1" applyAlignment="1" applyProtection="1">
      <alignment horizontal="center"/>
      <protection locked="0"/>
    </xf>
    <xf numFmtId="170" fontId="6" fillId="9" borderId="46" xfId="114" applyNumberFormat="1" applyFont="1" applyFill="1" applyBorder="1" applyAlignment="1" applyProtection="1">
      <alignment horizontal="center" vertical="center" wrapText="1"/>
      <protection locked="0"/>
    </xf>
    <xf numFmtId="170" fontId="6" fillId="9" borderId="15" xfId="114" applyNumberFormat="1" applyFont="1" applyFill="1" applyBorder="1" applyAlignment="1" applyProtection="1">
      <alignment horizontal="center" vertical="center" wrapText="1"/>
      <protection locked="0"/>
    </xf>
    <xf numFmtId="0" fontId="8" fillId="2" borderId="34" xfId="114" applyFont="1" applyFill="1" applyBorder="1"/>
    <xf numFmtId="0" fontId="8" fillId="2" borderId="19" xfId="114" applyFont="1" applyFill="1" applyBorder="1"/>
    <xf numFmtId="0" fontId="6" fillId="9" borderId="2" xfId="114" applyFont="1" applyFill="1" applyBorder="1" applyAlignment="1" applyProtection="1">
      <alignment horizontal="center"/>
      <protection locked="0"/>
    </xf>
    <xf numFmtId="0" fontId="6" fillId="9" borderId="0" xfId="114" applyFont="1" applyFill="1" applyAlignment="1" applyProtection="1">
      <alignment horizontal="center"/>
      <protection locked="0"/>
    </xf>
    <xf numFmtId="0" fontId="6" fillId="9" borderId="58" xfId="114" applyFont="1" applyFill="1" applyBorder="1" applyAlignment="1" applyProtection="1">
      <alignment horizontal="center"/>
      <protection locked="0"/>
    </xf>
    <xf numFmtId="0" fontId="6" fillId="9" borderId="42" xfId="114" applyFont="1" applyFill="1" applyBorder="1" applyAlignment="1" applyProtection="1">
      <alignment horizontal="center" wrapText="1"/>
      <protection locked="0"/>
    </xf>
    <xf numFmtId="0" fontId="6" fillId="9" borderId="44" xfId="114" applyFont="1" applyFill="1" applyBorder="1" applyAlignment="1" applyProtection="1">
      <alignment horizontal="center" wrapText="1"/>
      <protection locked="0"/>
    </xf>
    <xf numFmtId="0" fontId="6" fillId="9" borderId="43" xfId="114" applyFont="1" applyFill="1" applyBorder="1" applyAlignment="1" applyProtection="1">
      <alignment horizontal="center" wrapText="1"/>
      <protection locked="0"/>
    </xf>
    <xf numFmtId="0" fontId="6" fillId="9" borderId="57" xfId="114" applyFont="1" applyFill="1" applyBorder="1" applyAlignment="1" applyProtection="1">
      <alignment horizontal="center" vertical="center" wrapText="1"/>
      <protection locked="0"/>
    </xf>
    <xf numFmtId="0" fontId="6" fillId="9" borderId="43" xfId="114" applyFont="1" applyFill="1" applyBorder="1" applyAlignment="1" applyProtection="1">
      <alignment horizontal="center" vertical="center" wrapText="1"/>
      <protection locked="0"/>
    </xf>
    <xf numFmtId="0" fontId="6" fillId="9" borderId="56" xfId="114" applyFont="1" applyFill="1" applyBorder="1" applyAlignment="1" applyProtection="1">
      <alignment horizontal="center" vertical="center" wrapText="1"/>
      <protection locked="0"/>
    </xf>
    <xf numFmtId="0" fontId="6" fillId="9" borderId="31" xfId="114" applyFont="1" applyFill="1" applyBorder="1" applyAlignment="1" applyProtection="1">
      <alignment horizontal="center" vertical="center" wrapText="1"/>
      <protection locked="0"/>
    </xf>
    <xf numFmtId="0" fontId="8" fillId="2" borderId="5" xfId="114" applyFont="1" applyFill="1" applyBorder="1" applyAlignment="1">
      <alignment horizontal="left"/>
    </xf>
    <xf numFmtId="0" fontId="8" fillId="2" borderId="25" xfId="114" applyFont="1" applyFill="1" applyBorder="1" applyAlignment="1">
      <alignment horizontal="left"/>
    </xf>
    <xf numFmtId="0" fontId="8" fillId="2" borderId="14" xfId="114" applyFont="1" applyFill="1" applyBorder="1"/>
    <xf numFmtId="0" fontId="6" fillId="9" borderId="44" xfId="114" applyFont="1" applyFill="1" applyBorder="1" applyAlignment="1" applyProtection="1">
      <alignment horizontal="center" vertical="center" wrapText="1"/>
      <protection locked="0"/>
    </xf>
    <xf numFmtId="0" fontId="6" fillId="9" borderId="26" xfId="114" applyFont="1" applyFill="1" applyBorder="1" applyAlignment="1" applyProtection="1">
      <alignment horizontal="center" vertical="center" wrapText="1"/>
      <protection locked="0"/>
    </xf>
    <xf numFmtId="0" fontId="6" fillId="9" borderId="42" xfId="114" applyFont="1" applyFill="1" applyBorder="1" applyAlignment="1" applyProtection="1">
      <alignment horizontal="center" vertical="center" wrapText="1"/>
      <protection locked="0"/>
    </xf>
    <xf numFmtId="0" fontId="6" fillId="9" borderId="29" xfId="114" applyFont="1" applyFill="1" applyBorder="1" applyAlignment="1" applyProtection="1">
      <alignment horizontal="center" vertical="center" wrapText="1"/>
      <protection locked="0"/>
    </xf>
    <xf numFmtId="0" fontId="8" fillId="2" borderId="16" xfId="114" applyFont="1" applyFill="1" applyBorder="1" applyAlignment="1">
      <alignment horizontal="left"/>
    </xf>
    <xf numFmtId="0" fontId="8" fillId="2" borderId="35" xfId="114" applyFont="1" applyFill="1" applyBorder="1" applyAlignment="1">
      <alignment horizontal="left"/>
    </xf>
    <xf numFmtId="0" fontId="8" fillId="5" borderId="5" xfId="114" applyFont="1" applyFill="1" applyBorder="1" applyAlignment="1">
      <alignment horizontal="center" vertical="center"/>
    </xf>
    <xf numFmtId="0" fontId="8" fillId="5" borderId="11" xfId="114" applyFont="1" applyFill="1" applyBorder="1" applyAlignment="1">
      <alignment horizontal="center" vertical="center"/>
    </xf>
    <xf numFmtId="0" fontId="8" fillId="5" borderId="6" xfId="114" applyFont="1" applyFill="1" applyBorder="1" applyAlignment="1">
      <alignment horizontal="center" vertical="center"/>
    </xf>
    <xf numFmtId="0" fontId="6" fillId="9" borderId="20" xfId="114" applyFont="1" applyFill="1" applyBorder="1" applyAlignment="1" applyProtection="1">
      <alignment horizontal="left"/>
      <protection locked="0"/>
    </xf>
    <xf numFmtId="0" fontId="6" fillId="9" borderId="22" xfId="114" applyFont="1" applyFill="1" applyBorder="1" applyAlignment="1" applyProtection="1">
      <alignment horizontal="left"/>
      <protection locked="0"/>
    </xf>
    <xf numFmtId="0" fontId="11" fillId="5" borderId="8" xfId="114" applyFont="1" applyFill="1" applyBorder="1" applyAlignment="1">
      <alignment horizontal="center"/>
    </xf>
    <xf numFmtId="0" fontId="11" fillId="5" borderId="10" xfId="114" applyFont="1" applyFill="1" applyBorder="1" applyAlignment="1">
      <alignment horizontal="center"/>
    </xf>
    <xf numFmtId="0" fontId="11" fillId="5" borderId="9" xfId="114" applyFont="1" applyFill="1" applyBorder="1" applyAlignment="1">
      <alignment horizontal="center"/>
    </xf>
    <xf numFmtId="0" fontId="10" fillId="0" borderId="35" xfId="114" applyFont="1" applyBorder="1" applyAlignment="1">
      <alignment horizontal="right"/>
    </xf>
    <xf numFmtId="0" fontId="6" fillId="0" borderId="27" xfId="114" applyFont="1" applyBorder="1" applyAlignment="1">
      <alignment horizontal="left"/>
    </xf>
    <xf numFmtId="0" fontId="6" fillId="0" borderId="28" xfId="114" applyFont="1" applyBorder="1" applyAlignment="1">
      <alignment horizontal="left"/>
    </xf>
    <xf numFmtId="0" fontId="6" fillId="5" borderId="46" xfId="114" applyFont="1" applyFill="1" applyBorder="1" applyAlignment="1">
      <alignment horizontal="center" vertical="center" wrapText="1"/>
    </xf>
    <xf numFmtId="0" fontId="6" fillId="5" borderId="39" xfId="114" applyFont="1" applyFill="1" applyBorder="1" applyAlignment="1">
      <alignment horizontal="center" vertical="center" wrapText="1"/>
    </xf>
    <xf numFmtId="0" fontId="6" fillId="5" borderId="42" xfId="114" applyFont="1" applyFill="1" applyBorder="1" applyAlignment="1">
      <alignment horizontal="center" vertical="center" wrapText="1"/>
    </xf>
    <xf numFmtId="0" fontId="6" fillId="5" borderId="43" xfId="114" applyFont="1" applyFill="1" applyBorder="1" applyAlignment="1">
      <alignment horizontal="center" vertical="center" wrapText="1"/>
    </xf>
    <xf numFmtId="0" fontId="6" fillId="5" borderId="2" xfId="114" applyFont="1" applyFill="1" applyBorder="1" applyAlignment="1">
      <alignment horizontal="center" vertical="center" wrapText="1"/>
    </xf>
    <xf numFmtId="0" fontId="6" fillId="5" borderId="58" xfId="114" applyFont="1" applyFill="1" applyBorder="1" applyAlignment="1">
      <alignment horizontal="center" vertical="center" wrapText="1"/>
    </xf>
    <xf numFmtId="0" fontId="6" fillId="5" borderId="29" xfId="114" applyFont="1" applyFill="1" applyBorder="1" applyAlignment="1">
      <alignment horizontal="center" vertical="center" wrapText="1"/>
    </xf>
    <xf numFmtId="0" fontId="6" fillId="5" borderId="31" xfId="114" applyFont="1" applyFill="1" applyBorder="1" applyAlignment="1">
      <alignment horizontal="center" vertical="center" wrapText="1"/>
    </xf>
    <xf numFmtId="0" fontId="6" fillId="2" borderId="14" xfId="114" applyFont="1" applyFill="1" applyBorder="1" applyAlignment="1">
      <alignment horizontal="center"/>
    </xf>
    <xf numFmtId="0" fontId="6" fillId="2" borderId="19" xfId="114" applyFont="1" applyFill="1" applyBorder="1" applyAlignment="1">
      <alignment horizontal="center"/>
    </xf>
    <xf numFmtId="0" fontId="6" fillId="7" borderId="0" xfId="114" applyFont="1" applyFill="1" applyAlignment="1">
      <alignment vertical="center"/>
    </xf>
    <xf numFmtId="0" fontId="6" fillId="0" borderId="0" xfId="114" applyFont="1"/>
    <xf numFmtId="0" fontId="6" fillId="7" borderId="2" xfId="114" applyFont="1" applyFill="1" applyBorder="1" applyAlignment="1">
      <alignment horizontal="left" vertical="center" wrapText="1"/>
    </xf>
    <xf numFmtId="0" fontId="6" fillId="7" borderId="0" xfId="114" applyFont="1" applyFill="1" applyAlignment="1">
      <alignment horizontal="left" vertical="center" wrapText="1"/>
    </xf>
    <xf numFmtId="0" fontId="6" fillId="7" borderId="3" xfId="114" applyFont="1" applyFill="1" applyBorder="1" applyAlignment="1">
      <alignment horizontal="left" vertical="center" wrapText="1"/>
    </xf>
    <xf numFmtId="0" fontId="6" fillId="9" borderId="14" xfId="114" applyFont="1" applyFill="1" applyBorder="1" applyAlignment="1" applyProtection="1">
      <alignment horizontal="center"/>
      <protection locked="0"/>
    </xf>
    <xf numFmtId="0" fontId="6" fillId="9" borderId="18" xfId="114" applyFont="1" applyFill="1" applyBorder="1" applyAlignment="1" applyProtection="1">
      <alignment horizontal="center"/>
      <protection locked="0"/>
    </xf>
    <xf numFmtId="0" fontId="6" fillId="9" borderId="19" xfId="114" applyFont="1" applyFill="1" applyBorder="1" applyAlignment="1" applyProtection="1">
      <alignment horizontal="center"/>
      <protection locked="0"/>
    </xf>
    <xf numFmtId="0" fontId="8" fillId="2" borderId="52" xfId="114" applyFont="1" applyFill="1" applyBorder="1" applyAlignment="1">
      <alignment horizontal="left"/>
    </xf>
    <xf numFmtId="0" fontId="8" fillId="2" borderId="36" xfId="114" applyFont="1" applyFill="1" applyBorder="1" applyAlignment="1">
      <alignment horizontal="left"/>
    </xf>
    <xf numFmtId="0" fontId="8" fillId="2" borderId="48" xfId="114" applyFont="1" applyFill="1" applyBorder="1" applyAlignment="1">
      <alignment horizontal="left"/>
    </xf>
    <xf numFmtId="0" fontId="8" fillId="2" borderId="11" xfId="114" applyFont="1" applyFill="1" applyBorder="1" applyAlignment="1">
      <alignment horizontal="left"/>
    </xf>
    <xf numFmtId="0" fontId="6" fillId="9" borderId="34" xfId="114" applyFont="1" applyFill="1" applyBorder="1" applyAlignment="1" applyProtection="1">
      <alignment horizontal="center"/>
      <protection locked="0"/>
    </xf>
    <xf numFmtId="0" fontId="6" fillId="9" borderId="47" xfId="114" applyFont="1" applyFill="1" applyBorder="1" applyAlignment="1" applyProtection="1">
      <alignment horizontal="center"/>
      <protection locked="0"/>
    </xf>
    <xf numFmtId="0" fontId="6" fillId="0" borderId="8" xfId="114" applyFont="1" applyBorder="1" applyAlignment="1">
      <alignment horizontal="left" vertical="center" wrapText="1"/>
    </xf>
    <xf numFmtId="0" fontId="6" fillId="0" borderId="10" xfId="114" applyFont="1" applyBorder="1" applyAlignment="1">
      <alignment horizontal="left" vertical="center" wrapText="1"/>
    </xf>
    <xf numFmtId="0" fontId="6" fillId="0" borderId="9" xfId="114" applyFont="1" applyBorder="1" applyAlignment="1">
      <alignment horizontal="left" vertical="center" wrapText="1"/>
    </xf>
    <xf numFmtId="0" fontId="6" fillId="0" borderId="29" xfId="114" applyFont="1" applyBorder="1" applyAlignment="1">
      <alignment horizontal="left" vertical="center" wrapText="1"/>
    </xf>
    <xf numFmtId="0" fontId="6" fillId="0" borderId="26" xfId="114" applyFont="1" applyBorder="1" applyAlignment="1">
      <alignment horizontal="left" vertical="center" wrapText="1"/>
    </xf>
    <xf numFmtId="0" fontId="6" fillId="0" borderId="30" xfId="114" applyFont="1" applyBorder="1" applyAlignment="1">
      <alignment horizontal="left" vertical="center" wrapText="1"/>
    </xf>
    <xf numFmtId="0" fontId="6" fillId="7" borderId="5" xfId="114" applyFont="1" applyFill="1" applyBorder="1" applyAlignment="1">
      <alignment horizontal="left" vertical="center" wrapText="1"/>
    </xf>
    <xf numFmtId="0" fontId="6" fillId="7" borderId="11" xfId="114" applyFont="1" applyFill="1" applyBorder="1" applyAlignment="1">
      <alignment horizontal="left" vertical="center" wrapText="1"/>
    </xf>
    <xf numFmtId="164" fontId="6" fillId="9" borderId="34" xfId="116" applyNumberFormat="1" applyFont="1" applyFill="1" applyBorder="1" applyAlignment="1" applyProtection="1">
      <alignment horizontal="right"/>
      <protection locked="0"/>
    </xf>
    <xf numFmtId="164" fontId="6" fillId="9" borderId="19" xfId="116" applyNumberFormat="1" applyFont="1" applyFill="1" applyBorder="1" applyAlignment="1" applyProtection="1">
      <alignment horizontal="right"/>
      <protection locked="0"/>
    </xf>
    <xf numFmtId="0" fontId="6" fillId="0" borderId="33" xfId="120" applyFont="1" applyBorder="1" applyAlignment="1">
      <alignment horizontal="center" vertical="center" wrapText="1"/>
    </xf>
    <xf numFmtId="0" fontId="6" fillId="0" borderId="11" xfId="120" applyFont="1" applyBorder="1" applyAlignment="1">
      <alignment horizontal="center" vertical="center" wrapText="1"/>
    </xf>
    <xf numFmtId="0" fontId="6" fillId="0" borderId="6" xfId="120" applyFont="1" applyBorder="1" applyAlignment="1">
      <alignment horizontal="center" vertical="center" wrapText="1"/>
    </xf>
    <xf numFmtId="0" fontId="8" fillId="2" borderId="61" xfId="114" applyFont="1" applyFill="1" applyBorder="1" applyAlignment="1">
      <alignment horizontal="left"/>
    </xf>
    <xf numFmtId="0" fontId="8" fillId="2" borderId="78" xfId="114" applyFont="1" applyFill="1" applyBorder="1" applyAlignment="1">
      <alignment horizontal="center"/>
    </xf>
    <xf numFmtId="0" fontId="8" fillId="2" borderId="35" xfId="114" applyFont="1" applyFill="1" applyBorder="1" applyAlignment="1">
      <alignment horizontal="center"/>
    </xf>
    <xf numFmtId="0" fontId="8" fillId="2" borderId="17" xfId="114" applyFont="1" applyFill="1" applyBorder="1" applyAlignment="1">
      <alignment horizontal="center"/>
    </xf>
    <xf numFmtId="0" fontId="8" fillId="3" borderId="45" xfId="120" applyFont="1" applyFill="1" applyBorder="1" applyAlignment="1">
      <alignment horizontal="center" vertical="center" wrapText="1"/>
    </xf>
    <xf numFmtId="0" fontId="8" fillId="3" borderId="38" xfId="120" applyFont="1" applyFill="1" applyBorder="1" applyAlignment="1">
      <alignment horizontal="center" vertical="center" wrapText="1"/>
    </xf>
    <xf numFmtId="0" fontId="8" fillId="3" borderId="32" xfId="120" applyFont="1" applyFill="1" applyBorder="1" applyAlignment="1">
      <alignment horizontal="center" vertical="center" wrapText="1"/>
    </xf>
    <xf numFmtId="164" fontId="6" fillId="9" borderId="77" xfId="116" applyNumberFormat="1" applyFont="1" applyFill="1" applyBorder="1" applyAlignment="1" applyProtection="1">
      <alignment horizontal="right"/>
      <protection locked="0"/>
    </xf>
    <xf numFmtId="164" fontId="6" fillId="9" borderId="67" xfId="116" applyNumberFormat="1" applyFont="1" applyFill="1" applyBorder="1" applyAlignment="1" applyProtection="1">
      <alignment horizontal="right"/>
      <protection locked="0"/>
    </xf>
    <xf numFmtId="164" fontId="6" fillId="9" borderId="1" xfId="114" applyNumberFormat="1" applyFont="1" applyFill="1" applyBorder="1" applyAlignment="1" applyProtection="1">
      <alignment horizontal="right"/>
      <protection locked="0"/>
    </xf>
    <xf numFmtId="0" fontId="10" fillId="5" borderId="8" xfId="114" applyFont="1" applyFill="1" applyBorder="1" applyAlignment="1">
      <alignment horizontal="center" vertical="center" wrapText="1"/>
    </xf>
    <xf numFmtId="0" fontId="10" fillId="5" borderId="10" xfId="114" applyFont="1" applyFill="1" applyBorder="1" applyAlignment="1">
      <alignment horizontal="center" vertical="center" wrapText="1"/>
    </xf>
    <xf numFmtId="0" fontId="10" fillId="5" borderId="9" xfId="114" applyFont="1" applyFill="1" applyBorder="1" applyAlignment="1">
      <alignment horizontal="center" vertical="center" wrapText="1"/>
    </xf>
    <xf numFmtId="0" fontId="10" fillId="5" borderId="5" xfId="114" applyFont="1" applyFill="1" applyBorder="1" applyAlignment="1">
      <alignment horizontal="center" vertical="center" wrapText="1"/>
    </xf>
    <xf numFmtId="0" fontId="10" fillId="5" borderId="11" xfId="114" applyFont="1" applyFill="1" applyBorder="1" applyAlignment="1">
      <alignment horizontal="center" vertical="center" wrapText="1"/>
    </xf>
    <xf numFmtId="0" fontId="10" fillId="5" borderId="6" xfId="114" applyFont="1" applyFill="1" applyBorder="1" applyAlignment="1">
      <alignment horizontal="center" vertical="center" wrapText="1"/>
    </xf>
    <xf numFmtId="0" fontId="8" fillId="3" borderId="62" xfId="120" applyFont="1" applyFill="1" applyBorder="1" applyAlignment="1">
      <alignment horizontal="center" vertical="center"/>
    </xf>
    <xf numFmtId="0" fontId="8" fillId="3" borderId="63" xfId="120" applyFont="1" applyFill="1" applyBorder="1" applyAlignment="1">
      <alignment horizontal="center" vertical="center"/>
    </xf>
    <xf numFmtId="164" fontId="6" fillId="9" borderId="1" xfId="116" applyNumberFormat="1" applyFont="1" applyFill="1" applyBorder="1" applyAlignment="1" applyProtection="1">
      <alignment horizontal="right"/>
      <protection locked="0"/>
    </xf>
    <xf numFmtId="0" fontId="8" fillId="5" borderId="40" xfId="114" applyFont="1" applyFill="1" applyBorder="1" applyAlignment="1">
      <alignment horizontal="center" wrapText="1"/>
    </xf>
    <xf numFmtId="0" fontId="6" fillId="0" borderId="8" xfId="120" applyFont="1" applyBorder="1" applyAlignment="1">
      <alignment horizontal="left" vertical="center" wrapText="1"/>
    </xf>
    <xf numFmtId="0" fontId="6" fillId="0" borderId="10" xfId="120" applyFont="1" applyBorder="1" applyAlignment="1">
      <alignment horizontal="left" vertical="center" wrapText="1"/>
    </xf>
    <xf numFmtId="0" fontId="6" fillId="0" borderId="9" xfId="120" applyFont="1" applyBorder="1" applyAlignment="1">
      <alignment horizontal="left" vertical="center" wrapText="1"/>
    </xf>
    <xf numFmtId="0" fontId="6" fillId="0" borderId="2" xfId="120" applyFont="1" applyBorder="1" applyAlignment="1">
      <alignment horizontal="left" vertical="center" wrapText="1"/>
    </xf>
    <xf numFmtId="0" fontId="6" fillId="0" borderId="0" xfId="120" applyFont="1" applyAlignment="1">
      <alignment horizontal="left" vertical="center" wrapText="1"/>
    </xf>
    <xf numFmtId="0" fontId="6" fillId="0" borderId="3" xfId="120" applyFont="1" applyBorder="1" applyAlignment="1">
      <alignment horizontal="left" vertical="center" wrapText="1"/>
    </xf>
    <xf numFmtId="0" fontId="6" fillId="0" borderId="29" xfId="120" applyFont="1" applyBorder="1" applyAlignment="1">
      <alignment horizontal="left" vertical="center" wrapText="1"/>
    </xf>
    <xf numFmtId="0" fontId="6" fillId="0" borderId="26" xfId="120" applyFont="1" applyBorder="1" applyAlignment="1">
      <alignment horizontal="left" vertical="center" wrapText="1"/>
    </xf>
    <xf numFmtId="0" fontId="6" fillId="0" borderId="30" xfId="120" applyFont="1" applyBorder="1" applyAlignment="1">
      <alignment horizontal="left" vertical="center" wrapText="1"/>
    </xf>
    <xf numFmtId="0" fontId="6" fillId="0" borderId="35" xfId="114" applyFont="1" applyBorder="1" applyAlignment="1">
      <alignment horizontal="left"/>
    </xf>
    <xf numFmtId="0" fontId="6" fillId="0" borderId="17" xfId="114" applyFont="1" applyBorder="1" applyAlignment="1">
      <alignment horizontal="left"/>
    </xf>
    <xf numFmtId="0" fontId="8" fillId="5" borderId="16" xfId="114" applyFont="1" applyFill="1" applyBorder="1" applyAlignment="1">
      <alignment horizontal="center"/>
    </xf>
    <xf numFmtId="0" fontId="8" fillId="5" borderId="35" xfId="114" applyFont="1" applyFill="1" applyBorder="1" applyAlignment="1">
      <alignment horizontal="center"/>
    </xf>
    <xf numFmtId="0" fontId="8" fillId="5" borderId="17" xfId="114" applyFont="1" applyFill="1" applyBorder="1" applyAlignment="1">
      <alignment horizontal="center"/>
    </xf>
    <xf numFmtId="0" fontId="6" fillId="0" borderId="54" xfId="120" applyFont="1" applyBorder="1" applyAlignment="1">
      <alignment horizontal="center" vertical="center" wrapText="1"/>
    </xf>
    <xf numFmtId="0" fontId="6" fillId="0" borderId="0" xfId="120" applyFont="1" applyAlignment="1">
      <alignment horizontal="center" vertical="center" wrapText="1"/>
    </xf>
    <xf numFmtId="0" fontId="6" fillId="0" borderId="3" xfId="120" applyFont="1" applyBorder="1" applyAlignment="1">
      <alignment horizontal="center" vertical="center" wrapText="1"/>
    </xf>
    <xf numFmtId="0" fontId="6" fillId="0" borderId="35" xfId="114" applyFont="1" applyBorder="1" applyAlignment="1">
      <alignment horizontal="center"/>
    </xf>
    <xf numFmtId="0" fontId="8" fillId="8" borderId="33" xfId="114" applyFont="1" applyFill="1" applyBorder="1" applyAlignment="1">
      <alignment horizontal="center"/>
    </xf>
    <xf numFmtId="0" fontId="8" fillId="8" borderId="6" xfId="114" applyFont="1" applyFill="1" applyBorder="1" applyAlignment="1">
      <alignment horizontal="center"/>
    </xf>
    <xf numFmtId="37" fontId="8" fillId="8" borderId="33" xfId="65" applyNumberFormat="1" applyFont="1" applyFill="1" applyBorder="1" applyAlignment="1" applyProtection="1">
      <alignment horizontal="center"/>
    </xf>
    <xf numFmtId="37" fontId="8" fillId="8" borderId="25" xfId="65" applyNumberFormat="1" applyFont="1" applyFill="1" applyBorder="1" applyAlignment="1" applyProtection="1">
      <alignment horizontal="center"/>
    </xf>
    <xf numFmtId="37" fontId="6" fillId="8" borderId="33" xfId="65" applyNumberFormat="1" applyFont="1" applyFill="1" applyBorder="1" applyAlignment="1" applyProtection="1">
      <alignment horizontal="center"/>
    </xf>
    <xf numFmtId="37" fontId="6" fillId="8" borderId="25" xfId="65" applyNumberFormat="1" applyFont="1" applyFill="1" applyBorder="1" applyAlignment="1" applyProtection="1">
      <alignment horizontal="center"/>
    </xf>
    <xf numFmtId="0" fontId="6" fillId="8" borderId="33" xfId="114" applyFont="1" applyFill="1" applyBorder="1" applyAlignment="1">
      <alignment horizontal="center"/>
    </xf>
    <xf numFmtId="0" fontId="6" fillId="8" borderId="6" xfId="114" applyFont="1" applyFill="1" applyBorder="1" applyAlignment="1">
      <alignment horizontal="center"/>
    </xf>
    <xf numFmtId="0" fontId="6" fillId="8" borderId="68" xfId="114" applyFont="1" applyFill="1" applyBorder="1" applyAlignment="1">
      <alignment horizontal="center"/>
    </xf>
    <xf numFmtId="0" fontId="6" fillId="8" borderId="70" xfId="114" applyFont="1" applyFill="1" applyBorder="1" applyAlignment="1">
      <alignment horizontal="center"/>
    </xf>
    <xf numFmtId="164" fontId="6" fillId="9" borderId="32" xfId="114" applyNumberFormat="1" applyFont="1" applyFill="1" applyBorder="1" applyAlignment="1" applyProtection="1">
      <alignment horizontal="right"/>
      <protection locked="0"/>
    </xf>
    <xf numFmtId="164" fontId="6" fillId="9" borderId="56" xfId="114" applyNumberFormat="1" applyFont="1" applyFill="1" applyBorder="1" applyAlignment="1" applyProtection="1">
      <alignment horizontal="right"/>
      <protection locked="0"/>
    </xf>
    <xf numFmtId="164" fontId="6" fillId="9" borderId="31" xfId="114" applyNumberFormat="1" applyFont="1" applyFill="1" applyBorder="1" applyAlignment="1" applyProtection="1">
      <alignment horizontal="right"/>
      <protection locked="0"/>
    </xf>
    <xf numFmtId="164" fontId="6" fillId="9" borderId="74" xfId="114" applyNumberFormat="1" applyFont="1" applyFill="1" applyBorder="1" applyAlignment="1" applyProtection="1">
      <alignment horizontal="right"/>
      <protection locked="0"/>
    </xf>
    <xf numFmtId="164" fontId="6" fillId="9" borderId="75" xfId="114" applyNumberFormat="1" applyFont="1" applyFill="1" applyBorder="1" applyAlignment="1" applyProtection="1">
      <alignment horizontal="right"/>
      <protection locked="0"/>
    </xf>
    <xf numFmtId="0" fontId="8" fillId="5" borderId="54" xfId="120" applyFont="1" applyFill="1" applyBorder="1" applyAlignment="1">
      <alignment horizontal="center" vertical="center" wrapText="1"/>
    </xf>
    <xf numFmtId="0" fontId="8" fillId="5" borderId="0" xfId="120" applyFont="1" applyFill="1" applyAlignment="1">
      <alignment horizontal="center" vertical="center" wrapText="1"/>
    </xf>
    <xf numFmtId="0" fontId="8" fillId="5" borderId="3" xfId="120" applyFont="1" applyFill="1" applyBorder="1" applyAlignment="1">
      <alignment horizontal="center" vertical="center" wrapText="1"/>
    </xf>
    <xf numFmtId="0" fontId="8" fillId="5" borderId="56" xfId="120" applyFont="1" applyFill="1" applyBorder="1" applyAlignment="1">
      <alignment horizontal="center" vertical="center" wrapText="1"/>
    </xf>
    <xf numFmtId="0" fontId="8" fillId="5" borderId="26" xfId="120" applyFont="1" applyFill="1" applyBorder="1" applyAlignment="1">
      <alignment horizontal="center" vertical="center" wrapText="1"/>
    </xf>
    <xf numFmtId="0" fontId="8" fillId="5" borderId="30" xfId="120" applyFont="1" applyFill="1" applyBorder="1" applyAlignment="1">
      <alignment horizontal="center" vertical="center" wrapText="1"/>
    </xf>
    <xf numFmtId="0" fontId="4" fillId="5" borderId="40" xfId="114" applyFont="1" applyFill="1" applyBorder="1" applyAlignment="1">
      <alignment horizontal="center" vertical="center" wrapText="1"/>
    </xf>
    <xf numFmtId="0" fontId="4" fillId="5" borderId="1" xfId="114" applyFont="1" applyFill="1" applyBorder="1" applyAlignment="1">
      <alignment horizontal="center" vertical="center" wrapText="1"/>
    </xf>
    <xf numFmtId="0" fontId="4" fillId="5" borderId="8" xfId="114" applyFont="1" applyFill="1" applyBorder="1" applyAlignment="1">
      <alignment horizontal="center" wrapText="1"/>
    </xf>
    <xf numFmtId="0" fontId="4" fillId="5" borderId="10" xfId="114" applyFont="1" applyFill="1" applyBorder="1" applyAlignment="1">
      <alignment horizontal="center" wrapText="1"/>
    </xf>
    <xf numFmtId="0" fontId="4" fillId="5" borderId="9" xfId="114" applyFont="1" applyFill="1" applyBorder="1" applyAlignment="1">
      <alignment horizontal="center" wrapText="1"/>
    </xf>
    <xf numFmtId="0" fontId="4" fillId="5" borderId="5" xfId="114" applyFont="1" applyFill="1" applyBorder="1" applyAlignment="1">
      <alignment horizontal="center" wrapText="1"/>
    </xf>
    <xf numFmtId="0" fontId="4" fillId="5" borderId="11" xfId="114" applyFont="1" applyFill="1" applyBorder="1" applyAlignment="1">
      <alignment horizontal="center" wrapText="1"/>
    </xf>
    <xf numFmtId="0" fontId="4" fillId="5" borderId="6" xfId="114" applyFont="1" applyFill="1" applyBorder="1" applyAlignment="1">
      <alignment horizontal="center" wrapText="1"/>
    </xf>
    <xf numFmtId="0" fontId="4" fillId="5" borderId="42" xfId="114" applyFont="1" applyFill="1" applyBorder="1" applyAlignment="1">
      <alignment horizontal="center" vertical="center"/>
    </xf>
    <xf numFmtId="0" fontId="4" fillId="5" borderId="44" xfId="114" applyFont="1" applyFill="1" applyBorder="1" applyAlignment="1">
      <alignment horizontal="center" vertical="center"/>
    </xf>
    <xf numFmtId="0" fontId="4" fillId="5" borderId="43" xfId="114" applyFont="1" applyFill="1" applyBorder="1" applyAlignment="1">
      <alignment horizontal="center" vertical="center"/>
    </xf>
    <xf numFmtId="0" fontId="4" fillId="5" borderId="2" xfId="114" applyFont="1" applyFill="1" applyBorder="1" applyAlignment="1">
      <alignment horizontal="center" vertical="center"/>
    </xf>
    <xf numFmtId="0" fontId="4" fillId="5" borderId="0" xfId="114" applyFont="1" applyFill="1" applyAlignment="1">
      <alignment horizontal="center" vertical="center"/>
    </xf>
    <xf numFmtId="0" fontId="4" fillId="5" borderId="58" xfId="114" applyFont="1" applyFill="1" applyBorder="1" applyAlignment="1">
      <alignment horizontal="center" vertical="center"/>
    </xf>
    <xf numFmtId="0" fontId="4" fillId="5" borderId="5" xfId="114" applyFont="1" applyFill="1" applyBorder="1" applyAlignment="1">
      <alignment horizontal="center" vertical="center"/>
    </xf>
    <xf numFmtId="0" fontId="4" fillId="5" borderId="11" xfId="114" applyFont="1" applyFill="1" applyBorder="1" applyAlignment="1">
      <alignment horizontal="center" vertical="center"/>
    </xf>
    <xf numFmtId="0" fontId="4" fillId="5" borderId="25" xfId="114" applyFont="1" applyFill="1" applyBorder="1" applyAlignment="1">
      <alignment horizontal="center" vertical="center"/>
    </xf>
    <xf numFmtId="0" fontId="4" fillId="5" borderId="16" xfId="114" applyFont="1" applyFill="1" applyBorder="1" applyAlignment="1">
      <alignment horizontal="center"/>
    </xf>
    <xf numFmtId="0" fontId="4" fillId="5" borderId="35" xfId="114" applyFont="1" applyFill="1" applyBorder="1" applyAlignment="1">
      <alignment horizontal="center"/>
    </xf>
    <xf numFmtId="0" fontId="4" fillId="5" borderId="17" xfId="114" applyFont="1" applyFill="1" applyBorder="1" applyAlignment="1">
      <alignment horizontal="center"/>
    </xf>
    <xf numFmtId="0" fontId="6" fillId="0" borderId="55" xfId="114" applyFont="1" applyBorder="1" applyAlignment="1">
      <alignment horizontal="left" wrapText="1"/>
    </xf>
    <xf numFmtId="0" fontId="6" fillId="0" borderId="37" xfId="114" applyFont="1" applyBorder="1" applyAlignment="1">
      <alignment horizontal="left" wrapText="1"/>
    </xf>
    <xf numFmtId="0" fontId="6" fillId="0" borderId="49" xfId="114" applyFont="1" applyBorder="1" applyAlignment="1">
      <alignment horizontal="left" wrapText="1"/>
    </xf>
    <xf numFmtId="0" fontId="6" fillId="0" borderId="40" xfId="114" applyFont="1" applyBorder="1" applyAlignment="1">
      <alignment horizontal="left" wrapText="1"/>
    </xf>
    <xf numFmtId="0" fontId="4" fillId="5" borderId="38" xfId="114" applyFont="1" applyFill="1" applyBorder="1" applyAlignment="1">
      <alignment horizontal="center" vertical="top" wrapText="1"/>
    </xf>
    <xf numFmtId="0" fontId="4" fillId="5" borderId="24" xfId="114" applyFont="1" applyFill="1" applyBorder="1" applyAlignment="1">
      <alignment horizontal="center" vertical="top" wrapText="1"/>
    </xf>
    <xf numFmtId="0" fontId="4" fillId="5" borderId="46" xfId="114" applyFont="1" applyFill="1" applyBorder="1" applyAlignment="1">
      <alignment horizontal="center" vertical="center" wrapText="1"/>
    </xf>
    <xf numFmtId="0" fontId="4" fillId="5" borderId="39" xfId="114" applyFont="1" applyFill="1" applyBorder="1" applyAlignment="1">
      <alignment horizontal="center" vertical="center" wrapText="1"/>
    </xf>
    <xf numFmtId="0" fontId="4" fillId="5" borderId="23" xfId="114" applyFont="1" applyFill="1" applyBorder="1" applyAlignment="1">
      <alignment horizontal="center" vertical="center" wrapText="1"/>
    </xf>
    <xf numFmtId="0" fontId="4" fillId="5" borderId="45" xfId="114" applyFont="1" applyFill="1" applyBorder="1" applyAlignment="1">
      <alignment horizontal="center" vertical="center" wrapText="1"/>
    </xf>
    <xf numFmtId="0" fontId="4" fillId="5" borderId="38" xfId="114" applyFont="1" applyFill="1" applyBorder="1" applyAlignment="1">
      <alignment horizontal="center" vertical="center" wrapText="1"/>
    </xf>
    <xf numFmtId="0" fontId="4" fillId="5" borderId="24" xfId="114" applyFont="1" applyFill="1" applyBorder="1" applyAlignment="1">
      <alignment horizontal="center" vertical="center" wrapText="1"/>
    </xf>
    <xf numFmtId="0" fontId="4" fillId="5" borderId="12" xfId="114" applyFont="1" applyFill="1" applyBorder="1" applyAlignment="1">
      <alignment horizontal="center" vertical="center" wrapText="1"/>
    </xf>
    <xf numFmtId="0" fontId="4" fillId="5" borderId="4" xfId="114" applyFont="1" applyFill="1" applyBorder="1" applyAlignment="1">
      <alignment horizontal="center" vertical="center" wrapText="1"/>
    </xf>
    <xf numFmtId="9" fontId="6" fillId="8" borderId="24" xfId="117" applyFont="1" applyFill="1" applyBorder="1" applyAlignment="1">
      <alignment horizontal="center"/>
    </xf>
    <xf numFmtId="9" fontId="6" fillId="8" borderId="23" xfId="117" applyFont="1" applyFill="1" applyBorder="1" applyAlignment="1">
      <alignment horizontal="center"/>
    </xf>
    <xf numFmtId="0" fontId="6" fillId="0" borderId="0" xfId="114" applyFont="1" applyAlignment="1">
      <alignment horizontal="center"/>
    </xf>
    <xf numFmtId="0" fontId="6" fillId="0" borderId="0" xfId="114" applyFont="1" applyAlignment="1">
      <alignment horizontal="left"/>
    </xf>
    <xf numFmtId="0" fontId="6" fillId="0" borderId="44" xfId="114" applyFont="1" applyBorder="1" applyAlignment="1">
      <alignment horizontal="right"/>
    </xf>
    <xf numFmtId="0" fontId="6" fillId="9" borderId="56" xfId="114" applyFont="1" applyFill="1" applyBorder="1" applyAlignment="1" applyProtection="1">
      <alignment horizontal="left" vertical="top" wrapText="1"/>
      <protection locked="0"/>
    </xf>
    <xf numFmtId="0" fontId="6" fillId="9" borderId="26" xfId="114" applyFont="1" applyFill="1" applyBorder="1" applyAlignment="1" applyProtection="1">
      <alignment horizontal="left" vertical="top" wrapText="1"/>
      <protection locked="0"/>
    </xf>
    <xf numFmtId="0" fontId="6" fillId="9" borderId="31" xfId="114" applyFont="1" applyFill="1" applyBorder="1" applyAlignment="1" applyProtection="1">
      <alignment horizontal="left" vertical="top" wrapText="1"/>
      <protection locked="0"/>
    </xf>
    <xf numFmtId="0" fontId="6" fillId="9" borderId="54" xfId="114" applyFont="1" applyFill="1" applyBorder="1" applyAlignment="1" applyProtection="1">
      <alignment horizontal="left" vertical="top" wrapText="1"/>
      <protection locked="0"/>
    </xf>
    <xf numFmtId="0" fontId="6" fillId="9" borderId="0" xfId="114" applyFont="1" applyFill="1" applyAlignment="1" applyProtection="1">
      <alignment horizontal="left" vertical="top" wrapText="1"/>
      <protection locked="0"/>
    </xf>
    <xf numFmtId="0" fontId="6" fillId="9" borderId="58" xfId="114" applyFont="1" applyFill="1" applyBorder="1" applyAlignment="1" applyProtection="1">
      <alignment horizontal="left" vertical="top" wrapText="1"/>
      <protection locked="0"/>
    </xf>
    <xf numFmtId="0" fontId="6" fillId="9" borderId="57" xfId="114" applyFont="1" applyFill="1" applyBorder="1" applyAlignment="1" applyProtection="1">
      <alignment horizontal="left" vertical="top" wrapText="1"/>
      <protection locked="0"/>
    </xf>
    <xf numFmtId="0" fontId="6" fillId="9" borderId="44" xfId="114" applyFont="1" applyFill="1" applyBorder="1" applyAlignment="1" applyProtection="1">
      <alignment horizontal="left" vertical="top" wrapText="1"/>
      <protection locked="0"/>
    </xf>
    <xf numFmtId="0" fontId="6" fillId="9" borderId="43" xfId="114" applyFont="1" applyFill="1" applyBorder="1" applyAlignment="1" applyProtection="1">
      <alignment horizontal="left" vertical="top" wrapText="1"/>
      <protection locked="0"/>
    </xf>
    <xf numFmtId="0" fontId="6" fillId="2" borderId="51" xfId="114" applyFont="1" applyFill="1" applyBorder="1" applyAlignment="1">
      <alignment horizontal="right" wrapText="1"/>
    </xf>
    <xf numFmtId="0" fontId="6" fillId="2" borderId="24" xfId="114" applyFont="1" applyFill="1" applyBorder="1" applyAlignment="1">
      <alignment horizontal="right" wrapText="1"/>
    </xf>
    <xf numFmtId="0" fontId="6" fillId="2" borderId="24" xfId="114" applyFont="1" applyFill="1" applyBorder="1" applyAlignment="1">
      <alignment horizontal="right"/>
    </xf>
    <xf numFmtId="0" fontId="4" fillId="5" borderId="49" xfId="114" applyFont="1" applyFill="1" applyBorder="1" applyAlignment="1">
      <alignment horizontal="center" vertical="center" wrapText="1"/>
    </xf>
    <xf numFmtId="0" fontId="4" fillId="5" borderId="13" xfId="114" applyFont="1" applyFill="1" applyBorder="1" applyAlignment="1">
      <alignment horizontal="center" vertical="center" wrapText="1"/>
    </xf>
  </cellXfs>
  <cellStyles count="125">
    <cellStyle name="Comma" xfId="123" builtinId="3"/>
    <cellStyle name="Comma 2" xfId="65" xr:uid="{00000000-0005-0000-0000-000000000000}"/>
    <cellStyle name="Comma 4 2 2" xfId="115" xr:uid="{90B53A6F-0A06-F74A-ACF8-BE580DE2478C}"/>
    <cellStyle name="Comma 5" xfId="122" xr:uid="{1FF493CB-A9E7-D648-A8C2-D2BAEDE04D89}"/>
    <cellStyle name="Currency" xfId="116" builtinId="4"/>
    <cellStyle name="Currency 2" xfId="119" xr:uid="{316EB3B6-9BE6-B841-B1CF-00C7C34A6AA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Normal 2" xfId="114" xr:uid="{44466CC3-824E-2E42-8EE6-CF69FBEED035}"/>
    <cellStyle name="Normal 3 2 2" xfId="120" xr:uid="{194BDBCE-BA1B-C046-9F7F-EB2F344A9385}"/>
    <cellStyle name="Normal 4" xfId="118" xr:uid="{7F057FDD-08E9-344C-A80D-91787657AE6F}"/>
    <cellStyle name="Normal 4 2 2" xfId="121" xr:uid="{1AAD1CBE-1EA5-6B4A-87D9-4F59E898606B}"/>
    <cellStyle name="Percent" xfId="124" builtinId="5"/>
    <cellStyle name="Percent 2" xfId="117" xr:uid="{06A1D79A-64DA-DE40-8121-CD8064733871}"/>
  </cellStyles>
  <dxfs count="66">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border>
        <bottom/>
      </border>
    </dxf>
    <dxf>
      <font>
        <color rgb="FFFF0000"/>
      </font>
      <fill>
        <patternFill>
          <bgColor theme="0"/>
        </patternFill>
      </fill>
    </dxf>
    <dxf>
      <font>
        <color theme="0"/>
      </font>
      <fill>
        <patternFill>
          <bgColor theme="0"/>
        </patternFill>
      </fill>
      <border>
        <right/>
        <top/>
      </border>
    </dxf>
    <dxf>
      <font>
        <color theme="0"/>
      </font>
      <fill>
        <patternFill>
          <bgColor theme="0"/>
        </patternFill>
      </fill>
      <border>
        <right/>
        <bottom/>
      </border>
    </dxf>
    <dxf>
      <font>
        <color theme="0"/>
      </font>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b/>
        <i val="0"/>
        <color rgb="FFFF0000"/>
      </font>
    </dxf>
    <dxf>
      <font>
        <color theme="0"/>
      </font>
    </dxf>
    <dxf>
      <font>
        <color rgb="FF9C5700"/>
      </font>
      <fill>
        <patternFill>
          <bgColor rgb="FFFFEB9C"/>
        </patternFill>
      </fill>
    </dxf>
    <dxf>
      <font>
        <b val="0"/>
        <i val="0"/>
        <color theme="1"/>
      </font>
      <fill>
        <patternFill>
          <bgColor theme="0"/>
        </patternFill>
      </fill>
      <border>
        <vertical/>
        <horizontal/>
      </border>
    </dxf>
    <dxf>
      <font>
        <color theme="0"/>
      </font>
    </dxf>
    <dxf>
      <font>
        <strike val="0"/>
      </font>
    </dxf>
    <dxf>
      <font>
        <strike val="0"/>
      </font>
    </dxf>
    <dxf>
      <font>
        <strike val="0"/>
      </font>
    </dxf>
    <dxf>
      <font>
        <strike val="0"/>
      </font>
    </dxf>
    <dxf>
      <font>
        <color rgb="FFFF0000"/>
      </font>
      <fill>
        <patternFill>
          <bgColor theme="0"/>
        </patternFill>
      </fill>
    </dxf>
    <dxf>
      <font>
        <color rgb="FFFF0000"/>
      </font>
      <fill>
        <patternFill>
          <bgColor theme="0"/>
        </patternFill>
      </fill>
    </dxf>
    <dxf>
      <font>
        <color rgb="FFFF0000"/>
      </font>
    </dxf>
    <dxf>
      <font>
        <color rgb="FFFF0000"/>
      </font>
      <fill>
        <patternFill>
          <bgColor theme="0"/>
        </patternFill>
      </fill>
    </dxf>
    <dxf>
      <font>
        <color rgb="FFFF0000"/>
      </font>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0"/>
        </patternFill>
      </fill>
    </dxf>
    <dxf>
      <font>
        <color theme="0"/>
      </font>
    </dxf>
    <dxf>
      <font>
        <color theme="0"/>
      </font>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fgColor theme="0"/>
          <bgColor theme="0"/>
        </patternFill>
      </fill>
    </dxf>
    <dxf>
      <font>
        <color rgb="FFFF000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dxf>
    <dxf>
      <font>
        <color rgb="FF9C5700"/>
      </font>
      <fill>
        <patternFill>
          <bgColor rgb="FFFFEB9C"/>
        </patternFill>
      </fill>
      <border>
        <left style="thin">
          <color theme="0" tint="-0.14996795556505021"/>
        </left>
        <right style="thin">
          <color theme="0" tint="-0.14996795556505021"/>
        </right>
        <top style="thin">
          <color theme="0" tint="-0.14996795556505021"/>
        </top>
        <bottom style="thin">
          <color theme="0" tint="-0.14996795556505021"/>
        </bottom>
      </border>
    </dxf>
  </dxfs>
  <tableStyles count="0" defaultTableStyle="TableStyleMedium2" defaultPivotStyle="PivotStyleLight16"/>
  <colors>
    <mruColors>
      <color rgb="FFFFC7CE"/>
      <color rgb="FFFCE4D6"/>
      <color rgb="FFEFBAC0"/>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581025</xdr:colOff>
      <xdr:row>13</xdr:row>
      <xdr:rowOff>28575</xdr:rowOff>
    </xdr:from>
    <xdr:to>
      <xdr:col>18</xdr:col>
      <xdr:colOff>550545</xdr:colOff>
      <xdr:row>14</xdr:row>
      <xdr:rowOff>57882</xdr:rowOff>
    </xdr:to>
    <xdr:pic>
      <xdr:nvPicPr>
        <xdr:cNvPr id="2" name="Picture 1">
          <a:extLst>
            <a:ext uri="{FF2B5EF4-FFF2-40B4-BE49-F238E27FC236}">
              <a16:creationId xmlns:a16="http://schemas.microsoft.com/office/drawing/2014/main" id="{71AC31EC-A3B8-4F25-B946-40AE45EED1EB}"/>
            </a:ext>
          </a:extLst>
        </xdr:cNvPr>
        <xdr:cNvPicPr>
          <a:picLocks noChangeAspect="1"/>
        </xdr:cNvPicPr>
      </xdr:nvPicPr>
      <xdr:blipFill>
        <a:blip xmlns:r="http://schemas.openxmlformats.org/officeDocument/2006/relationships" r:embed="rId1"/>
        <a:stretch>
          <a:fillRect/>
        </a:stretch>
      </xdr:blipFill>
      <xdr:spPr>
        <a:xfrm>
          <a:off x="6189345" y="2611755"/>
          <a:ext cx="6650355" cy="4807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Seloske" id="{4C56F39F-21B0-42D4-B3A7-5AA65911BEB8}" userId="S::bseloske@ics.idaho.gov::323a4393-0192-4f0a-bd81-77746bdb0b7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1-31T18:09:24.05" personId="{4C56F39F-21B0-42D4-B3A7-5AA65911BEB8}" id="{3E94F99E-BBF6-4BBB-8D7F-A9385964CBF8}">
    <text>For the formulas to match values correctly, BearLake, NezPerce, and TwinFalls counties cannot have spaces in their names.</text>
  </threadedComment>
  <threadedComment ref="C1" dT="2022-01-03T22:30:22.81" personId="{4C56F39F-21B0-42D4-B3A7-5AA65911BEB8}" id="{887874F3-6649-4294-83E8-26D277E7E1B8}">
    <text>For the L-2 to fill data correctly, this tab must remain sorted alphabetically by DistName.</text>
  </threadedComment>
  <threadedComment ref="C1" dT="2023-12-12T21:29:54.72" personId="{4C56F39F-21B0-42D4-B3A7-5AA65911BEB8}" id="{E5B10DD1-957E-4C59-AAB5-AB09CBF6A41D}" parentId="{887874F3-6649-4294-83E8-26D277E7E1B8}">
    <text>Highlighted counties MUST use this form. The other listed counties may use this form but it shouldn't be different from the "General" form.</text>
  </threadedComment>
  <threadedComment ref="G1" dT="2023-03-20T21:39:36.82" personId="{4C56F39F-21B0-42D4-B3A7-5AA65911BEB8}" id="{F003EF1D-C3F4-4A2D-808F-63C5302D5124}">
    <text>Updated to 2024 OP values on 1/3/2025</text>
  </threadedComment>
  <threadedComment ref="H1" dT="2023-03-20T21:36:21.79" personId="{4C56F39F-21B0-42D4-B3A7-5AA65911BEB8}" id="{E8401FBE-EC75-4DD5-A3AC-63305CF5B155}">
    <text>Updated to 2024 OP values on 1/3/2025</text>
  </threadedComment>
  <threadedComment ref="K1" dT="2023-03-20T21:57:40.59" personId="{4C56F39F-21B0-42D4-B3A7-5AA65911BEB8}" id="{C552397B-2BFE-48B5-888D-0FAFCBB5D609}">
    <text>Updated 3/20/23 with figures that include the R&amp;B</text>
  </threadedComment>
  <threadedComment ref="S1" dT="2025-01-03T20:17:20.76" personId="{4C56F39F-21B0-42D4-B3A7-5AA65911BEB8}" id="{CD6054E0-AF96-4E71-A433-C4BA9C57312C}">
    <text>We didn’t use this method in 2022</text>
  </threadedComment>
  <threadedComment ref="U1" dT="2025-01-03T20:18:01.77" personId="{4C56F39F-21B0-42D4-B3A7-5AA65911BEB8}" id="{7EB1B5C1-48CC-43F2-9337-4054738B594F}">
    <text>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ext>
  </threadedComment>
  <threadedComment ref="Y1" dT="2022-04-25T18:01:02.06" personId="{4C56F39F-21B0-42D4-B3A7-5AA65911BEB8}" id="{5DCE5089-F8CF-4D3B-A705-DF6872294F2C}">
    <text>2025 Forgone amounts updated - 1/3/2025</text>
  </threadedComment>
  <threadedComment ref="C12" dT="2022-07-22T17:09:55.54" personId="{4C56F39F-21B0-42D4-B3A7-5AA65911BEB8}" id="{BEBF6E3D-09CA-4694-A6E2-B25DF6FE817C}">
    <text>Hasn't levied for R&amp;B for over 3 yrs</text>
  </threadedComment>
  <threadedComment ref="C22" dT="2022-08-01T17:06:25.83" personId="{4C56F39F-21B0-42D4-B3A7-5AA65911BEB8}" id="{D48CB916-4521-4D0D-A290-2AB3BEDF063E}">
    <text>Did not levy for R&amp;B in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H12" dT="2022-05-13T21:45:23.54" personId="{4C56F39F-21B0-42D4-B3A7-5AA65911BEB8}" id="{50D2A384-A6A2-44C2-865B-69A641B7D144}">
    <text>Change this value if you would like to calculate a maximum using less than 3% base budget growth.
The default is set to 3% because that is the maximum value and the purpose of the form is to calculate the legal maximum.</text>
  </threadedComment>
  <threadedComment ref="B39" dT="2022-07-13T16:57:21.25" personId="{4C56F39F-21B0-42D4-B3A7-5AA65911BEB8}" id="{CA58D89E-B1D5-4B19-BA9B-9D399917ADC8}">
    <text>Once all the above boxes are completed, you can look at the L-2 Worksheet tab to review what the maximum property tax budget would be without using forgone amounts. This information can be used to guide your decision in this box.</text>
  </threadedComment>
  <threadedComment ref="H57" dT="2024-01-29T23:26:45.18" personId="{4C56F39F-21B0-42D4-B3A7-5AA65911BEB8}" id="{1E3FF760-EB62-42E4-97A1-F019FA214901}">
    <text>If forgone amounts have been recovered into the budget, then this figure will not equal the sum of the above percentages because forgone recovery percentages (1% &amp; 3%) are based on the budget after the initial increases have been allowed.</text>
  </threadedComment>
</ThreadedComments>
</file>

<file path=xl/threadedComments/threadedComment3.xml><?xml version="1.0" encoding="utf-8"?>
<ThreadedComments xmlns="http://schemas.microsoft.com/office/spreadsheetml/2018/threadedcomments" xmlns:x="http://schemas.openxmlformats.org/spreadsheetml/2006/main">
  <threadedComment ref="H48" dT="2021-09-09T16:36:47.40" personId="{4C56F39F-21B0-42D4-B3A7-5AA65911BEB8}" id="{690176EA-5F06-4F30-B8A6-206AB8A10730}">
    <text>This amount should be the sum of the growth from: 3%, new construction, annexations, and expiring urban renewal minus the amount of growth being taken.</text>
  </threadedComment>
  <threadedComment ref="H49" dT="2022-04-04T19:48:53.02" personId="{4C56F39F-21B0-42D4-B3A7-5AA65911BEB8}" id="{A4425859-192B-478C-A2AA-BFB58207FFC6}">
    <text>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ext>
  </threadedComment>
</ThreadedComments>
</file>

<file path=xl/threadedComments/threadedComment4.xml><?xml version="1.0" encoding="utf-8"?>
<ThreadedComments xmlns="http://schemas.microsoft.com/office/spreadsheetml/2018/threadedcomments" xmlns:x="http://schemas.openxmlformats.org/spreadsheetml/2006/main">
  <threadedComment ref="C11" dT="2025-05-09T21:48:18.42" personId="{4C56F39F-21B0-42D4-B3A7-5AA65911BEB8}" id="{D2BAE6D6-0F23-46D6-8ABB-B25CF97CA56D}">
    <text>This needs to include Operating Property Value from current year.</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974D-69B8-4542-AF22-0B3C5DB7196B}">
  <dimension ref="A1:AQ5"/>
  <sheetViews>
    <sheetView workbookViewId="0">
      <pane xSplit="2" ySplit="1" topLeftCell="C2" activePane="bottomRight" state="frozen"/>
      <selection pane="topRight" activeCell="B1" sqref="B1"/>
      <selection pane="bottomLeft" activeCell="A2" sqref="A2"/>
      <selection pane="bottomRight" activeCell="C2" sqref="C2"/>
    </sheetView>
  </sheetViews>
  <sheetFormatPr defaultRowHeight="15.75" x14ac:dyDescent="0.25"/>
  <cols>
    <col min="1" max="1" width="7.375" customWidth="1"/>
    <col min="2" max="2" width="30.125" customWidth="1"/>
    <col min="3" max="3" width="13.375" customWidth="1"/>
    <col min="4" max="5" width="27.875" bestFit="1" customWidth="1"/>
    <col min="6" max="6" width="31" customWidth="1"/>
    <col min="7" max="7" width="17.125" bestFit="1" customWidth="1"/>
    <col min="8" max="8" width="14.875" bestFit="1" customWidth="1"/>
    <col min="9" max="9" width="13.375" customWidth="1"/>
    <col min="10" max="10" width="23.75" customWidth="1"/>
    <col min="11" max="13" width="5" customWidth="1"/>
    <col min="14" max="14" width="12.875" customWidth="1"/>
    <col min="15" max="15" width="10.75" bestFit="1" customWidth="1"/>
    <col min="16" max="16" width="17.875" bestFit="1" customWidth="1"/>
    <col min="17" max="18" width="18.625" bestFit="1" customWidth="1"/>
    <col min="19" max="19" width="18.625" customWidth="1"/>
    <col min="20" max="20" width="23.75" bestFit="1" customWidth="1"/>
    <col min="21" max="21" width="17.625" bestFit="1" customWidth="1"/>
    <col min="25" max="25" width="23.375" bestFit="1" customWidth="1"/>
    <col min="26" max="26" width="25.5" customWidth="1"/>
    <col min="27" max="27" width="17.5" bestFit="1" customWidth="1"/>
    <col min="28" max="28" width="22.625" bestFit="1" customWidth="1"/>
    <col min="29" max="29" width="18.625" bestFit="1" customWidth="1"/>
    <col min="30" max="30" width="13.125" bestFit="1" customWidth="1"/>
    <col min="31" max="31" width="18" bestFit="1" customWidth="1"/>
    <col min="32" max="32" width="20.125" bestFit="1" customWidth="1"/>
    <col min="33" max="33" width="16.625" bestFit="1" customWidth="1"/>
    <col min="34" max="34" width="19.125" bestFit="1" customWidth="1"/>
    <col min="35" max="35" width="26.875" customWidth="1"/>
    <col min="36" max="36" width="11.5" customWidth="1"/>
    <col min="37" max="37" width="19.125" customWidth="1"/>
    <col min="38" max="38" width="15.125" bestFit="1" customWidth="1"/>
    <col min="39" max="39" width="17.25" customWidth="1"/>
    <col min="40" max="40" width="14.375" bestFit="1" customWidth="1"/>
    <col min="41" max="41" width="12.625" bestFit="1" customWidth="1"/>
    <col min="42" max="42" width="4.75" customWidth="1"/>
    <col min="43" max="43" width="20.75" customWidth="1"/>
  </cols>
  <sheetData>
    <row r="1" spans="1:43" s="112" customFormat="1" x14ac:dyDescent="0.25">
      <c r="A1" s="112" t="s">
        <v>36</v>
      </c>
      <c r="B1" s="112" t="s">
        <v>74</v>
      </c>
      <c r="C1" s="112" t="s">
        <v>321</v>
      </c>
      <c r="D1" s="112" t="s">
        <v>176</v>
      </c>
      <c r="E1" s="112" t="s">
        <v>258</v>
      </c>
      <c r="F1" s="112" t="s">
        <v>259</v>
      </c>
      <c r="G1" s="112" t="s">
        <v>142</v>
      </c>
      <c r="H1" s="112" t="s">
        <v>126</v>
      </c>
      <c r="I1" s="112" t="s">
        <v>143</v>
      </c>
      <c r="J1" s="112" t="s">
        <v>132</v>
      </c>
      <c r="N1" s="112" t="s">
        <v>272</v>
      </c>
      <c r="O1" s="112" t="s">
        <v>133</v>
      </c>
      <c r="P1" s="112" t="s">
        <v>134</v>
      </c>
      <c r="Q1" s="112" t="s">
        <v>309</v>
      </c>
      <c r="R1" s="112" t="s">
        <v>310</v>
      </c>
      <c r="S1" s="112" t="s">
        <v>312</v>
      </c>
      <c r="T1" s="112" t="s">
        <v>311</v>
      </c>
      <c r="U1" s="112" t="s">
        <v>127</v>
      </c>
      <c r="V1" s="112" t="s">
        <v>128</v>
      </c>
      <c r="W1" s="112" t="s">
        <v>273</v>
      </c>
      <c r="X1" s="112" t="s">
        <v>129</v>
      </c>
      <c r="Y1" s="112" t="s">
        <v>130</v>
      </c>
      <c r="Z1" s="112" t="s">
        <v>131</v>
      </c>
      <c r="AA1" s="112" t="s">
        <v>135</v>
      </c>
      <c r="AB1" s="112" t="s">
        <v>136</v>
      </c>
      <c r="AC1" s="112" t="s">
        <v>137</v>
      </c>
      <c r="AD1" s="112" t="s">
        <v>138</v>
      </c>
      <c r="AE1" s="112" t="s">
        <v>139</v>
      </c>
      <c r="AF1" s="112" t="str">
        <f>LEFT('1. Dashboard'!B8,4)&amp;"RecoveredForgone"</f>
        <v>2025RecoveredForgone</v>
      </c>
      <c r="AG1" s="112" t="str">
        <f>LEFT('1. Dashboard'!B8,4)&amp;"ActualForgone"</f>
        <v>2025ActualForgone</v>
      </c>
      <c r="AH1" s="112" t="str">
        <f>LEFT('1. Dashboard'!B8,4)&amp;"ReservedForgone"</f>
        <v>2025ReservedForgone</v>
      </c>
      <c r="AI1" s="112" t="s">
        <v>147</v>
      </c>
      <c r="AJ1" s="112" t="s">
        <v>148</v>
      </c>
      <c r="AK1" s="112" t="s">
        <v>149</v>
      </c>
      <c r="AL1" s="112" t="s">
        <v>319</v>
      </c>
      <c r="AM1" s="112" t="s">
        <v>150</v>
      </c>
      <c r="AN1" s="112" t="s">
        <v>151</v>
      </c>
      <c r="AO1" s="112" t="s">
        <v>152</v>
      </c>
      <c r="AP1" s="112" t="s">
        <v>274</v>
      </c>
      <c r="AQ1" s="112" t="s">
        <v>275</v>
      </c>
    </row>
    <row r="2" spans="1:43" s="71" customFormat="1" x14ac:dyDescent="0.25">
      <c r="B2" s="71">
        <f>DistrictName</f>
        <v>0</v>
      </c>
      <c r="C2" s="71" t="e">
        <f>INDEX(DataDump!E2:E25,MATCH(DistrictName,DataDump!C2:C25,0))</f>
        <v>#N/A</v>
      </c>
      <c r="D2" s="71">
        <f>'2. L-2 Worksheet'!G29</f>
        <v>0</v>
      </c>
      <c r="E2" s="136" t="b">
        <f>IF(MAX('2. L-2 Worksheet'!E13:I13)='2. L-2 Worksheet'!I13,LEFT('2. L-2 Worksheet'!B17,4)-1,
 IF(MAX('2. L-2 Worksheet'!E13:I13)='2. L-2 Worksheet'!G13,LEFT('2. L-2 Worksheet'!B17,4)-2,
 IF(MAX('2. L-2 Worksheet'!E13:I13)='2. L-2 Worksheet'!E13,LEFT('2. L-2 Worksheet'!B17,4)-3)))</f>
        <v>0</v>
      </c>
      <c r="F2" s="71" t="e">
        <f>'2. L-2 Worksheet'!I20-'2. L-2 Worksheet'!I21</f>
        <v>#VALUE!</v>
      </c>
      <c r="G2" s="71" t="str">
        <f>'2. L-2 Worksheet'!I22</f>
        <v/>
      </c>
      <c r="H2" s="71">
        <f>'2. L-2 Worksheet'!G32</f>
        <v>0</v>
      </c>
      <c r="I2" s="113" t="str">
        <f>'2. L-2 Worksheet'!G35</f>
        <v/>
      </c>
      <c r="J2" s="71" t="str">
        <f>'2. L-2 Worksheet'!G37</f>
        <v/>
      </c>
      <c r="K2" s="71">
        <v>0</v>
      </c>
      <c r="L2" s="71">
        <v>0</v>
      </c>
      <c r="M2" s="71">
        <v>0</v>
      </c>
      <c r="N2" s="71" t="str">
        <f>'2. L-2 Worksheet'!G53</f>
        <v/>
      </c>
      <c r="O2" s="71" t="str">
        <f>IF(DistrictName&lt;&gt;0,IF('2. L-2 Worksheet'!$G$53&lt;'2. L-2 Worksheet'!$G$52,"Yes","No"),"")</f>
        <v/>
      </c>
      <c r="P2" s="71">
        <f>IF(O2="Yes",'2. L-2 Worksheet'!G52-'2. L-2 Worksheet'!G53,0)</f>
        <v>0</v>
      </c>
      <c r="Q2" s="71">
        <f>'2. L-2 Worksheet'!G41</f>
        <v>0</v>
      </c>
      <c r="R2" s="71">
        <f>'2. L-2 Worksheet'!G42</f>
        <v>0</v>
      </c>
      <c r="S2" s="71" t="str">
        <f>'2. L-2 Worksheet'!G49</f>
        <v/>
      </c>
      <c r="T2" s="71" t="str">
        <f>'2. L-2 Worksheet'!G47</f>
        <v/>
      </c>
      <c r="U2" s="71">
        <f>'2. L-2 Worksheet'!G70</f>
        <v>0</v>
      </c>
      <c r="V2" s="71">
        <f>'2. L-2 Worksheet'!G65</f>
        <v>0</v>
      </c>
      <c r="W2" s="71">
        <f>'2. L-2 Worksheet'!G66</f>
        <v>0</v>
      </c>
      <c r="X2" s="71">
        <f>'2. L-2 Worksheet'!G69</f>
        <v>0</v>
      </c>
      <c r="Y2" s="71">
        <f>'2. L-2 Worksheet'!G57</f>
        <v>0</v>
      </c>
      <c r="Z2" s="71">
        <f>'2. L-2 Worksheet'!G58</f>
        <v>0</v>
      </c>
      <c r="AA2" s="71" t="str">
        <f>'2. L-2 Worksheet'!I73</f>
        <v/>
      </c>
      <c r="AB2" s="71">
        <f>SUM('3. L-2 Dollar Certification'!H9:H26)</f>
        <v>0</v>
      </c>
      <c r="AC2" s="71">
        <f>'3. L-2 Dollar Certification'!H45</f>
        <v>0</v>
      </c>
      <c r="AD2" s="71">
        <f>'3. L-2 Dollar Certification'!F46</f>
        <v>0</v>
      </c>
      <c r="AE2" s="71">
        <f>'3. L-2 Dollar Certification'!G46</f>
        <v>0</v>
      </c>
      <c r="AF2" s="71">
        <f>'3. L-2 Dollar Certification'!H50</f>
        <v>0</v>
      </c>
      <c r="AG2" s="71" t="str">
        <f>'3. L-2 Dollar Certification'!H48</f>
        <v/>
      </c>
      <c r="AH2" s="71">
        <f>'3. L-2 Dollar Certification'!H49</f>
        <v>0</v>
      </c>
      <c r="AI2" s="71">
        <f>'4. Levy Rate Calculation'!C15</f>
        <v>0</v>
      </c>
      <c r="AJ2" s="71">
        <f>'4. Levy Rate Calculation'!D15</f>
        <v>0</v>
      </c>
      <c r="AK2" s="71">
        <f>'4. Levy Rate Calculation'!E15</f>
        <v>0</v>
      </c>
      <c r="AL2" s="71" t="str">
        <f>IF(SUM('4. Levy Rate Calculation'!D20:E40,'4. Levy Rate Calculation'!D43:E52)&lt;&gt;0,"YES","NO")</f>
        <v>NO</v>
      </c>
      <c r="AM2" s="113">
        <f>'4. Levy Rate Calculation'!F41-(SUM('4. Levy Rate Calculation'!F38:F40))</f>
        <v>0</v>
      </c>
      <c r="AN2" s="113">
        <f>'4. Levy Rate Calculation'!F53</f>
        <v>0</v>
      </c>
      <c r="AO2" s="113">
        <f>'4. Levy Rate Calculation'!F41+'4. Levy Rate Calculation'!F53-(SUM('4. Levy Rate Calculation'!F38:F40))</f>
        <v>0</v>
      </c>
      <c r="AP2" s="71">
        <v>0</v>
      </c>
      <c r="AQ2" s="71">
        <f>SUM('3. L-2 Dollar Certification'!$H$9:$H$26,'2. L-2 Worksheet'!I67)</f>
        <v>0</v>
      </c>
    </row>
    <row r="3" spans="1:43" x14ac:dyDescent="0.25">
      <c r="B3" s="71">
        <f>IF(DistrictName&lt;&gt;0,B2&amp;" Road &amp; Bridge",B2)</f>
        <v>0</v>
      </c>
      <c r="C3" s="71" t="e">
        <f>INDEX(DataDump!F2:F25,MATCH(DistrictName,DataDump!C2:C25,0))</f>
        <v>#N/A</v>
      </c>
      <c r="D3" s="71">
        <f>'2. L-2 Worksheet'!G30</f>
        <v>0</v>
      </c>
      <c r="E3" s="136" t="b">
        <f>E2</f>
        <v>0</v>
      </c>
      <c r="F3" s="71" t="str">
        <f>'2. L-2 Worksheet'!I21</f>
        <v/>
      </c>
      <c r="G3" s="71" t="str">
        <f>'2. L-2 Worksheet'!I23</f>
        <v/>
      </c>
      <c r="H3" s="71">
        <f>'2. L-2 Worksheet'!G33</f>
        <v>0</v>
      </c>
      <c r="I3" s="113" t="str">
        <f>'2. L-2 Worksheet'!G36</f>
        <v/>
      </c>
      <c r="J3" s="71" t="str">
        <f>'2. L-2 Worksheet'!G38</f>
        <v/>
      </c>
      <c r="K3" s="71">
        <v>0</v>
      </c>
      <c r="L3" s="71">
        <v>0</v>
      </c>
      <c r="M3" s="71">
        <v>0</v>
      </c>
      <c r="N3" s="71">
        <v>0</v>
      </c>
      <c r="O3" s="71" t="str">
        <f>O2</f>
        <v/>
      </c>
      <c r="P3" s="71">
        <v>0</v>
      </c>
      <c r="Q3" s="71">
        <f>'2. L-2 Worksheet'!G43</f>
        <v>0</v>
      </c>
      <c r="R3" s="71">
        <f>'2. L-2 Worksheet'!G44</f>
        <v>0</v>
      </c>
      <c r="S3" s="71">
        <v>0</v>
      </c>
      <c r="T3" s="71" t="str">
        <f>'2. L-2 Worksheet'!G48</f>
        <v/>
      </c>
      <c r="U3" s="71">
        <v>0</v>
      </c>
      <c r="V3" s="71">
        <v>0</v>
      </c>
      <c r="W3" s="71">
        <v>0</v>
      </c>
      <c r="X3" s="71">
        <v>0</v>
      </c>
      <c r="Y3" s="71">
        <v>0</v>
      </c>
      <c r="Z3" s="71">
        <v>0</v>
      </c>
      <c r="AA3" s="71">
        <v>0</v>
      </c>
      <c r="AB3" s="71">
        <f>SUM('3. L-2 Dollar Certification'!H27:H29)</f>
        <v>0</v>
      </c>
      <c r="AC3" s="71">
        <v>0</v>
      </c>
      <c r="AD3" s="71">
        <v>0</v>
      </c>
      <c r="AE3" s="71">
        <v>0</v>
      </c>
      <c r="AF3" s="71">
        <v>0</v>
      </c>
      <c r="AG3" s="71">
        <v>0</v>
      </c>
      <c r="AH3" s="71">
        <v>0</v>
      </c>
      <c r="AI3" s="71">
        <f>'4. Levy Rate Calculation'!C16</f>
        <v>0</v>
      </c>
      <c r="AJ3" s="71">
        <f>'4. Levy Rate Calculation'!D16</f>
        <v>0</v>
      </c>
      <c r="AK3" s="71">
        <f>'4. Levy Rate Calculation'!E16</f>
        <v>0</v>
      </c>
      <c r="AL3" s="71" t="str">
        <f>AL2</f>
        <v>NO</v>
      </c>
      <c r="AM3" s="113">
        <f>SUM('4. Levy Rate Calculation'!F38:F40)</f>
        <v>0</v>
      </c>
      <c r="AN3" s="113">
        <v>0</v>
      </c>
      <c r="AO3" s="113">
        <f>SUM('4. Levy Rate Calculation'!F38:F40)</f>
        <v>0</v>
      </c>
      <c r="AP3" s="71">
        <v>0</v>
      </c>
      <c r="AQ3" s="71">
        <f>SUM('3. L-2 Dollar Certification'!$H$27:$H$29)</f>
        <v>0</v>
      </c>
    </row>
    <row r="4" spans="1:43" x14ac:dyDescent="0.25">
      <c r="F4" s="71"/>
      <c r="AM4" s="113"/>
      <c r="AN4" s="113"/>
      <c r="AO4" s="113"/>
    </row>
    <row r="5" spans="1:43" x14ac:dyDescent="0.25">
      <c r="AM5" s="113"/>
      <c r="AN5" s="113"/>
      <c r="AO5" s="113"/>
    </row>
  </sheetData>
  <sheetProtection algorithmName="SHA-512" hashValue="0svAhApJrO1a6fmRYaNBz2/FkmF+lkbHGE0R4s08+amlVo2cJXxES2KujDtnKesANfu6R6b/PwI0WC2u8QS2nw==" saltValue="WKbOpUJI6Sj3/BiHRnu8r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9A29-5E5E-43AB-BCF2-5F746508E22C}">
  <sheetPr codeName="Sheet6"/>
  <dimension ref="A1:AG25"/>
  <sheetViews>
    <sheetView topLeftCell="C1" zoomScale="90" zoomScaleNormal="90" workbookViewId="0">
      <pane xSplit="1" ySplit="1" topLeftCell="D2" activePane="bottomRight" state="frozen"/>
      <selection activeCell="C1" sqref="C1"/>
      <selection pane="topRight" activeCell="D1" sqref="D1"/>
      <selection pane="bottomLeft" activeCell="C2" sqref="C2"/>
      <selection pane="bottomRight" activeCell="D2" sqref="D2"/>
    </sheetView>
  </sheetViews>
  <sheetFormatPr defaultRowHeight="15.75" x14ac:dyDescent="0.25"/>
  <cols>
    <col min="1" max="1" width="12.5" hidden="1" customWidth="1"/>
    <col min="2" max="2" width="21.875" hidden="1" customWidth="1"/>
    <col min="3" max="3" width="18.875" customWidth="1"/>
    <col min="4" max="4" width="19" customWidth="1"/>
    <col min="5" max="5" width="13.75" bestFit="1" customWidth="1"/>
    <col min="6" max="6" width="17.75" customWidth="1"/>
    <col min="7" max="7" width="27.5" bestFit="1" customWidth="1"/>
    <col min="8" max="8" width="32.75" customWidth="1"/>
    <col min="9" max="9" width="16.125" customWidth="1"/>
    <col min="10" max="11" width="19" customWidth="1"/>
    <col min="12" max="12" width="26.625" customWidth="1"/>
    <col min="13" max="15" width="12.75" customWidth="1"/>
    <col min="16" max="18" width="11.875" customWidth="1"/>
    <col min="19" max="21" width="19.875" customWidth="1"/>
    <col min="22" max="24" width="18" customWidth="1"/>
    <col min="25" max="25" width="13.25" style="71" bestFit="1" customWidth="1"/>
    <col min="26" max="28" width="27.375" style="71" customWidth="1"/>
    <col min="29" max="31" width="30.875" style="71" customWidth="1"/>
    <col min="33" max="33" width="10.875" style="135" customWidth="1"/>
  </cols>
  <sheetData>
    <row r="1" spans="1:33" x14ac:dyDescent="0.25">
      <c r="A1" s="71" t="s">
        <v>97</v>
      </c>
      <c r="B1" s="71" t="s">
        <v>98</v>
      </c>
      <c r="C1" s="71" t="s">
        <v>74</v>
      </c>
      <c r="D1" s="155" t="s">
        <v>373</v>
      </c>
      <c r="E1" s="111" t="s">
        <v>321</v>
      </c>
      <c r="F1" s="111" t="s">
        <v>322</v>
      </c>
      <c r="G1" s="71" t="s">
        <v>177</v>
      </c>
      <c r="H1" s="71" t="s">
        <v>178</v>
      </c>
      <c r="I1" s="71" t="s">
        <v>99</v>
      </c>
      <c r="J1" s="71" t="s">
        <v>140</v>
      </c>
      <c r="K1" s="71" t="s">
        <v>141</v>
      </c>
      <c r="L1" s="135" t="s">
        <v>236</v>
      </c>
      <c r="M1" s="71" t="s">
        <v>237</v>
      </c>
      <c r="N1" s="71" t="s">
        <v>238</v>
      </c>
      <c r="O1" s="71" t="s">
        <v>239</v>
      </c>
      <c r="P1" s="71" t="s">
        <v>180</v>
      </c>
      <c r="Q1" s="71" t="s">
        <v>165</v>
      </c>
      <c r="R1" s="71" t="s">
        <v>181</v>
      </c>
      <c r="S1" s="71" t="s">
        <v>243</v>
      </c>
      <c r="T1" s="71" t="s">
        <v>244</v>
      </c>
      <c r="U1" s="71" t="s">
        <v>245</v>
      </c>
      <c r="V1" s="71" t="s">
        <v>240</v>
      </c>
      <c r="W1" s="71" t="s">
        <v>241</v>
      </c>
      <c r="X1" s="71" t="s">
        <v>242</v>
      </c>
      <c r="Y1" s="71" t="s">
        <v>179</v>
      </c>
      <c r="Z1" s="71" t="s">
        <v>229</v>
      </c>
      <c r="AA1" s="71" t="s">
        <v>230</v>
      </c>
      <c r="AB1" s="71" t="s">
        <v>231</v>
      </c>
      <c r="AC1" s="71" t="s">
        <v>232</v>
      </c>
      <c r="AD1" s="71" t="s">
        <v>233</v>
      </c>
      <c r="AE1" s="71" t="s">
        <v>234</v>
      </c>
      <c r="AG1" s="135" t="s">
        <v>295</v>
      </c>
    </row>
    <row r="2" spans="1:33" x14ac:dyDescent="0.25">
      <c r="A2" s="71" t="s">
        <v>75</v>
      </c>
      <c r="B2" s="71" t="s">
        <v>36</v>
      </c>
      <c r="C2" s="106" t="s">
        <v>52</v>
      </c>
      <c r="D2" s="106">
        <v>1</v>
      </c>
      <c r="E2" s="111" t="s">
        <v>323</v>
      </c>
      <c r="F2" s="111" t="s">
        <v>324</v>
      </c>
      <c r="G2" s="71">
        <v>534314729</v>
      </c>
      <c r="H2" s="71">
        <v>418706020</v>
      </c>
      <c r="I2" s="71">
        <v>66253</v>
      </c>
      <c r="J2" s="71">
        <v>267568</v>
      </c>
      <c r="K2" s="71">
        <v>88984</v>
      </c>
      <c r="L2" s="71">
        <v>86393</v>
      </c>
      <c r="M2" s="71">
        <v>0</v>
      </c>
      <c r="N2" s="71">
        <v>0</v>
      </c>
      <c r="O2" s="71">
        <v>0</v>
      </c>
      <c r="P2" s="71">
        <v>0</v>
      </c>
      <c r="Q2" s="71">
        <v>0</v>
      </c>
      <c r="R2" s="71">
        <v>0</v>
      </c>
      <c r="S2" s="71">
        <v>0</v>
      </c>
      <c r="T2" s="71">
        <v>0</v>
      </c>
      <c r="U2" s="71">
        <v>0</v>
      </c>
      <c r="V2" s="71">
        <v>0</v>
      </c>
      <c r="W2" s="71">
        <v>0</v>
      </c>
      <c r="X2" s="71">
        <v>0</v>
      </c>
      <c r="Y2" s="71">
        <v>3112141</v>
      </c>
      <c r="Z2" s="71">
        <v>26818296</v>
      </c>
      <c r="AA2" s="71">
        <v>26618178</v>
      </c>
      <c r="AB2" s="71">
        <v>27629033</v>
      </c>
      <c r="AC2" s="71">
        <v>2516329</v>
      </c>
      <c r="AD2" s="71">
        <v>2557709</v>
      </c>
      <c r="AE2" s="71">
        <v>2299242</v>
      </c>
      <c r="AG2" s="135">
        <f>46862+4742</f>
        <v>51604</v>
      </c>
    </row>
    <row r="3" spans="1:33" x14ac:dyDescent="0.25">
      <c r="A3" s="71" t="s">
        <v>96</v>
      </c>
      <c r="B3" s="71" t="s">
        <v>36</v>
      </c>
      <c r="C3" s="71" t="s">
        <v>53</v>
      </c>
      <c r="D3" s="71" t="s">
        <v>166</v>
      </c>
      <c r="E3" s="111" t="s">
        <v>325</v>
      </c>
      <c r="F3" s="111" t="s">
        <v>326</v>
      </c>
      <c r="G3" s="71">
        <v>191238537</v>
      </c>
      <c r="H3" s="71">
        <v>191238537</v>
      </c>
      <c r="I3" s="71">
        <v>30856</v>
      </c>
      <c r="J3" s="71">
        <v>25165</v>
      </c>
      <c r="K3" s="71">
        <v>8974</v>
      </c>
      <c r="L3" s="71">
        <v>8835</v>
      </c>
      <c r="M3" s="71">
        <v>0</v>
      </c>
      <c r="N3" s="71">
        <v>0</v>
      </c>
      <c r="O3" s="71">
        <v>0</v>
      </c>
      <c r="P3" s="71">
        <v>0</v>
      </c>
      <c r="Q3" s="71">
        <v>0</v>
      </c>
      <c r="R3" s="71">
        <v>0</v>
      </c>
      <c r="S3" s="71">
        <v>0</v>
      </c>
      <c r="T3" s="71">
        <v>0</v>
      </c>
      <c r="U3" s="71">
        <v>0</v>
      </c>
      <c r="V3" s="71">
        <v>0</v>
      </c>
      <c r="W3" s="71">
        <v>0</v>
      </c>
      <c r="X3" s="71">
        <v>0</v>
      </c>
      <c r="Y3" s="71">
        <v>0</v>
      </c>
      <c r="Z3" s="71">
        <v>3288778</v>
      </c>
      <c r="AA3" s="71">
        <v>3380804</v>
      </c>
      <c r="AB3" s="71">
        <v>3317172</v>
      </c>
      <c r="AC3" s="71">
        <v>647863</v>
      </c>
      <c r="AD3" s="71">
        <v>708265</v>
      </c>
      <c r="AE3" s="71">
        <v>994015</v>
      </c>
    </row>
    <row r="4" spans="1:33" x14ac:dyDescent="0.25">
      <c r="A4" s="71" t="s">
        <v>76</v>
      </c>
      <c r="B4" s="71" t="s">
        <v>36</v>
      </c>
      <c r="C4" s="106" t="s">
        <v>54</v>
      </c>
      <c r="D4" s="106">
        <v>1</v>
      </c>
      <c r="E4" s="111" t="s">
        <v>327</v>
      </c>
      <c r="F4" s="111" t="s">
        <v>328</v>
      </c>
      <c r="G4" s="71">
        <v>31807533</v>
      </c>
      <c r="H4" s="71">
        <v>20022459</v>
      </c>
      <c r="I4" s="71">
        <v>30958</v>
      </c>
      <c r="J4" s="71">
        <v>64059</v>
      </c>
      <c r="K4" s="71">
        <v>11009</v>
      </c>
      <c r="L4" s="71">
        <v>10601</v>
      </c>
      <c r="M4" s="71">
        <v>0</v>
      </c>
      <c r="N4" s="71">
        <v>0</v>
      </c>
      <c r="O4" s="71">
        <v>0</v>
      </c>
      <c r="P4" s="71">
        <v>0</v>
      </c>
      <c r="Q4" s="71">
        <v>0</v>
      </c>
      <c r="R4" s="71">
        <v>0</v>
      </c>
      <c r="S4" s="71">
        <v>0</v>
      </c>
      <c r="T4" s="71">
        <v>0</v>
      </c>
      <c r="U4" s="71">
        <v>0</v>
      </c>
      <c r="V4" s="71">
        <v>0</v>
      </c>
      <c r="W4" s="71">
        <v>0</v>
      </c>
      <c r="X4" s="71">
        <v>0</v>
      </c>
      <c r="Y4" s="71">
        <v>0</v>
      </c>
      <c r="Z4" s="71">
        <v>3571593</v>
      </c>
      <c r="AA4" s="71">
        <v>3890021</v>
      </c>
      <c r="AB4" s="71">
        <v>4482146</v>
      </c>
      <c r="AC4" s="71">
        <v>930970</v>
      </c>
      <c r="AD4" s="71">
        <v>669200</v>
      </c>
      <c r="AE4" s="71">
        <v>311000</v>
      </c>
    </row>
    <row r="5" spans="1:33" x14ac:dyDescent="0.25">
      <c r="A5" s="71" t="s">
        <v>77</v>
      </c>
      <c r="B5" s="71" t="s">
        <v>36</v>
      </c>
      <c r="C5" s="71" t="s">
        <v>55</v>
      </c>
      <c r="D5" s="71" t="s">
        <v>166</v>
      </c>
      <c r="E5" s="111" t="s">
        <v>329</v>
      </c>
      <c r="F5" s="111" t="s">
        <v>330</v>
      </c>
      <c r="G5" s="71">
        <v>199712537</v>
      </c>
      <c r="H5" s="71">
        <v>199712537</v>
      </c>
      <c r="I5" s="71">
        <v>413387</v>
      </c>
      <c r="J5" s="71">
        <v>149458</v>
      </c>
      <c r="K5" s="71">
        <v>43818</v>
      </c>
      <c r="L5" s="71">
        <v>43602</v>
      </c>
      <c r="M5" s="71">
        <v>0</v>
      </c>
      <c r="N5" s="71">
        <v>0</v>
      </c>
      <c r="O5" s="71">
        <v>0</v>
      </c>
      <c r="P5" s="71">
        <v>0</v>
      </c>
      <c r="Q5" s="71">
        <v>0</v>
      </c>
      <c r="R5" s="71">
        <v>0</v>
      </c>
      <c r="S5" s="71">
        <v>0</v>
      </c>
      <c r="T5" s="71">
        <v>0</v>
      </c>
      <c r="U5" s="71">
        <v>0</v>
      </c>
      <c r="V5" s="71">
        <v>0</v>
      </c>
      <c r="W5" s="71">
        <v>0</v>
      </c>
      <c r="X5" s="71">
        <v>0</v>
      </c>
      <c r="Y5" s="71">
        <v>2649210</v>
      </c>
      <c r="Z5" s="71">
        <v>12629173</v>
      </c>
      <c r="AA5" s="71">
        <v>13283620</v>
      </c>
      <c r="AB5" s="71">
        <v>14189719</v>
      </c>
      <c r="AC5" s="71">
        <v>792296</v>
      </c>
      <c r="AD5" s="71">
        <v>611394</v>
      </c>
      <c r="AE5" s="71">
        <v>420500</v>
      </c>
    </row>
    <row r="6" spans="1:33" x14ac:dyDescent="0.25">
      <c r="A6" s="71" t="s">
        <v>78</v>
      </c>
      <c r="B6" s="71" t="s">
        <v>36</v>
      </c>
      <c r="C6" s="71" t="s">
        <v>56</v>
      </c>
      <c r="D6" s="71" t="s">
        <v>166</v>
      </c>
      <c r="E6" s="111" t="s">
        <v>331</v>
      </c>
      <c r="F6" s="111" t="s">
        <v>332</v>
      </c>
      <c r="G6" s="71">
        <v>26476367</v>
      </c>
      <c r="H6" s="71">
        <v>26476367</v>
      </c>
      <c r="I6" s="71">
        <v>2528</v>
      </c>
      <c r="J6" s="71">
        <v>49641</v>
      </c>
      <c r="K6" s="71">
        <v>4823</v>
      </c>
      <c r="L6" s="71">
        <v>4823</v>
      </c>
      <c r="M6" s="71">
        <v>0</v>
      </c>
      <c r="N6" s="71">
        <v>0</v>
      </c>
      <c r="O6" s="71">
        <v>0</v>
      </c>
      <c r="P6" s="71">
        <v>0</v>
      </c>
      <c r="Q6" s="71">
        <v>0</v>
      </c>
      <c r="R6" s="71">
        <v>0</v>
      </c>
      <c r="S6" s="71">
        <v>0</v>
      </c>
      <c r="T6" s="71">
        <v>0</v>
      </c>
      <c r="U6" s="71">
        <v>0</v>
      </c>
      <c r="V6" s="71">
        <v>0</v>
      </c>
      <c r="W6" s="71">
        <v>0</v>
      </c>
      <c r="X6" s="71">
        <v>0</v>
      </c>
      <c r="Y6" s="71">
        <v>0</v>
      </c>
      <c r="Z6" s="71">
        <v>5456555</v>
      </c>
      <c r="AA6" s="71">
        <v>5594420</v>
      </c>
      <c r="AB6" s="71">
        <v>5928553</v>
      </c>
      <c r="AC6" s="71">
        <v>0</v>
      </c>
      <c r="AD6" s="71">
        <v>0</v>
      </c>
      <c r="AE6" s="71">
        <v>0</v>
      </c>
    </row>
    <row r="7" spans="1:33" x14ac:dyDescent="0.25">
      <c r="A7" s="71" t="s">
        <v>79</v>
      </c>
      <c r="B7" s="71" t="s">
        <v>36</v>
      </c>
      <c r="C7" s="106" t="s">
        <v>57</v>
      </c>
      <c r="D7" s="106">
        <v>1</v>
      </c>
      <c r="E7" s="111" t="s">
        <v>333</v>
      </c>
      <c r="F7" s="111" t="s">
        <v>334</v>
      </c>
      <c r="G7" s="71">
        <v>465746779</v>
      </c>
      <c r="H7" s="71">
        <v>425373518</v>
      </c>
      <c r="I7" s="71">
        <v>35223</v>
      </c>
      <c r="J7" s="71">
        <v>213786</v>
      </c>
      <c r="K7" s="71">
        <v>41099</v>
      </c>
      <c r="L7" s="71">
        <v>40556</v>
      </c>
      <c r="M7" s="71">
        <v>4013</v>
      </c>
      <c r="N7" s="71">
        <v>5186</v>
      </c>
      <c r="O7" s="71">
        <v>5197</v>
      </c>
      <c r="P7" s="71">
        <v>0</v>
      </c>
      <c r="Q7" s="71">
        <v>0</v>
      </c>
      <c r="R7" s="71">
        <v>0</v>
      </c>
      <c r="S7" s="71">
        <v>0</v>
      </c>
      <c r="T7" s="71">
        <v>0</v>
      </c>
      <c r="U7" s="71">
        <v>0</v>
      </c>
      <c r="V7" s="71">
        <v>0</v>
      </c>
      <c r="W7" s="71">
        <v>0</v>
      </c>
      <c r="X7" s="71">
        <v>0</v>
      </c>
      <c r="Y7" s="71">
        <v>24181</v>
      </c>
      <c r="Z7" s="71">
        <v>26370764</v>
      </c>
      <c r="AA7" s="71">
        <v>27394841</v>
      </c>
      <c r="AB7" s="71">
        <v>28714154</v>
      </c>
      <c r="AC7" s="71">
        <v>5822314</v>
      </c>
      <c r="AD7" s="71">
        <v>6312133</v>
      </c>
      <c r="AE7" s="71">
        <v>6734158</v>
      </c>
    </row>
    <row r="8" spans="1:33" x14ac:dyDescent="0.25">
      <c r="A8" s="71" t="s">
        <v>80</v>
      </c>
      <c r="B8" s="71" t="s">
        <v>36</v>
      </c>
      <c r="C8" s="71" t="s">
        <v>58</v>
      </c>
      <c r="D8" s="71" t="s">
        <v>166</v>
      </c>
      <c r="E8" s="111" t="s">
        <v>335</v>
      </c>
      <c r="F8" s="111" t="s">
        <v>336</v>
      </c>
      <c r="G8" s="71">
        <v>130027263</v>
      </c>
      <c r="H8" s="71">
        <v>130027263</v>
      </c>
      <c r="I8" s="71">
        <v>191843</v>
      </c>
      <c r="J8" s="71">
        <v>337284</v>
      </c>
      <c r="K8" s="71">
        <v>116573</v>
      </c>
      <c r="L8" s="71">
        <v>116573</v>
      </c>
      <c r="M8" s="71">
        <v>5723</v>
      </c>
      <c r="N8" s="71">
        <v>10717</v>
      </c>
      <c r="O8" s="71">
        <v>659</v>
      </c>
      <c r="P8" s="71">
        <v>0</v>
      </c>
      <c r="Q8" s="71">
        <v>0</v>
      </c>
      <c r="R8" s="71">
        <v>0</v>
      </c>
      <c r="S8" s="71">
        <v>0</v>
      </c>
      <c r="T8" s="71">
        <v>0</v>
      </c>
      <c r="U8" s="71">
        <v>0</v>
      </c>
      <c r="V8" s="71">
        <v>0</v>
      </c>
      <c r="W8" s="71">
        <v>0</v>
      </c>
      <c r="X8" s="71">
        <v>0</v>
      </c>
      <c r="Y8" s="71">
        <v>4141817</v>
      </c>
      <c r="Z8" s="71">
        <v>37013908</v>
      </c>
      <c r="AA8" s="71">
        <v>39116031</v>
      </c>
      <c r="AB8" s="71">
        <v>41183077</v>
      </c>
      <c r="AC8" s="71">
        <v>700000</v>
      </c>
      <c r="AD8" s="71">
        <v>600000</v>
      </c>
      <c r="AE8" s="71">
        <v>625000</v>
      </c>
      <c r="AG8" s="135">
        <v>51</v>
      </c>
    </row>
    <row r="9" spans="1:33" x14ac:dyDescent="0.25">
      <c r="A9" s="71" t="s">
        <v>81</v>
      </c>
      <c r="B9" s="71" t="s">
        <v>36</v>
      </c>
      <c r="C9" s="71" t="s">
        <v>59</v>
      </c>
      <c r="D9" s="71" t="s">
        <v>166</v>
      </c>
      <c r="E9" s="111" t="s">
        <v>337</v>
      </c>
      <c r="F9" s="111" t="s">
        <v>338</v>
      </c>
      <c r="G9" s="71">
        <v>229867040</v>
      </c>
      <c r="H9" s="71">
        <v>229867040</v>
      </c>
      <c r="I9" s="71">
        <v>48772</v>
      </c>
      <c r="J9" s="71">
        <v>76880</v>
      </c>
      <c r="K9" s="71">
        <v>16596</v>
      </c>
      <c r="L9" s="71">
        <v>16596</v>
      </c>
      <c r="M9" s="71">
        <v>0</v>
      </c>
      <c r="N9" s="71">
        <v>0</v>
      </c>
      <c r="O9" s="71">
        <v>0</v>
      </c>
      <c r="P9" s="71">
        <v>0</v>
      </c>
      <c r="Q9" s="71">
        <v>0</v>
      </c>
      <c r="R9" s="71">
        <v>0</v>
      </c>
      <c r="S9" s="71">
        <v>0</v>
      </c>
      <c r="T9" s="71">
        <v>0</v>
      </c>
      <c r="U9" s="71">
        <v>0</v>
      </c>
      <c r="V9" s="71">
        <v>0</v>
      </c>
      <c r="W9" s="71">
        <v>0</v>
      </c>
      <c r="X9" s="71">
        <v>190282</v>
      </c>
      <c r="Y9" s="71">
        <v>501543</v>
      </c>
      <c r="Z9" s="71">
        <v>5513257</v>
      </c>
      <c r="AA9" s="71">
        <v>5237058</v>
      </c>
      <c r="AB9" s="71">
        <v>6083716</v>
      </c>
      <c r="AC9" s="71">
        <v>202173</v>
      </c>
      <c r="AD9" s="71">
        <v>678859</v>
      </c>
      <c r="AE9" s="71">
        <v>370491</v>
      </c>
    </row>
    <row r="10" spans="1:33" x14ac:dyDescent="0.25">
      <c r="A10" s="71" t="s">
        <v>82</v>
      </c>
      <c r="B10" s="71" t="s">
        <v>36</v>
      </c>
      <c r="C10" s="71" t="s">
        <v>60</v>
      </c>
      <c r="D10" s="71" t="s">
        <v>166</v>
      </c>
      <c r="E10" s="111" t="s">
        <v>339</v>
      </c>
      <c r="F10" s="111" t="s">
        <v>340</v>
      </c>
      <c r="G10" s="71">
        <v>200176700</v>
      </c>
      <c r="H10" s="71">
        <v>200176700</v>
      </c>
      <c r="I10" s="71">
        <v>87626</v>
      </c>
      <c r="J10" s="71">
        <v>65223</v>
      </c>
      <c r="K10" s="71">
        <v>27408</v>
      </c>
      <c r="L10" s="71">
        <v>27258</v>
      </c>
      <c r="M10" s="71">
        <v>0</v>
      </c>
      <c r="N10" s="71">
        <v>0</v>
      </c>
      <c r="O10" s="71">
        <v>0</v>
      </c>
      <c r="P10" s="71">
        <v>0</v>
      </c>
      <c r="Q10" s="71">
        <v>0</v>
      </c>
      <c r="R10" s="71">
        <v>0</v>
      </c>
      <c r="S10" s="71">
        <v>0</v>
      </c>
      <c r="T10" s="71">
        <v>0</v>
      </c>
      <c r="U10" s="71">
        <v>0</v>
      </c>
      <c r="V10" s="71">
        <v>0</v>
      </c>
      <c r="W10" s="71">
        <v>0</v>
      </c>
      <c r="X10" s="71">
        <v>0</v>
      </c>
      <c r="Y10" s="71">
        <v>617355</v>
      </c>
      <c r="Z10" s="71">
        <v>6006514</v>
      </c>
      <c r="AA10" s="71">
        <v>6144547</v>
      </c>
      <c r="AB10" s="71">
        <v>6208653</v>
      </c>
      <c r="AC10" s="71">
        <v>707036</v>
      </c>
      <c r="AD10" s="71">
        <v>790547</v>
      </c>
      <c r="AE10" s="71">
        <v>804362</v>
      </c>
    </row>
    <row r="11" spans="1:33" x14ac:dyDescent="0.25">
      <c r="A11" s="71" t="s">
        <v>83</v>
      </c>
      <c r="B11" s="71" t="s">
        <v>36</v>
      </c>
      <c r="C11" s="106" t="s">
        <v>61</v>
      </c>
      <c r="D11" s="106">
        <v>1</v>
      </c>
      <c r="E11" s="111" t="s">
        <v>341</v>
      </c>
      <c r="F11" s="111" t="s">
        <v>342</v>
      </c>
      <c r="G11" s="71">
        <v>86075630</v>
      </c>
      <c r="H11" s="71">
        <v>1169386</v>
      </c>
      <c r="I11" s="71">
        <v>207941</v>
      </c>
      <c r="J11" s="71">
        <v>69909</v>
      </c>
      <c r="K11" s="71">
        <v>24524</v>
      </c>
      <c r="L11" s="71">
        <v>24524</v>
      </c>
      <c r="M11" s="71">
        <v>0</v>
      </c>
      <c r="N11" s="71">
        <v>0</v>
      </c>
      <c r="O11" s="71">
        <v>0</v>
      </c>
      <c r="P11" s="71">
        <v>0</v>
      </c>
      <c r="Q11" s="71">
        <v>0</v>
      </c>
      <c r="R11" s="71">
        <v>0</v>
      </c>
      <c r="S11" s="71">
        <v>0</v>
      </c>
      <c r="T11" s="71">
        <v>0</v>
      </c>
      <c r="U11" s="71">
        <v>0</v>
      </c>
      <c r="V11" s="71">
        <v>0</v>
      </c>
      <c r="W11" s="71">
        <v>0</v>
      </c>
      <c r="X11" s="71">
        <v>0</v>
      </c>
      <c r="Y11" s="71">
        <v>15</v>
      </c>
      <c r="Z11" s="71">
        <v>6831830</v>
      </c>
      <c r="AA11" s="71">
        <v>6724377</v>
      </c>
      <c r="AB11" s="71">
        <v>6978766</v>
      </c>
      <c r="AC11" s="71">
        <v>59998</v>
      </c>
      <c r="AD11" s="71">
        <v>64003</v>
      </c>
      <c r="AE11" s="71">
        <v>65920</v>
      </c>
      <c r="AG11" s="135">
        <v>47220</v>
      </c>
    </row>
    <row r="12" spans="1:33" x14ac:dyDescent="0.25">
      <c r="A12" s="71" t="s">
        <v>371</v>
      </c>
      <c r="B12" s="71" t="s">
        <v>36</v>
      </c>
      <c r="C12" s="111" t="s">
        <v>122</v>
      </c>
      <c r="D12" s="106">
        <v>1</v>
      </c>
      <c r="E12" s="111" t="s">
        <v>343</v>
      </c>
      <c r="F12" s="111" t="s">
        <v>344</v>
      </c>
      <c r="G12" s="71">
        <v>19811153</v>
      </c>
      <c r="H12" s="71">
        <v>12282098</v>
      </c>
      <c r="I12" s="71">
        <v>13194</v>
      </c>
      <c r="J12" s="71">
        <v>65569</v>
      </c>
      <c r="K12" s="71">
        <v>7898</v>
      </c>
      <c r="L12" s="71">
        <v>7898</v>
      </c>
      <c r="M12" s="71">
        <v>129</v>
      </c>
      <c r="N12" s="71">
        <v>0</v>
      </c>
      <c r="O12" s="71">
        <v>0</v>
      </c>
      <c r="P12" s="71">
        <v>0</v>
      </c>
      <c r="Q12" s="71">
        <v>0</v>
      </c>
      <c r="R12" s="71">
        <v>0</v>
      </c>
      <c r="S12" s="71">
        <v>0</v>
      </c>
      <c r="T12" s="71">
        <v>0</v>
      </c>
      <c r="U12" s="71">
        <v>0</v>
      </c>
      <c r="V12" s="71">
        <v>0</v>
      </c>
      <c r="W12" s="71">
        <v>0</v>
      </c>
      <c r="X12" s="71">
        <v>0</v>
      </c>
      <c r="Y12" s="71">
        <v>0</v>
      </c>
      <c r="Z12" s="71">
        <v>3842381</v>
      </c>
      <c r="AA12" s="71">
        <v>3977216</v>
      </c>
      <c r="AB12" s="71">
        <v>4135266</v>
      </c>
      <c r="AC12" s="71">
        <v>0</v>
      </c>
      <c r="AD12" s="71">
        <v>0</v>
      </c>
      <c r="AE12" s="71">
        <v>0</v>
      </c>
    </row>
    <row r="13" spans="1:33" x14ac:dyDescent="0.25">
      <c r="A13" s="71" t="s">
        <v>84</v>
      </c>
      <c r="B13" s="71" t="s">
        <v>36</v>
      </c>
      <c r="C13" s="106" t="s">
        <v>62</v>
      </c>
      <c r="D13" s="106">
        <v>1</v>
      </c>
      <c r="E13" s="111" t="s">
        <v>345</v>
      </c>
      <c r="F13" s="111" t="s">
        <v>346</v>
      </c>
      <c r="G13" s="71">
        <v>148009521</v>
      </c>
      <c r="H13" s="71">
        <v>147404009</v>
      </c>
      <c r="I13" s="71">
        <v>85471</v>
      </c>
      <c r="J13" s="71">
        <v>46215</v>
      </c>
      <c r="K13" s="71">
        <v>19071</v>
      </c>
      <c r="L13" s="71">
        <v>18317</v>
      </c>
      <c r="M13" s="71">
        <v>0</v>
      </c>
      <c r="N13" s="71">
        <v>0</v>
      </c>
      <c r="O13" s="71">
        <v>0</v>
      </c>
      <c r="P13" s="71">
        <v>0</v>
      </c>
      <c r="Q13" s="71">
        <v>0</v>
      </c>
      <c r="R13" s="71">
        <v>0</v>
      </c>
      <c r="S13" s="71">
        <v>0</v>
      </c>
      <c r="T13" s="71">
        <v>0</v>
      </c>
      <c r="U13" s="71">
        <v>0</v>
      </c>
      <c r="V13" s="71">
        <v>0</v>
      </c>
      <c r="W13" s="71">
        <v>0</v>
      </c>
      <c r="X13" s="71">
        <v>0</v>
      </c>
      <c r="Y13" s="71">
        <v>0</v>
      </c>
      <c r="Z13" s="71">
        <v>4511812</v>
      </c>
      <c r="AA13" s="71">
        <v>4469527</v>
      </c>
      <c r="AB13" s="71">
        <v>4815463</v>
      </c>
      <c r="AC13" s="71">
        <v>681989</v>
      </c>
      <c r="AD13" s="71">
        <v>802027</v>
      </c>
      <c r="AE13" s="71">
        <v>761999</v>
      </c>
    </row>
    <row r="14" spans="1:33" x14ac:dyDescent="0.25">
      <c r="A14" s="71" t="s">
        <v>85</v>
      </c>
      <c r="B14" s="71" t="s">
        <v>36</v>
      </c>
      <c r="C14" s="71" t="s">
        <v>63</v>
      </c>
      <c r="D14" s="71" t="s">
        <v>166</v>
      </c>
      <c r="E14" s="111" t="s">
        <v>347</v>
      </c>
      <c r="F14" s="111" t="s">
        <v>348</v>
      </c>
      <c r="G14" s="71">
        <v>57935173</v>
      </c>
      <c r="H14" s="71">
        <v>57935173</v>
      </c>
      <c r="I14" s="71">
        <v>114306</v>
      </c>
      <c r="J14" s="71">
        <v>44920</v>
      </c>
      <c r="K14" s="71">
        <v>8441</v>
      </c>
      <c r="L14" s="71">
        <v>8259</v>
      </c>
      <c r="M14" s="71">
        <v>586</v>
      </c>
      <c r="N14" s="71">
        <v>0</v>
      </c>
      <c r="O14" s="71">
        <v>0</v>
      </c>
      <c r="P14" s="71">
        <v>0</v>
      </c>
      <c r="Q14" s="71">
        <v>0</v>
      </c>
      <c r="R14" s="71">
        <v>0</v>
      </c>
      <c r="S14" s="71">
        <v>0</v>
      </c>
      <c r="T14" s="71">
        <v>0</v>
      </c>
      <c r="U14" s="71">
        <v>0</v>
      </c>
      <c r="V14" s="71">
        <v>0</v>
      </c>
      <c r="W14" s="71">
        <v>0</v>
      </c>
      <c r="X14" s="71">
        <v>0</v>
      </c>
      <c r="Y14" s="71">
        <v>2</v>
      </c>
      <c r="Z14" s="71">
        <v>8613740</v>
      </c>
      <c r="AA14" s="71">
        <v>9158380</v>
      </c>
      <c r="AB14" s="71">
        <v>9090046</v>
      </c>
      <c r="AC14" s="71">
        <v>1870127</v>
      </c>
      <c r="AD14" s="71">
        <v>1802093</v>
      </c>
      <c r="AE14" s="71">
        <v>2492563</v>
      </c>
    </row>
    <row r="15" spans="1:33" x14ac:dyDescent="0.25">
      <c r="A15" s="71" t="s">
        <v>86</v>
      </c>
      <c r="B15" s="71" t="s">
        <v>36</v>
      </c>
      <c r="C15" s="71" t="s">
        <v>64</v>
      </c>
      <c r="D15" s="71" t="s">
        <v>166</v>
      </c>
      <c r="E15" s="111" t="s">
        <v>349</v>
      </c>
      <c r="F15" s="111" t="s">
        <v>350</v>
      </c>
      <c r="G15" s="71">
        <v>34875363</v>
      </c>
      <c r="H15" s="71">
        <v>34875363</v>
      </c>
      <c r="I15" s="71">
        <v>44618</v>
      </c>
      <c r="J15" s="71">
        <v>69247</v>
      </c>
      <c r="K15" s="71">
        <v>6703</v>
      </c>
      <c r="L15" s="71">
        <v>6624</v>
      </c>
      <c r="M15" s="71">
        <v>0</v>
      </c>
      <c r="N15" s="71">
        <v>0</v>
      </c>
      <c r="O15" s="71">
        <v>0</v>
      </c>
      <c r="P15" s="71">
        <v>0</v>
      </c>
      <c r="Q15" s="71">
        <v>0</v>
      </c>
      <c r="R15" s="71">
        <v>0</v>
      </c>
      <c r="S15" s="71">
        <v>0</v>
      </c>
      <c r="T15" s="71">
        <v>0</v>
      </c>
      <c r="U15" s="71">
        <v>0</v>
      </c>
      <c r="V15" s="71">
        <v>0</v>
      </c>
      <c r="W15" s="71">
        <v>0</v>
      </c>
      <c r="X15" s="71">
        <v>0</v>
      </c>
      <c r="Y15" s="71">
        <v>0</v>
      </c>
      <c r="Z15" s="71">
        <v>5710367</v>
      </c>
      <c r="AA15" s="71">
        <v>6168952</v>
      </c>
      <c r="AB15" s="71">
        <v>6588594</v>
      </c>
      <c r="AC15" s="71">
        <v>472743</v>
      </c>
      <c r="AD15" s="71">
        <v>434892</v>
      </c>
      <c r="AE15" s="71">
        <v>350000</v>
      </c>
    </row>
    <row r="16" spans="1:33" x14ac:dyDescent="0.25">
      <c r="A16" s="71" t="s">
        <v>87</v>
      </c>
      <c r="B16" s="71" t="s">
        <v>36</v>
      </c>
      <c r="C16" s="106" t="s">
        <v>65</v>
      </c>
      <c r="D16" s="106">
        <v>1</v>
      </c>
      <c r="E16" s="111" t="s">
        <v>351</v>
      </c>
      <c r="F16" s="111" t="s">
        <v>352</v>
      </c>
      <c r="G16" s="71">
        <v>43455059</v>
      </c>
      <c r="H16" s="71">
        <v>22454551</v>
      </c>
      <c r="I16" s="71">
        <v>56559</v>
      </c>
      <c r="J16" s="71">
        <v>45651</v>
      </c>
      <c r="K16" s="71">
        <v>5673</v>
      </c>
      <c r="L16" s="71">
        <v>5673</v>
      </c>
      <c r="M16" s="71">
        <v>0</v>
      </c>
      <c r="N16" s="71">
        <v>0</v>
      </c>
      <c r="O16" s="71">
        <v>0</v>
      </c>
      <c r="P16" s="71">
        <v>0</v>
      </c>
      <c r="Q16" s="71">
        <v>0</v>
      </c>
      <c r="R16" s="71">
        <v>0</v>
      </c>
      <c r="S16" s="71">
        <v>0</v>
      </c>
      <c r="T16" s="71">
        <v>0</v>
      </c>
      <c r="U16" s="71">
        <v>0</v>
      </c>
      <c r="V16" s="71">
        <v>0</v>
      </c>
      <c r="W16" s="71">
        <v>0</v>
      </c>
      <c r="X16" s="71">
        <v>0</v>
      </c>
      <c r="Y16" s="71">
        <v>0</v>
      </c>
      <c r="Z16" s="71">
        <v>3618453</v>
      </c>
      <c r="AA16" s="71">
        <v>3054634</v>
      </c>
      <c r="AB16" s="71">
        <v>3831942</v>
      </c>
      <c r="AC16" s="71">
        <v>112781</v>
      </c>
      <c r="AD16" s="71">
        <v>816923</v>
      </c>
      <c r="AE16" s="71">
        <v>194705</v>
      </c>
    </row>
    <row r="17" spans="1:33" x14ac:dyDescent="0.25">
      <c r="A17" s="71" t="s">
        <v>88</v>
      </c>
      <c r="B17" s="71" t="s">
        <v>36</v>
      </c>
      <c r="C17" s="71" t="s">
        <v>66</v>
      </c>
      <c r="D17" s="71" t="s">
        <v>166</v>
      </c>
      <c r="E17" s="111" t="s">
        <v>353</v>
      </c>
      <c r="F17" s="111" t="s">
        <v>354</v>
      </c>
      <c r="G17" s="71">
        <v>107453853</v>
      </c>
      <c r="H17" s="71">
        <v>107453853</v>
      </c>
      <c r="I17" s="71">
        <v>148557</v>
      </c>
      <c r="J17" s="71">
        <v>66213</v>
      </c>
      <c r="K17" s="71">
        <v>18735</v>
      </c>
      <c r="L17" s="71">
        <v>18735</v>
      </c>
      <c r="M17" s="71">
        <v>0</v>
      </c>
      <c r="N17" s="71">
        <v>0</v>
      </c>
      <c r="O17" s="71">
        <v>0</v>
      </c>
      <c r="P17" s="71">
        <v>0</v>
      </c>
      <c r="Q17" s="71">
        <v>0</v>
      </c>
      <c r="R17" s="71">
        <v>0</v>
      </c>
      <c r="S17" s="71">
        <v>0</v>
      </c>
      <c r="T17" s="71">
        <v>0</v>
      </c>
      <c r="U17" s="71">
        <v>0</v>
      </c>
      <c r="V17" s="71">
        <v>0</v>
      </c>
      <c r="W17" s="71">
        <v>0</v>
      </c>
      <c r="X17" s="71">
        <v>0</v>
      </c>
      <c r="Y17" s="71">
        <v>228830</v>
      </c>
      <c r="Z17" s="71">
        <v>7716319</v>
      </c>
      <c r="AA17" s="71">
        <v>7539312</v>
      </c>
      <c r="AB17" s="71">
        <v>7760547</v>
      </c>
      <c r="AC17" s="71">
        <v>552826</v>
      </c>
      <c r="AD17" s="71">
        <v>935000</v>
      </c>
      <c r="AE17" s="71">
        <v>975000</v>
      </c>
    </row>
    <row r="18" spans="1:33" x14ac:dyDescent="0.25">
      <c r="A18" s="71" t="s">
        <v>89</v>
      </c>
      <c r="B18" s="71" t="s">
        <v>36</v>
      </c>
      <c r="C18" s="71" t="s">
        <v>67</v>
      </c>
      <c r="D18" s="71" t="s">
        <v>166</v>
      </c>
      <c r="E18" s="111" t="s">
        <v>355</v>
      </c>
      <c r="F18" s="111" t="s">
        <v>356</v>
      </c>
      <c r="G18" s="71">
        <v>47492359</v>
      </c>
      <c r="H18" s="71">
        <v>47492359</v>
      </c>
      <c r="I18" s="71">
        <v>168291</v>
      </c>
      <c r="J18" s="71">
        <v>114412</v>
      </c>
      <c r="K18" s="71">
        <v>40154</v>
      </c>
      <c r="L18" s="71">
        <v>38737</v>
      </c>
      <c r="M18" s="71">
        <v>0</v>
      </c>
      <c r="N18" s="71">
        <v>0</v>
      </c>
      <c r="O18" s="71">
        <v>0</v>
      </c>
      <c r="P18" s="71">
        <v>0</v>
      </c>
      <c r="Q18" s="71">
        <v>0</v>
      </c>
      <c r="R18" s="71">
        <v>0</v>
      </c>
      <c r="S18" s="71">
        <v>0</v>
      </c>
      <c r="T18" s="71">
        <v>0</v>
      </c>
      <c r="U18" s="71">
        <v>0</v>
      </c>
      <c r="V18" s="71">
        <v>0</v>
      </c>
      <c r="W18" s="71">
        <v>231401</v>
      </c>
      <c r="X18" s="71">
        <v>0</v>
      </c>
      <c r="Y18" s="71">
        <v>0</v>
      </c>
      <c r="Z18" s="71">
        <v>13365027</v>
      </c>
      <c r="AA18" s="71">
        <v>14166802</v>
      </c>
      <c r="AB18" s="71">
        <v>14363500</v>
      </c>
      <c r="AC18" s="71">
        <v>1348553</v>
      </c>
      <c r="AD18" s="71">
        <v>1516543</v>
      </c>
      <c r="AE18" s="71">
        <v>1851524</v>
      </c>
      <c r="AG18" s="135">
        <f>12474+1953</f>
        <v>14427</v>
      </c>
    </row>
    <row r="19" spans="1:33" x14ac:dyDescent="0.25">
      <c r="A19" s="71" t="s">
        <v>95</v>
      </c>
      <c r="B19" s="71" t="s">
        <v>36</v>
      </c>
      <c r="C19" s="106" t="s">
        <v>68</v>
      </c>
      <c r="D19" s="106">
        <v>1</v>
      </c>
      <c r="E19" s="111" t="s">
        <v>357</v>
      </c>
      <c r="F19" s="111" t="s">
        <v>358</v>
      </c>
      <c r="G19" s="71">
        <v>102792643</v>
      </c>
      <c r="H19" s="71">
        <v>101240627</v>
      </c>
      <c r="I19" s="71">
        <v>74040</v>
      </c>
      <c r="J19" s="71">
        <v>171918</v>
      </c>
      <c r="K19" s="71">
        <v>66713</v>
      </c>
      <c r="L19" s="71">
        <v>66445</v>
      </c>
      <c r="M19" s="71">
        <v>4175</v>
      </c>
      <c r="N19" s="71">
        <v>4925</v>
      </c>
      <c r="O19" s="71">
        <v>6487</v>
      </c>
      <c r="P19" s="71">
        <v>0</v>
      </c>
      <c r="Q19" s="71">
        <v>0</v>
      </c>
      <c r="R19" s="71">
        <v>0</v>
      </c>
      <c r="S19" s="71">
        <v>0</v>
      </c>
      <c r="T19" s="71">
        <v>0</v>
      </c>
      <c r="U19" s="71">
        <v>0</v>
      </c>
      <c r="V19" s="71">
        <v>0</v>
      </c>
      <c r="W19" s="71">
        <v>0</v>
      </c>
      <c r="X19" s="71">
        <v>0</v>
      </c>
      <c r="Y19" s="71">
        <v>1379515</v>
      </c>
      <c r="Z19" s="71">
        <v>19002263</v>
      </c>
      <c r="AA19" s="71">
        <v>19996522</v>
      </c>
      <c r="AB19" s="71">
        <v>20354307</v>
      </c>
      <c r="AC19" s="71">
        <v>506050</v>
      </c>
      <c r="AD19" s="71">
        <v>50000</v>
      </c>
      <c r="AE19" s="71">
        <v>600000</v>
      </c>
    </row>
    <row r="20" spans="1:33" x14ac:dyDescent="0.25">
      <c r="A20" s="71" t="s">
        <v>90</v>
      </c>
      <c r="B20" s="71" t="s">
        <v>36</v>
      </c>
      <c r="C20" s="106" t="s">
        <v>69</v>
      </c>
      <c r="D20" s="106">
        <v>1</v>
      </c>
      <c r="E20" s="111" t="s">
        <v>359</v>
      </c>
      <c r="F20" s="111" t="s">
        <v>360</v>
      </c>
      <c r="G20" s="71">
        <v>155291526</v>
      </c>
      <c r="H20" s="71">
        <v>102439459</v>
      </c>
      <c r="I20" s="71">
        <v>134304</v>
      </c>
      <c r="J20" s="71">
        <v>33020</v>
      </c>
      <c r="K20" s="71">
        <v>8407</v>
      </c>
      <c r="L20" s="71">
        <v>8407</v>
      </c>
      <c r="M20" s="71">
        <v>0</v>
      </c>
      <c r="N20" s="71">
        <v>0</v>
      </c>
      <c r="O20" s="71">
        <v>0</v>
      </c>
      <c r="P20" s="71">
        <f>20729+9843</f>
        <v>30572</v>
      </c>
      <c r="Q20" s="71">
        <v>0</v>
      </c>
      <c r="R20" s="71">
        <v>97447</v>
      </c>
      <c r="S20" s="71">
        <v>0</v>
      </c>
      <c r="T20" s="71">
        <v>0</v>
      </c>
      <c r="U20" s="71">
        <v>0</v>
      </c>
      <c r="V20" s="71">
        <v>0</v>
      </c>
      <c r="W20" s="71">
        <v>0</v>
      </c>
      <c r="X20" s="71">
        <v>0</v>
      </c>
      <c r="Y20" s="71">
        <v>535</v>
      </c>
      <c r="Z20" s="71">
        <v>3427049</v>
      </c>
      <c r="AA20" s="71">
        <v>3372550</v>
      </c>
      <c r="AB20" s="71">
        <v>3760511</v>
      </c>
      <c r="AC20" s="71">
        <v>0</v>
      </c>
      <c r="AD20" s="71">
        <v>262859</v>
      </c>
      <c r="AE20" s="71">
        <v>0</v>
      </c>
    </row>
    <row r="21" spans="1:33" x14ac:dyDescent="0.25">
      <c r="A21" s="71" t="s">
        <v>91</v>
      </c>
      <c r="B21" s="71" t="s">
        <v>36</v>
      </c>
      <c r="C21" s="106" t="s">
        <v>70</v>
      </c>
      <c r="D21" s="106">
        <v>1</v>
      </c>
      <c r="E21" s="111" t="s">
        <v>361</v>
      </c>
      <c r="F21" s="111" t="s">
        <v>362</v>
      </c>
      <c r="G21" s="71">
        <v>249020187</v>
      </c>
      <c r="H21" s="71">
        <v>204746354</v>
      </c>
      <c r="I21" s="71">
        <v>85382</v>
      </c>
      <c r="J21" s="71">
        <v>86481</v>
      </c>
      <c r="K21" s="71">
        <v>18847</v>
      </c>
      <c r="L21" s="71">
        <v>18762</v>
      </c>
      <c r="M21" s="71">
        <v>0</v>
      </c>
      <c r="N21" s="71">
        <v>0</v>
      </c>
      <c r="O21" s="71">
        <v>0</v>
      </c>
      <c r="P21" s="71">
        <v>0</v>
      </c>
      <c r="Q21" s="71">
        <v>0</v>
      </c>
      <c r="R21" s="71">
        <v>0</v>
      </c>
      <c r="S21" s="71">
        <v>0</v>
      </c>
      <c r="T21" s="71">
        <v>0</v>
      </c>
      <c r="U21" s="71">
        <v>0</v>
      </c>
      <c r="V21" s="71">
        <v>0</v>
      </c>
      <c r="W21" s="71">
        <v>0</v>
      </c>
      <c r="X21" s="71">
        <v>0</v>
      </c>
      <c r="Y21" s="71">
        <v>797238</v>
      </c>
      <c r="Z21" s="71">
        <v>7146122</v>
      </c>
      <c r="AA21" s="71">
        <v>7209503</v>
      </c>
      <c r="AB21" s="71">
        <v>7806118.1899999995</v>
      </c>
      <c r="AC21" s="71">
        <v>140000</v>
      </c>
      <c r="AD21" s="71">
        <v>398596</v>
      </c>
      <c r="AE21" s="71">
        <v>264917</v>
      </c>
    </row>
    <row r="22" spans="1:33" x14ac:dyDescent="0.25">
      <c r="A22" s="71" t="s">
        <v>372</v>
      </c>
      <c r="B22" s="71" t="s">
        <v>36</v>
      </c>
      <c r="C22" s="106" t="s">
        <v>123</v>
      </c>
      <c r="D22" s="106">
        <v>1</v>
      </c>
      <c r="E22" s="111" t="s">
        <v>363</v>
      </c>
      <c r="F22" s="111" t="s">
        <v>364</v>
      </c>
      <c r="G22" s="71">
        <v>105402884</v>
      </c>
      <c r="H22" s="111">
        <v>104978852</v>
      </c>
      <c r="I22" s="71">
        <v>819</v>
      </c>
      <c r="J22" s="71">
        <v>69398</v>
      </c>
      <c r="K22" s="71">
        <v>13307</v>
      </c>
      <c r="L22" s="71">
        <v>13307</v>
      </c>
      <c r="M22" s="71">
        <v>4045</v>
      </c>
      <c r="N22" s="71">
        <v>995.24</v>
      </c>
      <c r="O22" s="71">
        <v>0</v>
      </c>
      <c r="P22" s="71">
        <v>0</v>
      </c>
      <c r="Q22" s="71">
        <v>0</v>
      </c>
      <c r="R22" s="71">
        <v>0</v>
      </c>
      <c r="S22" s="71">
        <v>0</v>
      </c>
      <c r="T22" s="71">
        <v>0</v>
      </c>
      <c r="U22" s="71">
        <v>0</v>
      </c>
      <c r="V22" s="71">
        <v>0</v>
      </c>
      <c r="W22" s="71">
        <v>0</v>
      </c>
      <c r="X22" s="71">
        <v>0</v>
      </c>
      <c r="Y22" s="71">
        <v>510382</v>
      </c>
      <c r="Z22" s="71">
        <v>5183691</v>
      </c>
      <c r="AA22" s="71">
        <v>5274331</v>
      </c>
      <c r="AB22" s="71">
        <v>5449200</v>
      </c>
      <c r="AC22" s="71">
        <v>0</v>
      </c>
      <c r="AD22" s="71">
        <v>0</v>
      </c>
      <c r="AE22" s="71">
        <v>0</v>
      </c>
    </row>
    <row r="23" spans="1:33" x14ac:dyDescent="0.25">
      <c r="A23" s="71" t="s">
        <v>92</v>
      </c>
      <c r="B23" s="71" t="s">
        <v>36</v>
      </c>
      <c r="C23" s="71" t="s">
        <v>71</v>
      </c>
      <c r="D23" s="71" t="s">
        <v>166</v>
      </c>
      <c r="E23" s="111" t="s">
        <v>365</v>
      </c>
      <c r="F23" s="111" t="s">
        <v>366</v>
      </c>
      <c r="G23" s="71">
        <v>16813658</v>
      </c>
      <c r="H23" s="71">
        <v>16813658</v>
      </c>
      <c r="I23" s="71">
        <v>24943</v>
      </c>
      <c r="J23" s="71">
        <v>26933</v>
      </c>
      <c r="K23" s="71">
        <v>2733</v>
      </c>
      <c r="L23" s="71">
        <v>2683</v>
      </c>
      <c r="M23" s="71">
        <v>0</v>
      </c>
      <c r="N23" s="71">
        <v>187</v>
      </c>
      <c r="O23" s="71">
        <v>0</v>
      </c>
      <c r="P23" s="71">
        <v>0</v>
      </c>
      <c r="Q23" s="71">
        <v>0</v>
      </c>
      <c r="R23" s="71">
        <v>0</v>
      </c>
      <c r="S23" s="71">
        <v>0</v>
      </c>
      <c r="T23" s="71">
        <v>0</v>
      </c>
      <c r="U23" s="71">
        <v>0</v>
      </c>
      <c r="V23" s="71">
        <v>0</v>
      </c>
      <c r="W23" s="71">
        <v>0</v>
      </c>
      <c r="X23" s="71">
        <v>0</v>
      </c>
      <c r="Y23" s="71">
        <v>0</v>
      </c>
      <c r="Z23" s="71">
        <v>5314720</v>
      </c>
      <c r="AA23" s="71">
        <v>6068796</v>
      </c>
      <c r="AB23" s="71">
        <v>6483981</v>
      </c>
      <c r="AC23" s="71">
        <v>406055</v>
      </c>
      <c r="AD23" s="71">
        <v>0</v>
      </c>
      <c r="AE23" s="71">
        <v>0</v>
      </c>
    </row>
    <row r="24" spans="1:33" x14ac:dyDescent="0.25">
      <c r="A24" s="71" t="s">
        <v>93</v>
      </c>
      <c r="B24" s="71" t="s">
        <v>36</v>
      </c>
      <c r="C24" s="71" t="s">
        <v>72</v>
      </c>
      <c r="D24" s="71" t="s">
        <v>166</v>
      </c>
      <c r="E24" s="111" t="s">
        <v>367</v>
      </c>
      <c r="F24" s="111" t="s">
        <v>368</v>
      </c>
      <c r="G24" s="71">
        <v>60098224</v>
      </c>
      <c r="H24" s="71">
        <v>60098224</v>
      </c>
      <c r="I24" s="71">
        <v>3486</v>
      </c>
      <c r="J24" s="71">
        <v>25777</v>
      </c>
      <c r="K24" s="71">
        <v>4009</v>
      </c>
      <c r="L24" s="71">
        <v>4009</v>
      </c>
      <c r="M24" s="71">
        <v>0</v>
      </c>
      <c r="N24" s="71">
        <v>0</v>
      </c>
      <c r="O24" s="71">
        <v>0</v>
      </c>
      <c r="P24" s="71">
        <v>0</v>
      </c>
      <c r="Q24" s="71">
        <v>0</v>
      </c>
      <c r="R24" s="71">
        <v>0</v>
      </c>
      <c r="S24" s="71">
        <v>0</v>
      </c>
      <c r="T24" s="71">
        <v>0</v>
      </c>
      <c r="U24" s="71">
        <v>0</v>
      </c>
      <c r="V24" s="71">
        <v>0</v>
      </c>
      <c r="W24" s="71">
        <v>0</v>
      </c>
      <c r="X24" s="71">
        <v>0</v>
      </c>
      <c r="Y24" s="71">
        <v>0</v>
      </c>
      <c r="Z24" s="71">
        <v>9077757</v>
      </c>
      <c r="AA24" s="71">
        <v>9516865</v>
      </c>
      <c r="AB24" s="71">
        <v>10005706</v>
      </c>
      <c r="AC24" s="71">
        <v>0</v>
      </c>
      <c r="AD24" s="71">
        <v>0</v>
      </c>
      <c r="AE24" s="71">
        <v>0</v>
      </c>
      <c r="AG24" s="135">
        <v>0</v>
      </c>
    </row>
    <row r="25" spans="1:33" x14ac:dyDescent="0.25">
      <c r="A25" s="71" t="s">
        <v>94</v>
      </c>
      <c r="B25" s="71" t="s">
        <v>36</v>
      </c>
      <c r="C25" s="106" t="s">
        <v>73</v>
      </c>
      <c r="D25" s="106">
        <v>1</v>
      </c>
      <c r="E25" s="111" t="s">
        <v>369</v>
      </c>
      <c r="F25" s="111" t="s">
        <v>370</v>
      </c>
      <c r="G25" s="71">
        <v>314725032</v>
      </c>
      <c r="H25" s="71">
        <v>257181274</v>
      </c>
      <c r="I25" s="71">
        <v>83948</v>
      </c>
      <c r="J25" s="71">
        <v>50663</v>
      </c>
      <c r="K25" s="71">
        <v>22486</v>
      </c>
      <c r="L25" s="71">
        <v>22047</v>
      </c>
      <c r="M25" s="71">
        <v>0</v>
      </c>
      <c r="N25" s="71">
        <v>164</v>
      </c>
      <c r="O25" s="71">
        <v>309</v>
      </c>
      <c r="P25" s="71">
        <v>0</v>
      </c>
      <c r="Q25" s="71">
        <v>0</v>
      </c>
      <c r="R25" s="71">
        <v>0</v>
      </c>
      <c r="S25" s="71">
        <v>0</v>
      </c>
      <c r="T25" s="71">
        <v>0</v>
      </c>
      <c r="U25" s="71">
        <v>0</v>
      </c>
      <c r="V25" s="71">
        <v>0</v>
      </c>
      <c r="W25" s="71">
        <v>0</v>
      </c>
      <c r="X25" s="71">
        <v>0</v>
      </c>
      <c r="Y25" s="71">
        <v>80911</v>
      </c>
      <c r="Z25" s="71">
        <v>5195692</v>
      </c>
      <c r="AA25" s="71">
        <v>5241123</v>
      </c>
      <c r="AB25" s="71">
        <v>5677372</v>
      </c>
      <c r="AC25" s="71">
        <v>870213</v>
      </c>
      <c r="AD25" s="71">
        <v>1044913</v>
      </c>
      <c r="AE25" s="71">
        <v>851129</v>
      </c>
    </row>
  </sheetData>
  <sheetProtection algorithmName="SHA-512" hashValue="utefRePeaVrlzvhX69XGPPWkbW0eQUmz2B9MBBwbaPayd16CF/zXkp/MVdsS+C8bA3UgWb9TKPQ8eSbUZRMe0g==" saltValue="tDUDaZduGxzeQ7pzaUYiiA==" spinCount="100000" sheet="1" objects="1" scenarios="1"/>
  <autoFilter ref="A1:H1334" xr:uid="{F57656D4-A6B9-4F47-88C2-9CE533ADDF95}"/>
  <sortState xmlns:xlrd2="http://schemas.microsoft.com/office/spreadsheetml/2017/richdata2" ref="A2:I1046168">
    <sortCondition ref="C2:C1046168"/>
  </sortState>
  <phoneticPr fontId="20" type="noConversion"/>
  <conditionalFormatting sqref="L2:L25">
    <cfRule type="cellIs" dxfId="65" priority="1" operator="notEqual">
      <formula>$K2</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AB07-0002-4652-BEC4-C501BB633211}">
  <sheetPr codeName="Sheet1"/>
  <dimension ref="A3:C26"/>
  <sheetViews>
    <sheetView workbookViewId="0">
      <selection activeCell="C7" sqref="C7:C12"/>
    </sheetView>
  </sheetViews>
  <sheetFormatPr defaultRowHeight="15.75" x14ac:dyDescent="0.25"/>
  <cols>
    <col min="1" max="1" width="18.25" bestFit="1" customWidth="1"/>
  </cols>
  <sheetData>
    <row r="3" spans="1:3" x14ac:dyDescent="0.25">
      <c r="A3" s="71" t="s">
        <v>52</v>
      </c>
      <c r="C3" t="s">
        <v>190</v>
      </c>
    </row>
    <row r="4" spans="1:3" x14ac:dyDescent="0.25">
      <c r="A4" s="71" t="s">
        <v>53</v>
      </c>
      <c r="C4" t="s">
        <v>189</v>
      </c>
    </row>
    <row r="5" spans="1:3" x14ac:dyDescent="0.25">
      <c r="A5" s="71" t="s">
        <v>54</v>
      </c>
    </row>
    <row r="6" spans="1:3" x14ac:dyDescent="0.25">
      <c r="A6" s="71" t="s">
        <v>55</v>
      </c>
    </row>
    <row r="7" spans="1:3" x14ac:dyDescent="0.25">
      <c r="A7" s="71" t="s">
        <v>56</v>
      </c>
      <c r="C7" t="s">
        <v>314</v>
      </c>
    </row>
    <row r="8" spans="1:3" x14ac:dyDescent="0.25">
      <c r="A8" s="71" t="s">
        <v>57</v>
      </c>
    </row>
    <row r="9" spans="1:3" x14ac:dyDescent="0.25">
      <c r="A9" s="71" t="s">
        <v>58</v>
      </c>
      <c r="C9" t="s">
        <v>315</v>
      </c>
    </row>
    <row r="10" spans="1:3" x14ac:dyDescent="0.25">
      <c r="A10" s="71" t="s">
        <v>59</v>
      </c>
      <c r="C10" t="s">
        <v>316</v>
      </c>
    </row>
    <row r="11" spans="1:3" x14ac:dyDescent="0.25">
      <c r="A11" s="71" t="s">
        <v>60</v>
      </c>
      <c r="C11" t="s">
        <v>317</v>
      </c>
    </row>
    <row r="12" spans="1:3" x14ac:dyDescent="0.25">
      <c r="A12" s="71" t="s">
        <v>61</v>
      </c>
      <c r="C12" t="s">
        <v>318</v>
      </c>
    </row>
    <row r="13" spans="1:3" x14ac:dyDescent="0.25">
      <c r="A13" s="71" t="s">
        <v>122</v>
      </c>
    </row>
    <row r="14" spans="1:3" x14ac:dyDescent="0.25">
      <c r="A14" s="71" t="s">
        <v>62</v>
      </c>
    </row>
    <row r="15" spans="1:3" x14ac:dyDescent="0.25">
      <c r="A15" s="71" t="s">
        <v>63</v>
      </c>
    </row>
    <row r="16" spans="1:3" x14ac:dyDescent="0.25">
      <c r="A16" s="71" t="s">
        <v>64</v>
      </c>
    </row>
    <row r="17" spans="1:1" x14ac:dyDescent="0.25">
      <c r="A17" s="71" t="s">
        <v>65</v>
      </c>
    </row>
    <row r="18" spans="1:1" x14ac:dyDescent="0.25">
      <c r="A18" s="71" t="s">
        <v>66</v>
      </c>
    </row>
    <row r="19" spans="1:1" x14ac:dyDescent="0.25">
      <c r="A19" s="71" t="s">
        <v>67</v>
      </c>
    </row>
    <row r="20" spans="1:1" x14ac:dyDescent="0.25">
      <c r="A20" s="71" t="s">
        <v>68</v>
      </c>
    </row>
    <row r="21" spans="1:1" x14ac:dyDescent="0.25">
      <c r="A21" s="71" t="s">
        <v>69</v>
      </c>
    </row>
    <row r="22" spans="1:1" x14ac:dyDescent="0.25">
      <c r="A22" s="71" t="s">
        <v>70</v>
      </c>
    </row>
    <row r="23" spans="1:1" x14ac:dyDescent="0.25">
      <c r="A23" s="71" t="s">
        <v>123</v>
      </c>
    </row>
    <row r="24" spans="1:1" x14ac:dyDescent="0.25">
      <c r="A24" s="71" t="s">
        <v>71</v>
      </c>
    </row>
    <row r="25" spans="1:1" x14ac:dyDescent="0.25">
      <c r="A25" s="71" t="s">
        <v>72</v>
      </c>
    </row>
    <row r="26" spans="1:1" x14ac:dyDescent="0.25">
      <c r="A26" s="71" t="s">
        <v>73</v>
      </c>
    </row>
  </sheetData>
  <sheetProtection algorithmName="SHA-512" hashValue="B5nHYzIk7yZBPX6hhVT5c5h46QhBBRbxh44TEiuQSrdMrTSpzA/m8YnO/ODJvmc5arUTKbkbritef+57TNNG+Q==" saltValue="PchgJ79qJb/9hx+HCDvFI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74B1-757F-4FDE-8456-87808BC22E54}">
  <sheetPr>
    <tabColor rgb="FFFF0000"/>
    <pageSetUpPr fitToPage="1"/>
  </sheetPr>
  <dimension ref="B1:S16"/>
  <sheetViews>
    <sheetView showGridLines="0" tabSelected="1" workbookViewId="0"/>
  </sheetViews>
  <sheetFormatPr defaultRowHeight="15.75" x14ac:dyDescent="0.25"/>
  <cols>
    <col min="1" max="1" width="5.75" customWidth="1"/>
    <col min="3" max="3" width="13.375" customWidth="1"/>
    <col min="8" max="8" width="11.75" customWidth="1"/>
  </cols>
  <sheetData>
    <row r="1" spans="2:19" ht="16.5" thickBot="1" x14ac:dyDescent="0.3"/>
    <row r="2" spans="2:19" x14ac:dyDescent="0.25">
      <c r="B2" s="165" t="s">
        <v>263</v>
      </c>
      <c r="C2" s="166"/>
      <c r="D2" s="166"/>
      <c r="E2" s="166"/>
      <c r="F2" s="166"/>
      <c r="G2" s="166"/>
      <c r="H2" s="166"/>
      <c r="I2" s="166"/>
      <c r="J2" s="166"/>
      <c r="K2" s="166"/>
      <c r="L2" s="166"/>
      <c r="M2" s="166"/>
      <c r="N2" s="166"/>
      <c r="O2" s="166"/>
      <c r="P2" s="166"/>
      <c r="Q2" s="166"/>
      <c r="R2" s="166"/>
      <c r="S2" s="167"/>
    </row>
    <row r="3" spans="2:19" x14ac:dyDescent="0.25">
      <c r="B3" s="156"/>
      <c r="C3" s="157"/>
      <c r="D3" s="157"/>
      <c r="E3" s="157"/>
      <c r="F3" s="157"/>
      <c r="G3" s="157"/>
      <c r="H3" s="157"/>
      <c r="I3" s="157"/>
      <c r="J3" s="157"/>
      <c r="K3" s="157"/>
      <c r="L3" s="157"/>
      <c r="M3" s="157"/>
      <c r="N3" s="157"/>
      <c r="O3" s="157"/>
      <c r="P3" s="157"/>
      <c r="Q3" s="157"/>
      <c r="R3" s="157"/>
      <c r="S3" s="158"/>
    </row>
    <row r="4" spans="2:19" x14ac:dyDescent="0.25">
      <c r="B4" s="156" t="s">
        <v>264</v>
      </c>
      <c r="C4" s="157"/>
      <c r="D4" s="157"/>
      <c r="E4" s="157"/>
      <c r="F4" s="157"/>
      <c r="G4" s="157"/>
      <c r="H4" s="157"/>
      <c r="I4" s="157"/>
      <c r="J4" s="157"/>
      <c r="K4" s="157"/>
      <c r="L4" s="157"/>
      <c r="M4" s="157"/>
      <c r="N4" s="157"/>
      <c r="O4" s="157"/>
      <c r="P4" s="157"/>
      <c r="Q4" s="157"/>
      <c r="R4" s="157"/>
      <c r="S4" s="158"/>
    </row>
    <row r="5" spans="2:19" x14ac:dyDescent="0.25">
      <c r="B5" s="156" t="s">
        <v>265</v>
      </c>
      <c r="C5" s="157"/>
      <c r="D5" s="157"/>
      <c r="E5" s="157"/>
      <c r="F5" s="157"/>
      <c r="G5" s="157"/>
      <c r="H5" s="157"/>
      <c r="I5" s="157"/>
      <c r="J5" s="157"/>
      <c r="K5" s="157"/>
      <c r="L5" s="157"/>
      <c r="M5" s="157"/>
      <c r="N5" s="157"/>
      <c r="O5" s="157"/>
      <c r="P5" s="157"/>
      <c r="Q5" s="157"/>
      <c r="R5" s="157"/>
      <c r="S5" s="158"/>
    </row>
    <row r="6" spans="2:19" x14ac:dyDescent="0.25">
      <c r="B6" s="156" t="s">
        <v>266</v>
      </c>
      <c r="C6" s="157"/>
      <c r="D6" s="157"/>
      <c r="E6" s="157"/>
      <c r="F6" s="157"/>
      <c r="G6" s="157"/>
      <c r="H6" s="157"/>
      <c r="I6" s="157"/>
      <c r="J6" s="157"/>
      <c r="K6" s="157"/>
      <c r="L6" s="157"/>
      <c r="M6" s="157"/>
      <c r="N6" s="157"/>
      <c r="O6" s="157"/>
      <c r="P6" s="157"/>
      <c r="Q6" s="157"/>
      <c r="R6" s="157"/>
      <c r="S6" s="158"/>
    </row>
    <row r="7" spans="2:19" x14ac:dyDescent="0.25">
      <c r="B7" s="156"/>
      <c r="C7" s="157"/>
      <c r="D7" s="157"/>
      <c r="E7" s="157"/>
      <c r="F7" s="157"/>
      <c r="G7" s="157"/>
      <c r="H7" s="157"/>
      <c r="I7" s="157"/>
      <c r="J7" s="157"/>
      <c r="K7" s="157"/>
      <c r="L7" s="157"/>
      <c r="M7" s="157"/>
      <c r="N7" s="157"/>
      <c r="O7" s="157"/>
      <c r="P7" s="157"/>
      <c r="Q7" s="157"/>
      <c r="R7" s="157"/>
      <c r="S7" s="158"/>
    </row>
    <row r="8" spans="2:19" x14ac:dyDescent="0.25">
      <c r="B8" s="142"/>
      <c r="C8" s="168" t="s">
        <v>267</v>
      </c>
      <c r="D8" s="169"/>
      <c r="E8" s="169"/>
      <c r="F8" s="169"/>
      <c r="G8" s="170"/>
      <c r="S8" s="141"/>
    </row>
    <row r="9" spans="2:19" x14ac:dyDescent="0.25">
      <c r="B9" s="156"/>
      <c r="C9" s="157"/>
      <c r="D9" s="157"/>
      <c r="E9" s="157"/>
      <c r="F9" s="157"/>
      <c r="G9" s="157"/>
      <c r="H9" s="157"/>
      <c r="I9" s="157"/>
      <c r="J9" s="157"/>
      <c r="K9" s="157"/>
      <c r="L9" s="157"/>
      <c r="M9" s="157"/>
      <c r="N9" s="157"/>
      <c r="O9" s="157"/>
      <c r="P9" s="157"/>
      <c r="Q9" s="157"/>
      <c r="R9" s="157"/>
      <c r="S9" s="158"/>
    </row>
    <row r="10" spans="2:19" x14ac:dyDescent="0.25">
      <c r="B10" s="142"/>
      <c r="C10" s="171" t="s">
        <v>268</v>
      </c>
      <c r="D10" s="172"/>
      <c r="E10" s="172"/>
      <c r="F10" s="173"/>
      <c r="S10" s="141"/>
    </row>
    <row r="11" spans="2:19" x14ac:dyDescent="0.25">
      <c r="B11" s="156"/>
      <c r="C11" s="157"/>
      <c r="D11" s="157"/>
      <c r="E11" s="157"/>
      <c r="F11" s="157"/>
      <c r="G11" s="157"/>
      <c r="H11" s="157"/>
      <c r="I11" s="157"/>
      <c r="J11" s="157"/>
      <c r="K11" s="157"/>
      <c r="L11" s="157"/>
      <c r="M11" s="157"/>
      <c r="N11" s="157"/>
      <c r="O11" s="157"/>
      <c r="P11" s="157"/>
      <c r="Q11" s="157"/>
      <c r="R11" s="157"/>
      <c r="S11" s="158"/>
    </row>
    <row r="12" spans="2:19" x14ac:dyDescent="0.25">
      <c r="B12" s="142"/>
      <c r="C12" s="174" t="s">
        <v>269</v>
      </c>
      <c r="D12" s="175"/>
      <c r="E12" s="175"/>
      <c r="F12" s="175"/>
      <c r="G12" s="176"/>
      <c r="S12" s="141"/>
    </row>
    <row r="13" spans="2:19" x14ac:dyDescent="0.25">
      <c r="B13" s="156"/>
      <c r="C13" s="157"/>
      <c r="D13" s="157"/>
      <c r="E13" s="157"/>
      <c r="F13" s="157"/>
      <c r="G13" s="157"/>
      <c r="H13" s="157"/>
      <c r="I13" s="157"/>
      <c r="J13" s="157"/>
      <c r="K13" s="157"/>
      <c r="L13" s="157"/>
      <c r="M13" s="157"/>
      <c r="N13" s="157"/>
      <c r="O13" s="157"/>
      <c r="P13" s="157"/>
      <c r="Q13" s="157"/>
      <c r="R13" s="157"/>
      <c r="S13" s="158"/>
    </row>
    <row r="14" spans="2:19" ht="36" customHeight="1" x14ac:dyDescent="0.25">
      <c r="B14" s="159" t="s">
        <v>270</v>
      </c>
      <c r="C14" s="160"/>
      <c r="D14" s="160"/>
      <c r="E14" s="160"/>
      <c r="F14" s="160"/>
      <c r="G14" s="160"/>
      <c r="H14" s="160"/>
      <c r="I14" s="160"/>
      <c r="J14" s="160"/>
      <c r="K14" s="160"/>
      <c r="L14" s="160"/>
      <c r="M14" s="160"/>
      <c r="N14" s="160"/>
      <c r="O14" s="160"/>
      <c r="P14" s="160"/>
      <c r="Q14" s="160"/>
      <c r="R14" s="160"/>
      <c r="S14" s="161"/>
    </row>
    <row r="15" spans="2:19" x14ac:dyDescent="0.25">
      <c r="B15" s="156"/>
      <c r="C15" s="157"/>
      <c r="D15" s="157"/>
      <c r="E15" s="157"/>
      <c r="F15" s="157"/>
      <c r="G15" s="157"/>
      <c r="H15" s="157"/>
      <c r="I15" s="157"/>
      <c r="J15" s="157"/>
      <c r="K15" s="157"/>
      <c r="L15" s="157"/>
      <c r="M15" s="157"/>
      <c r="N15" s="157"/>
      <c r="O15" s="157"/>
      <c r="P15" s="157"/>
      <c r="Q15" s="157"/>
      <c r="R15" s="157"/>
      <c r="S15" s="158"/>
    </row>
    <row r="16" spans="2:19" ht="16.5" thickBot="1" x14ac:dyDescent="0.3">
      <c r="B16" s="162" t="s">
        <v>271</v>
      </c>
      <c r="C16" s="163"/>
      <c r="D16" s="163"/>
      <c r="E16" s="163"/>
      <c r="F16" s="163"/>
      <c r="G16" s="163"/>
      <c r="H16" s="163"/>
      <c r="I16" s="163"/>
      <c r="J16" s="163"/>
      <c r="K16" s="163"/>
      <c r="L16" s="163"/>
      <c r="M16" s="163"/>
      <c r="N16" s="163"/>
      <c r="O16" s="163"/>
      <c r="P16" s="163"/>
      <c r="Q16" s="163"/>
      <c r="R16" s="163"/>
      <c r="S16" s="164"/>
    </row>
  </sheetData>
  <sheetProtection algorithmName="SHA-512" hashValue="L1VgFl3sWBDyBeCysNO66W+5+JKPrd0bnlMVTwESRuKpLMz7wXE3WJqVCrSwwpNpgV0tZI6Zq/MK+2CmDeKHIg==" saltValue="PDdA0wHrztxCbqOnmBTN4g==" spinCount="100000" sheet="1" objects="1" scenarios="1"/>
  <mergeCells count="15">
    <mergeCell ref="B13:S13"/>
    <mergeCell ref="B14:S14"/>
    <mergeCell ref="B15:S15"/>
    <mergeCell ref="B16:S16"/>
    <mergeCell ref="B2:S2"/>
    <mergeCell ref="B3:S3"/>
    <mergeCell ref="B4:S4"/>
    <mergeCell ref="B5:S5"/>
    <mergeCell ref="B6:S6"/>
    <mergeCell ref="B7:S7"/>
    <mergeCell ref="C8:G8"/>
    <mergeCell ref="C10:F10"/>
    <mergeCell ref="C12:G12"/>
    <mergeCell ref="B9:S9"/>
    <mergeCell ref="B11:S11"/>
  </mergeCells>
  <conditionalFormatting sqref="C12">
    <cfRule type="cellIs" dxfId="64" priority="1" operator="greaterThan">
      <formula>0</formula>
    </cfRule>
  </conditionalFormatting>
  <pageMargins left="0.25" right="0.25" top="0.75" bottom="0.75" header="0.3" footer="0.3"/>
  <pageSetup scale="72"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BC8D-90E5-4328-B9B6-D32A8A271D28}">
  <sheetPr>
    <tabColor theme="4"/>
    <pageSetUpPr fitToPage="1"/>
  </sheetPr>
  <dimension ref="B1:I57"/>
  <sheetViews>
    <sheetView showGridLines="0" zoomScale="90" zoomScaleNormal="90" workbookViewId="0">
      <selection activeCell="G10" sqref="G10:I10"/>
    </sheetView>
  </sheetViews>
  <sheetFormatPr defaultRowHeight="15.75" x14ac:dyDescent="0.25"/>
  <cols>
    <col min="2" max="2" width="10.875" customWidth="1"/>
    <col min="3" max="4" width="9" customWidth="1"/>
    <col min="5" max="5" width="11.375" customWidth="1"/>
    <col min="6" max="6" width="11.875" customWidth="1"/>
    <col min="7" max="7" width="17.875" customWidth="1"/>
    <col min="9" max="9" width="12.75" customWidth="1"/>
  </cols>
  <sheetData>
    <row r="1" spans="2:9" ht="16.5" thickBot="1" x14ac:dyDescent="0.3"/>
    <row r="2" spans="2:9" x14ac:dyDescent="0.25">
      <c r="B2" s="303" t="s">
        <v>182</v>
      </c>
      <c r="C2" s="304"/>
      <c r="D2" s="304"/>
      <c r="E2" s="304"/>
      <c r="F2" s="304"/>
      <c r="G2" s="304"/>
      <c r="H2" s="304"/>
      <c r="I2" s="305"/>
    </row>
    <row r="3" spans="2:9" ht="16.5" thickBot="1" x14ac:dyDescent="0.3">
      <c r="B3" s="306"/>
      <c r="C3" s="307"/>
      <c r="D3" s="307"/>
      <c r="E3" s="307"/>
      <c r="F3" s="307"/>
      <c r="G3" s="307"/>
      <c r="H3" s="307"/>
      <c r="I3" s="308"/>
    </row>
    <row r="4" spans="2:9" x14ac:dyDescent="0.25">
      <c r="B4" s="309" t="s">
        <v>183</v>
      </c>
      <c r="C4" s="310"/>
      <c r="D4" s="310"/>
      <c r="E4" s="310"/>
      <c r="F4" s="310"/>
      <c r="G4" s="311"/>
      <c r="H4" s="312"/>
      <c r="I4" s="313"/>
    </row>
    <row r="5" spans="2:9" x14ac:dyDescent="0.25">
      <c r="B5" s="314" t="s">
        <v>184</v>
      </c>
      <c r="C5" s="315"/>
      <c r="D5" s="315"/>
      <c r="E5" s="315"/>
      <c r="F5" s="315"/>
      <c r="G5" s="316"/>
      <c r="H5" s="317" t="s">
        <v>185</v>
      </c>
      <c r="I5" s="318"/>
    </row>
    <row r="6" spans="2:9" ht="16.5" thickBot="1" x14ac:dyDescent="0.3">
      <c r="B6" s="319" t="s">
        <v>186</v>
      </c>
      <c r="C6" s="320"/>
      <c r="D6" s="320"/>
      <c r="E6" s="320"/>
      <c r="F6" s="320"/>
      <c r="G6" s="320"/>
      <c r="H6" s="320"/>
      <c r="I6" s="321"/>
    </row>
    <row r="7" spans="2:9" ht="16.5" thickBot="1" x14ac:dyDescent="0.3">
      <c r="B7" s="291"/>
      <c r="C7" s="291"/>
      <c r="D7" s="291"/>
      <c r="E7" s="291"/>
      <c r="F7" s="291"/>
      <c r="G7" s="291"/>
      <c r="H7" s="291"/>
      <c r="I7" s="291"/>
    </row>
    <row r="8" spans="2:9" ht="22.5" customHeight="1" x14ac:dyDescent="0.25">
      <c r="B8" s="292" t="s">
        <v>216</v>
      </c>
      <c r="C8" s="293"/>
      <c r="D8" s="293"/>
      <c r="E8" s="293"/>
      <c r="F8" s="293"/>
      <c r="G8" s="293"/>
      <c r="H8" s="293"/>
      <c r="I8" s="294"/>
    </row>
    <row r="9" spans="2:9" ht="22.5" customHeight="1" thickBot="1" x14ac:dyDescent="0.3">
      <c r="B9" s="295"/>
      <c r="C9" s="296"/>
      <c r="D9" s="296"/>
      <c r="E9" s="296"/>
      <c r="F9" s="296"/>
      <c r="G9" s="296"/>
      <c r="H9" s="296"/>
      <c r="I9" s="297"/>
    </row>
    <row r="10" spans="2:9" ht="33" customHeight="1" thickBot="1" x14ac:dyDescent="0.3">
      <c r="B10" s="298" t="s">
        <v>257</v>
      </c>
      <c r="C10" s="299"/>
      <c r="D10" s="299"/>
      <c r="E10" s="299"/>
      <c r="F10" s="299"/>
      <c r="G10" s="300"/>
      <c r="H10" s="301"/>
      <c r="I10" s="302"/>
    </row>
    <row r="11" spans="2:9" ht="16.5" thickBot="1" x14ac:dyDescent="0.3">
      <c r="B11" s="277"/>
      <c r="C11" s="277"/>
      <c r="D11" s="277"/>
      <c r="E11" s="277"/>
      <c r="F11" s="277"/>
      <c r="G11" s="277"/>
      <c r="H11" s="277"/>
      <c r="I11" s="277"/>
    </row>
    <row r="12" spans="2:9" ht="21" x14ac:dyDescent="0.25">
      <c r="B12" s="285" t="s">
        <v>276</v>
      </c>
      <c r="C12" s="286"/>
      <c r="D12" s="286"/>
      <c r="E12" s="286"/>
      <c r="F12" s="286"/>
      <c r="G12" s="124" t="str">
        <f>IF(DistrictName&lt;&gt;0,DistrictName,"")</f>
        <v/>
      </c>
      <c r="H12" s="278">
        <v>0.03</v>
      </c>
      <c r="I12" s="279"/>
    </row>
    <row r="13" spans="2:9" ht="21" x14ac:dyDescent="0.25">
      <c r="B13" s="287"/>
      <c r="C13" s="288"/>
      <c r="D13" s="288"/>
      <c r="E13" s="288"/>
      <c r="F13" s="288"/>
      <c r="G13" s="125" t="str">
        <f>IF(DistrictName&lt;&gt;0,"Road &amp; Bridge","")</f>
        <v/>
      </c>
      <c r="H13" s="289">
        <v>0.03</v>
      </c>
      <c r="I13" s="290"/>
    </row>
    <row r="14" spans="2:9" ht="12" customHeight="1" x14ac:dyDescent="0.25">
      <c r="B14" s="216"/>
      <c r="C14" s="217"/>
      <c r="D14" s="217"/>
      <c r="E14" s="217"/>
      <c r="F14" s="217"/>
      <c r="G14" s="217"/>
      <c r="H14" s="217"/>
      <c r="I14" s="218"/>
    </row>
    <row r="15" spans="2:9" ht="21" customHeight="1" x14ac:dyDescent="0.25">
      <c r="B15" s="280" t="s">
        <v>187</v>
      </c>
      <c r="C15" s="281"/>
      <c r="D15" s="281"/>
      <c r="E15" s="281"/>
      <c r="F15" s="281"/>
      <c r="G15" s="124" t="str">
        <f>IF(DistrictName&lt;&gt;0,DistrictName,"")</f>
        <v/>
      </c>
      <c r="H15" s="254"/>
      <c r="I15" s="255"/>
    </row>
    <row r="16" spans="2:9" ht="21" customHeight="1" x14ac:dyDescent="0.25">
      <c r="B16" s="282" t="s">
        <v>188</v>
      </c>
      <c r="C16" s="283"/>
      <c r="D16" s="283"/>
      <c r="E16" s="283"/>
      <c r="F16" s="284"/>
      <c r="G16" s="125" t="str">
        <f>IF(DistrictName&lt;&gt;0,"Road &amp; Bridge","")</f>
        <v/>
      </c>
      <c r="H16" s="254"/>
      <c r="I16" s="255"/>
    </row>
    <row r="17" spans="2:9" ht="12" customHeight="1" x14ac:dyDescent="0.25">
      <c r="B17" s="216"/>
      <c r="C17" s="217"/>
      <c r="D17" s="217"/>
      <c r="E17" s="217"/>
      <c r="F17" s="217"/>
      <c r="G17" s="217"/>
      <c r="H17" s="217"/>
      <c r="I17" s="218"/>
    </row>
    <row r="18" spans="2:9" ht="21.75" customHeight="1" x14ac:dyDescent="0.25">
      <c r="B18" s="183" t="s">
        <v>217</v>
      </c>
      <c r="C18" s="184"/>
      <c r="D18" s="184"/>
      <c r="E18" s="184"/>
      <c r="F18" s="185"/>
      <c r="G18" s="124" t="str">
        <f>IF(DistrictName&lt;&gt;0,DistrictName,"")</f>
        <v/>
      </c>
      <c r="H18" s="254"/>
      <c r="I18" s="255"/>
    </row>
    <row r="19" spans="2:9" ht="21.75" customHeight="1" x14ac:dyDescent="0.25">
      <c r="B19" s="186"/>
      <c r="C19" s="187"/>
      <c r="D19" s="187"/>
      <c r="E19" s="187"/>
      <c r="F19" s="188"/>
      <c r="G19" s="125" t="str">
        <f>IF(DistrictName&lt;&gt;0,"Road &amp; Bridge","")</f>
        <v/>
      </c>
      <c r="H19" s="254"/>
      <c r="I19" s="255"/>
    </row>
    <row r="20" spans="2:9" ht="12" customHeight="1" x14ac:dyDescent="0.25">
      <c r="B20" s="189"/>
      <c r="C20" s="190"/>
      <c r="D20" s="190"/>
      <c r="E20" s="190"/>
      <c r="F20" s="190"/>
      <c r="G20" s="190"/>
      <c r="H20" s="190"/>
      <c r="I20" s="191"/>
    </row>
    <row r="21" spans="2:9" x14ac:dyDescent="0.25">
      <c r="B21" s="274" t="s">
        <v>215</v>
      </c>
      <c r="C21" s="275"/>
      <c r="D21" s="275"/>
      <c r="E21" s="275"/>
      <c r="F21" s="275"/>
      <c r="G21" s="276"/>
      <c r="H21" s="245"/>
      <c r="I21" s="246"/>
    </row>
    <row r="22" spans="2:9" ht="21" customHeight="1" x14ac:dyDescent="0.25">
      <c r="B22" s="183" t="s">
        <v>278</v>
      </c>
      <c r="C22" s="219"/>
      <c r="D22" s="219"/>
      <c r="E22" s="219"/>
      <c r="F22" s="220"/>
      <c r="G22" s="124" t="str">
        <f>IF(DistrictName&lt;&gt;0,DistrictName,"")</f>
        <v/>
      </c>
      <c r="H22" s="254"/>
      <c r="I22" s="255"/>
    </row>
    <row r="23" spans="2:9" ht="21" customHeight="1" x14ac:dyDescent="0.25">
      <c r="B23" s="221"/>
      <c r="C23" s="222"/>
      <c r="D23" s="222"/>
      <c r="E23" s="222"/>
      <c r="F23" s="223"/>
      <c r="G23" s="148" t="str">
        <f>IF(DistrictName&lt;&gt;0,"Road &amp; Bridge","")</f>
        <v/>
      </c>
      <c r="H23" s="254"/>
      <c r="I23" s="255"/>
    </row>
    <row r="24" spans="2:9" ht="21" customHeight="1" x14ac:dyDescent="0.25">
      <c r="B24" s="266" t="s">
        <v>279</v>
      </c>
      <c r="C24" s="267"/>
      <c r="D24" s="267"/>
      <c r="E24" s="267"/>
      <c r="F24" s="268"/>
      <c r="G24" s="147" t="str">
        <f>IF(DistrictName&lt;&gt;0,DistrictName,"")</f>
        <v/>
      </c>
      <c r="H24" s="272"/>
      <c r="I24" s="273"/>
    </row>
    <row r="25" spans="2:9" ht="21" customHeight="1" thickBot="1" x14ac:dyDescent="0.3">
      <c r="B25" s="269"/>
      <c r="C25" s="270"/>
      <c r="D25" s="270"/>
      <c r="E25" s="270"/>
      <c r="F25" s="271"/>
      <c r="G25" s="125" t="str">
        <f>IF(DistrictName&lt;&gt;0,"Road &amp; Bridge","")</f>
        <v/>
      </c>
      <c r="H25" s="254"/>
      <c r="I25" s="255"/>
    </row>
    <row r="26" spans="2:9" ht="16.5" customHeight="1" thickBot="1" x14ac:dyDescent="0.3">
      <c r="B26" s="256"/>
      <c r="C26" s="256"/>
      <c r="D26" s="256"/>
      <c r="E26" s="256"/>
      <c r="F26" s="256"/>
      <c r="G26" s="256"/>
      <c r="H26" s="256"/>
      <c r="I26" s="256"/>
    </row>
    <row r="27" spans="2:9" ht="15.75" customHeight="1" x14ac:dyDescent="0.25">
      <c r="B27" s="257" t="s">
        <v>191</v>
      </c>
      <c r="C27" s="258"/>
      <c r="D27" s="258"/>
      <c r="E27" s="258"/>
      <c r="F27" s="258"/>
      <c r="G27" s="258"/>
      <c r="H27" s="258"/>
      <c r="I27" s="259"/>
    </row>
    <row r="28" spans="2:9" ht="15.75" customHeight="1" x14ac:dyDescent="0.25">
      <c r="B28" s="260" t="s">
        <v>192</v>
      </c>
      <c r="C28" s="261"/>
      <c r="D28" s="261"/>
      <c r="E28" s="261"/>
      <c r="F28" s="261"/>
      <c r="G28" s="262"/>
      <c r="H28" s="263"/>
      <c r="I28" s="264"/>
    </row>
    <row r="29" spans="2:9" x14ac:dyDescent="0.25">
      <c r="B29" s="189" t="s">
        <v>193</v>
      </c>
      <c r="C29" s="190"/>
      <c r="D29" s="190"/>
      <c r="E29" s="190"/>
      <c r="F29" s="190"/>
      <c r="G29" s="265"/>
      <c r="H29" s="254"/>
      <c r="I29" s="255"/>
    </row>
    <row r="30" spans="2:9" x14ac:dyDescent="0.25">
      <c r="B30" s="250" t="s">
        <v>194</v>
      </c>
      <c r="C30" s="251"/>
      <c r="D30" s="251"/>
      <c r="E30" s="251"/>
      <c r="F30" s="251"/>
      <c r="G30" s="251"/>
      <c r="H30" s="252"/>
      <c r="I30" s="253"/>
    </row>
    <row r="31" spans="2:9" x14ac:dyDescent="0.25">
      <c r="B31" s="240" t="s">
        <v>195</v>
      </c>
      <c r="C31" s="241"/>
      <c r="D31" s="241"/>
      <c r="E31" s="241"/>
      <c r="F31" s="241"/>
      <c r="G31" s="242"/>
      <c r="H31" s="243"/>
      <c r="I31" s="244"/>
    </row>
    <row r="32" spans="2:9" ht="33" customHeight="1" x14ac:dyDescent="0.25">
      <c r="B32" s="177" t="s">
        <v>196</v>
      </c>
      <c r="C32" s="178"/>
      <c r="D32" s="178"/>
      <c r="E32" s="178"/>
      <c r="F32" s="178"/>
      <c r="G32" s="179"/>
      <c r="H32" s="245"/>
      <c r="I32" s="246"/>
    </row>
    <row r="33" spans="2:9" x14ac:dyDescent="0.25">
      <c r="B33" s="247" t="s">
        <v>197</v>
      </c>
      <c r="C33" s="248"/>
      <c r="D33" s="248"/>
      <c r="E33" s="248"/>
      <c r="F33" s="248"/>
      <c r="G33" s="249"/>
      <c r="H33" s="243"/>
      <c r="I33" s="244"/>
    </row>
    <row r="34" spans="2:9" ht="33" customHeight="1" x14ac:dyDescent="0.25">
      <c r="B34" s="210" t="s">
        <v>198</v>
      </c>
      <c r="C34" s="211"/>
      <c r="D34" s="211"/>
      <c r="E34" s="211"/>
      <c r="F34" s="211"/>
      <c r="G34" s="212"/>
      <c r="H34" s="204"/>
      <c r="I34" s="205"/>
    </row>
    <row r="35" spans="2:9" ht="16.5" thickBot="1" x14ac:dyDescent="0.3">
      <c r="B35" s="213" t="s">
        <v>199</v>
      </c>
      <c r="C35" s="214"/>
      <c r="D35" s="214"/>
      <c r="E35" s="214"/>
      <c r="F35" s="214"/>
      <c r="G35" s="215"/>
      <c r="H35" s="234"/>
      <c r="I35" s="235"/>
    </row>
    <row r="36" spans="2:9" ht="16.5" thickBot="1" x14ac:dyDescent="0.3">
      <c r="B36" s="236"/>
      <c r="C36" s="236"/>
      <c r="D36" s="236"/>
      <c r="E36" s="236"/>
      <c r="F36" s="236"/>
      <c r="G36" s="236"/>
      <c r="H36" s="236"/>
      <c r="I36" s="236"/>
    </row>
    <row r="37" spans="2:9" ht="24" thickBot="1" x14ac:dyDescent="0.4">
      <c r="B37" s="237" t="s">
        <v>214</v>
      </c>
      <c r="C37" s="238"/>
      <c r="D37" s="238"/>
      <c r="E37" s="238"/>
      <c r="F37" s="238"/>
      <c r="G37" s="238"/>
      <c r="H37" s="238"/>
      <c r="I37" s="239"/>
    </row>
    <row r="38" spans="2:9" x14ac:dyDescent="0.25">
      <c r="B38" s="197" t="s">
        <v>200</v>
      </c>
      <c r="C38" s="198"/>
      <c r="D38" s="198"/>
      <c r="E38" s="198"/>
      <c r="F38" s="198"/>
      <c r="G38" s="199"/>
      <c r="H38" s="200">
        <f>IFERROR(IF($G$10&lt;&gt;0,INDEX(DataDump!Y2:Y25,MATCH($G$10,DataDump!C2:C25,0)),0),"")</f>
        <v>0</v>
      </c>
      <c r="I38" s="201"/>
    </row>
    <row r="39" spans="2:9" x14ac:dyDescent="0.25">
      <c r="B39" s="202" t="s">
        <v>218</v>
      </c>
      <c r="C39" s="203"/>
      <c r="D39" s="203"/>
      <c r="E39" s="203"/>
      <c r="F39" s="203"/>
      <c r="G39" s="203"/>
      <c r="H39" s="204"/>
      <c r="I39" s="205"/>
    </row>
    <row r="40" spans="2:9" x14ac:dyDescent="0.25">
      <c r="B40" s="206" t="s">
        <v>201</v>
      </c>
      <c r="C40" s="207"/>
      <c r="D40" s="207"/>
      <c r="E40" s="207"/>
      <c r="F40" s="207"/>
      <c r="G40" s="207"/>
      <c r="H40" s="208" t="str">
        <f>IFERROR(MAX(ROUND(MIN($H$38,'2. L-2 Worksheet'!$I$54*0.01),0),0),"")</f>
        <v/>
      </c>
      <c r="I40" s="209"/>
    </row>
    <row r="41" spans="2:9" x14ac:dyDescent="0.25">
      <c r="B41" s="206" t="s">
        <v>202</v>
      </c>
      <c r="C41" s="207"/>
      <c r="D41" s="207"/>
      <c r="E41" s="207"/>
      <c r="F41" s="207"/>
      <c r="G41" s="207"/>
      <c r="H41" s="195"/>
      <c r="I41" s="196"/>
    </row>
    <row r="42" spans="2:9" x14ac:dyDescent="0.25">
      <c r="B42" s="206" t="s">
        <v>203</v>
      </c>
      <c r="C42" s="207"/>
      <c r="D42" s="207"/>
      <c r="E42" s="207"/>
      <c r="F42" s="207"/>
      <c r="G42" s="207"/>
      <c r="H42" s="208" t="str">
        <f>IF(DistrictName&lt;&gt;0,MIN(ROUND(0.03*('2. L-2 Worksheet'!I54),0),'2. L-2 Worksheet'!G56),"")</f>
        <v/>
      </c>
      <c r="I42" s="209"/>
    </row>
    <row r="43" spans="2:9" x14ac:dyDescent="0.25">
      <c r="B43" s="206" t="s">
        <v>204</v>
      </c>
      <c r="C43" s="207"/>
      <c r="D43" s="207"/>
      <c r="E43" s="207"/>
      <c r="F43" s="207"/>
      <c r="G43" s="207"/>
      <c r="H43" s="195"/>
      <c r="I43" s="196"/>
    </row>
    <row r="44" spans="2:9" ht="16.5" thickBot="1" x14ac:dyDescent="0.3">
      <c r="B44" s="224" t="s">
        <v>205</v>
      </c>
      <c r="C44" s="225"/>
      <c r="D44" s="225"/>
      <c r="E44" s="225"/>
      <c r="F44" s="225"/>
      <c r="G44" s="225"/>
      <c r="H44" s="225"/>
      <c r="I44" s="226"/>
    </row>
    <row r="45" spans="2:9" ht="8.25" customHeight="1" x14ac:dyDescent="0.25">
      <c r="B45" s="143"/>
      <c r="C45" s="143"/>
      <c r="D45" s="143"/>
      <c r="E45" s="143"/>
      <c r="F45" s="143"/>
      <c r="G45" s="143"/>
      <c r="H45" s="143"/>
      <c r="I45" s="143"/>
    </row>
    <row r="46" spans="2:9" ht="8.25" customHeight="1" thickBot="1" x14ac:dyDescent="0.3">
      <c r="B46" s="227"/>
      <c r="C46" s="227"/>
      <c r="D46" s="227"/>
      <c r="E46" s="227"/>
      <c r="F46" s="227"/>
      <c r="G46" s="227"/>
      <c r="H46" s="227"/>
      <c r="I46" s="227"/>
    </row>
    <row r="47" spans="2:9" ht="26.25" x14ac:dyDescent="0.25">
      <c r="B47" s="228" t="s">
        <v>206</v>
      </c>
      <c r="C47" s="229"/>
      <c r="D47" s="229"/>
      <c r="E47" s="229"/>
      <c r="F47" s="229"/>
      <c r="G47" s="229"/>
      <c r="H47" s="229"/>
      <c r="I47" s="230"/>
    </row>
    <row r="48" spans="2:9" ht="49.15" customHeight="1" x14ac:dyDescent="0.25">
      <c r="B48" s="231" t="s">
        <v>277</v>
      </c>
      <c r="C48" s="232"/>
      <c r="D48" s="232"/>
      <c r="E48" s="232"/>
      <c r="F48" s="232"/>
      <c r="G48" s="232"/>
      <c r="H48" s="232"/>
      <c r="I48" s="233"/>
    </row>
    <row r="49" spans="2:9" x14ac:dyDescent="0.25">
      <c r="B49" s="192" t="s">
        <v>207</v>
      </c>
      <c r="C49" s="193"/>
      <c r="D49" s="193"/>
      <c r="E49" s="193"/>
      <c r="F49" s="193"/>
      <c r="G49" s="194"/>
      <c r="H49" s="119" t="str">
        <f>IFERROR(I49/'2. L-2 Worksheet'!$I$20,"")</f>
        <v/>
      </c>
      <c r="I49" s="120">
        <f>IF(DistrictName&lt;&gt;0,SUM('2. L-2 Worksheet'!I22:I23),0)</f>
        <v>0</v>
      </c>
    </row>
    <row r="50" spans="2:9" x14ac:dyDescent="0.25">
      <c r="B50" s="192" t="s">
        <v>208</v>
      </c>
      <c r="C50" s="193"/>
      <c r="D50" s="193"/>
      <c r="E50" s="193"/>
      <c r="F50" s="193"/>
      <c r="G50" s="194"/>
      <c r="H50" s="119" t="str">
        <f>IFERROR(I50/'2. L-2 Worksheet'!$I$20,"")</f>
        <v/>
      </c>
      <c r="I50" s="120">
        <f>IF(DistrictName&lt;&gt;0,'2. L-2 Worksheet'!I39,0)</f>
        <v>0</v>
      </c>
    </row>
    <row r="51" spans="2:9" x14ac:dyDescent="0.25">
      <c r="B51" s="192" t="s">
        <v>209</v>
      </c>
      <c r="C51" s="193"/>
      <c r="D51" s="193"/>
      <c r="E51" s="193"/>
      <c r="F51" s="193"/>
      <c r="G51" s="194"/>
      <c r="H51" s="119" t="str">
        <f>IFERROR(I51/'2. L-2 Worksheet'!$I$20,"")</f>
        <v/>
      </c>
      <c r="I51" s="120">
        <f>IFERROR(MIN('2. L-2 Worksheet'!G53-'2. L-2 Worksheet'!G52,0),0)</f>
        <v>0</v>
      </c>
    </row>
    <row r="52" spans="2:9" x14ac:dyDescent="0.25">
      <c r="B52" s="192" t="str">
        <f>IF(H21="Yes","Terminating Urban Renewal allowable increase","")</f>
        <v/>
      </c>
      <c r="C52" s="193"/>
      <c r="D52" s="193"/>
      <c r="E52" s="193"/>
      <c r="F52" s="193"/>
      <c r="G52" s="194"/>
      <c r="H52" s="119" t="str">
        <f>IFERROR(I52/'2. L-2 Worksheet'!$I$20,"")</f>
        <v/>
      </c>
      <c r="I52" s="120">
        <f>IF(H21="Yes",'2. L-2 Worksheet'!I50,0)</f>
        <v>0</v>
      </c>
    </row>
    <row r="53" spans="2:9" x14ac:dyDescent="0.25">
      <c r="B53" s="192" t="str">
        <f>IF(H28="Yes","Effect of changing solar farm tax revenue","")</f>
        <v/>
      </c>
      <c r="C53" s="193"/>
      <c r="D53" s="193"/>
      <c r="E53" s="193"/>
      <c r="F53" s="193"/>
      <c r="G53" s="194"/>
      <c r="H53" s="119" t="str">
        <f>IFERROR(I53/'2. L-2 Worksheet'!$I$20,"")</f>
        <v/>
      </c>
      <c r="I53" s="120" t="str">
        <f>IFERROR(IF(H28="Yes",
      IF('2. L-2 Worksheet'!I15=MAX('2. L-2 Worksheet'!E15:I15),'2. L-2 Worksheet'!I13-'2. L-2 Worksheet'!G70,
      IF('2. L-2 Worksheet'!G15=MAX('2. L-2 Worksheet'!E15:I15),'2. L-2 Worksheet'!G13-'2. L-2 Worksheet'!G70,
      IF('2. L-2 Worksheet'!E15=MAX('2. L-2 Worksheet'!E15:I15),'2. L-2 Worksheet'!E13-'2. L-2 Worksheet'!G70))),""),0)</f>
        <v/>
      </c>
    </row>
    <row r="54" spans="2:9" x14ac:dyDescent="0.25">
      <c r="B54" s="192" t="s">
        <v>210</v>
      </c>
      <c r="C54" s="193"/>
      <c r="D54" s="193"/>
      <c r="E54" s="193"/>
      <c r="F54" s="193"/>
      <c r="G54" s="194"/>
      <c r="H54" s="119" t="str">
        <f>IFERROR(I54/'2. L-2 Worksheet'!$I$20,"")</f>
        <v/>
      </c>
      <c r="I54" s="120">
        <f>SUM(-H31,-H33,-H35)</f>
        <v>0</v>
      </c>
    </row>
    <row r="55" spans="2:9" x14ac:dyDescent="0.25">
      <c r="B55" s="177" t="s">
        <v>211</v>
      </c>
      <c r="C55" s="178"/>
      <c r="D55" s="178"/>
      <c r="E55" s="178"/>
      <c r="F55" s="178"/>
      <c r="G55" s="179"/>
      <c r="H55" s="121" t="str">
        <f>IFERROR(I55/'2. L-2 Worksheet'!$I$54,"")</f>
        <v/>
      </c>
      <c r="I55" s="120">
        <f>IF(DistrictName&lt;&gt;0,H41,0)</f>
        <v>0</v>
      </c>
    </row>
    <row r="56" spans="2:9" x14ac:dyDescent="0.25">
      <c r="B56" s="177" t="s">
        <v>212</v>
      </c>
      <c r="C56" s="178"/>
      <c r="D56" s="178"/>
      <c r="E56" s="178"/>
      <c r="F56" s="178"/>
      <c r="G56" s="179"/>
      <c r="H56" s="121" t="str">
        <f>IFERROR(I56/'2. L-2 Worksheet'!$I$54,"")</f>
        <v/>
      </c>
      <c r="I56" s="120">
        <f>IF(DistrictName&lt;&gt;0,H43,0)</f>
        <v>0</v>
      </c>
    </row>
    <row r="57" spans="2:9" ht="16.5" thickBot="1" x14ac:dyDescent="0.3">
      <c r="B57" s="180" t="s">
        <v>213</v>
      </c>
      <c r="C57" s="181"/>
      <c r="D57" s="181"/>
      <c r="E57" s="181"/>
      <c r="F57" s="181"/>
      <c r="G57" s="182"/>
      <c r="H57" s="122" t="str">
        <f>IFERROR(ROUND(I57/'2. L-2 Worksheet'!$I$20,4),"")</f>
        <v/>
      </c>
      <c r="I57" s="123">
        <f>SUM(I49:I56)</f>
        <v>0</v>
      </c>
    </row>
  </sheetData>
  <sheetProtection algorithmName="SHA-512" hashValue="ZtknTROYvzs7RXdNpJCPlqdKwg4eZTrffBtIJCp1hs/3UGSr22QJSNFX1UOJxbsFjIu+4b31V905rWam69Ra6w==" saltValue="g0ye3Qt6xLsnsDdmyvAAIg==" spinCount="100000" sheet="1" selectLockedCells="1"/>
  <protectedRanges>
    <protectedRange sqref="H47:H48 G10:I10 H12:H30" name="Range1_7"/>
  </protectedRanges>
  <mergeCells count="77">
    <mergeCell ref="B7:I7"/>
    <mergeCell ref="B8:I9"/>
    <mergeCell ref="B10:F10"/>
    <mergeCell ref="G10:I10"/>
    <mergeCell ref="B2:I3"/>
    <mergeCell ref="B4:G4"/>
    <mergeCell ref="H4:I4"/>
    <mergeCell ref="B5:G5"/>
    <mergeCell ref="H5:I5"/>
    <mergeCell ref="B6:I6"/>
    <mergeCell ref="B11:I11"/>
    <mergeCell ref="H12:I12"/>
    <mergeCell ref="B15:F15"/>
    <mergeCell ref="H15:I15"/>
    <mergeCell ref="B16:F16"/>
    <mergeCell ref="H16:I16"/>
    <mergeCell ref="B12:F13"/>
    <mergeCell ref="H13:I13"/>
    <mergeCell ref="B14:I14"/>
    <mergeCell ref="B21:G21"/>
    <mergeCell ref="H21:I21"/>
    <mergeCell ref="H22:I22"/>
    <mergeCell ref="H19:I19"/>
    <mergeCell ref="H18:I18"/>
    <mergeCell ref="B30:G30"/>
    <mergeCell ref="H30:I30"/>
    <mergeCell ref="H23:I23"/>
    <mergeCell ref="B26:I26"/>
    <mergeCell ref="B27:I27"/>
    <mergeCell ref="B28:G28"/>
    <mergeCell ref="H28:I28"/>
    <mergeCell ref="B29:G29"/>
    <mergeCell ref="H29:I29"/>
    <mergeCell ref="B24:F25"/>
    <mergeCell ref="H24:I24"/>
    <mergeCell ref="H25:I25"/>
    <mergeCell ref="H35:I35"/>
    <mergeCell ref="B36:I36"/>
    <mergeCell ref="B37:I37"/>
    <mergeCell ref="B31:G31"/>
    <mergeCell ref="H31:I31"/>
    <mergeCell ref="B32:G32"/>
    <mergeCell ref="H32:I32"/>
    <mergeCell ref="B33:G33"/>
    <mergeCell ref="H33:I33"/>
    <mergeCell ref="B17:I17"/>
    <mergeCell ref="B22:F23"/>
    <mergeCell ref="B51:G51"/>
    <mergeCell ref="B52:G52"/>
    <mergeCell ref="B53:G53"/>
    <mergeCell ref="B44:I44"/>
    <mergeCell ref="B46:I46"/>
    <mergeCell ref="B47:I47"/>
    <mergeCell ref="B48:I48"/>
    <mergeCell ref="B49:G49"/>
    <mergeCell ref="B50:G50"/>
    <mergeCell ref="B41:G41"/>
    <mergeCell ref="H41:I41"/>
    <mergeCell ref="B42:G42"/>
    <mergeCell ref="H42:I42"/>
    <mergeCell ref="B43:G43"/>
    <mergeCell ref="B55:G55"/>
    <mergeCell ref="B56:G56"/>
    <mergeCell ref="B57:G57"/>
    <mergeCell ref="B18:F19"/>
    <mergeCell ref="B20:I20"/>
    <mergeCell ref="B54:G54"/>
    <mergeCell ref="H43:I43"/>
    <mergeCell ref="B38:G38"/>
    <mergeCell ref="H38:I38"/>
    <mergeCell ref="B39:G39"/>
    <mergeCell ref="H39:I39"/>
    <mergeCell ref="B40:G40"/>
    <mergeCell ref="H40:I40"/>
    <mergeCell ref="B34:G34"/>
    <mergeCell ref="H34:I34"/>
    <mergeCell ref="B35:G35"/>
  </mergeCells>
  <conditionalFormatting sqref="B11:B12 H12:I13 B15:G16 B17:B18 G18:G19 B20 B21:G21 B22 G22:G25 B24 B26 B28:G35 B36 B39:B43 B49:B57 H49:I57">
    <cfRule type="expression" dxfId="63" priority="4">
      <formula>DistrictName=""</formula>
    </cfRule>
  </conditionalFormatting>
  <conditionalFormatting sqref="B22">
    <cfRule type="expression" dxfId="62" priority="33">
      <formula>$H$21&lt;&gt;"Yes"</formula>
    </cfRule>
  </conditionalFormatting>
  <conditionalFormatting sqref="B24">
    <cfRule type="expression" dxfId="61" priority="2">
      <formula>$H$21&lt;&gt;"Yes"</formula>
    </cfRule>
  </conditionalFormatting>
  <conditionalFormatting sqref="B29">
    <cfRule type="expression" dxfId="60" priority="48">
      <formula>$H$28&lt;&gt;"Yes"</formula>
    </cfRule>
  </conditionalFormatting>
  <conditionalFormatting sqref="B31">
    <cfRule type="expression" dxfId="59" priority="49">
      <formula>$H$30&lt;&gt;"Yes"</formula>
    </cfRule>
  </conditionalFormatting>
  <conditionalFormatting sqref="B28:G28">
    <cfRule type="expression" dxfId="58" priority="77">
      <formula>OR($H$21="", AND($H$21="Yes",$H$22=0,$H$24=0))</formula>
    </cfRule>
  </conditionalFormatting>
  <conditionalFormatting sqref="B30:G30">
    <cfRule type="expression" dxfId="57" priority="45">
      <formula>OR($H$28="",AND($H$28="Yes",$H$29=0))</formula>
    </cfRule>
  </conditionalFormatting>
  <conditionalFormatting sqref="B32:G32">
    <cfRule type="expression" dxfId="56" priority="12">
      <formula>OR($H$30="", AND($H$30="Yes",$H$31=0))</formula>
    </cfRule>
  </conditionalFormatting>
  <conditionalFormatting sqref="B33:G33">
    <cfRule type="expression" dxfId="55" priority="14">
      <formula>$H$32&lt;&gt;"Yes"</formula>
    </cfRule>
  </conditionalFormatting>
  <conditionalFormatting sqref="B34:G34">
    <cfRule type="expression" dxfId="54" priority="37">
      <formula>OR($H$32="", AND($H$32="Yes",$H$33=0))</formula>
    </cfRule>
  </conditionalFormatting>
  <conditionalFormatting sqref="B35:G35">
    <cfRule type="expression" dxfId="53" priority="40">
      <formula>$H$34&lt;&gt;"Yes"</formula>
    </cfRule>
  </conditionalFormatting>
  <conditionalFormatting sqref="B21:I21 G22:G25">
    <cfRule type="expression" dxfId="52" priority="3">
      <formula>SUM($H$15:$I$16,$H$18:$I$19)=0</formula>
    </cfRule>
  </conditionalFormatting>
  <conditionalFormatting sqref="B44:I45">
    <cfRule type="expression" dxfId="51" priority="32">
      <formula>OR($H$39&lt;&gt;"Yes", AND($H$41=0,$H$43=0))</formula>
    </cfRule>
  </conditionalFormatting>
  <conditionalFormatting sqref="H5">
    <cfRule type="cellIs" dxfId="50" priority="39" operator="greaterThan">
      <formula>0.03</formula>
    </cfRule>
  </conditionalFormatting>
  <conditionalFormatting sqref="H29">
    <cfRule type="expression" dxfId="49" priority="47">
      <formula>$H$28&lt;&gt;"Yes"</formula>
    </cfRule>
  </conditionalFormatting>
  <conditionalFormatting sqref="H31">
    <cfRule type="expression" dxfId="48" priority="72">
      <formula>$H$30&lt;&gt;"Yes"</formula>
    </cfRule>
  </conditionalFormatting>
  <conditionalFormatting sqref="H33">
    <cfRule type="expression" dxfId="47" priority="15">
      <formula>$H$32&lt;&gt;"Yes"</formula>
    </cfRule>
  </conditionalFormatting>
  <conditionalFormatting sqref="H35">
    <cfRule type="expression" dxfId="46" priority="44">
      <formula>$H$34&lt;&gt;"Yes"</formula>
    </cfRule>
  </conditionalFormatting>
  <conditionalFormatting sqref="H39 H41 H43">
    <cfRule type="expression" dxfId="45" priority="22">
      <formula>OR($H$28="",$H$30="",$H$32="",$H$34="")</formula>
    </cfRule>
  </conditionalFormatting>
  <conditionalFormatting sqref="H40 H42 B39:G43">
    <cfRule type="expression" dxfId="44" priority="23">
      <formula>OR($H$28="",$H$30="",$H$32="",$H$34="")</formula>
    </cfRule>
  </conditionalFormatting>
  <conditionalFormatting sqref="H40 H42 B40:G43">
    <cfRule type="expression" dxfId="43" priority="51">
      <formula>OR($H$39&lt;&gt;"Yes",$H$38="N/A")</formula>
    </cfRule>
  </conditionalFormatting>
  <conditionalFormatting sqref="H41 H43">
    <cfRule type="expression" dxfId="42" priority="26">
      <formula>OR($H$39&lt;&gt;"Yes",$H$38="N/A")</formula>
    </cfRule>
    <cfRule type="expression" dxfId="41" priority="31">
      <formula>SUM($H$41,$H$43)&gt;$H$38</formula>
    </cfRule>
  </conditionalFormatting>
  <conditionalFormatting sqref="H41">
    <cfRule type="expression" dxfId="40" priority="28">
      <formula>$H$41&gt;$H$40</formula>
    </cfRule>
  </conditionalFormatting>
  <conditionalFormatting sqref="H43">
    <cfRule type="expression" dxfId="39" priority="30">
      <formula>$H$43&gt;$H$42</formula>
    </cfRule>
  </conditionalFormatting>
  <conditionalFormatting sqref="H15:I16 H18:I19 H21:I25 H28:I35 H39:I43">
    <cfRule type="expression" dxfId="38" priority="1">
      <formula>DistrictName=""</formula>
    </cfRule>
  </conditionalFormatting>
  <conditionalFormatting sqref="H22:I25">
    <cfRule type="expression" dxfId="37" priority="5">
      <formula>$H$21&lt;&gt;"Yes"</formula>
    </cfRule>
  </conditionalFormatting>
  <conditionalFormatting sqref="H28:I28">
    <cfRule type="expression" dxfId="36" priority="76">
      <formula>OR($H$21="", AND($H$21="Yes",$H$22=0,$H$24=0))</formula>
    </cfRule>
  </conditionalFormatting>
  <conditionalFormatting sqref="H28:I35">
    <cfRule type="expression" dxfId="35" priority="18">
      <formula>AND($H$21="Yes",$H$22=0,$H$23=0,$H$24=0,$H$25=0)</formula>
    </cfRule>
  </conditionalFormatting>
  <conditionalFormatting sqref="H29:I29">
    <cfRule type="expression" dxfId="34" priority="46">
      <formula>AND($H$28&lt;&gt;"Yes",$H$29&lt;&gt;0)</formula>
    </cfRule>
  </conditionalFormatting>
  <conditionalFormatting sqref="H30:I30">
    <cfRule type="expression" dxfId="33" priority="60">
      <formula>OR($H$28="",AND($H$28="Yes",$H$29=0))</formula>
    </cfRule>
  </conditionalFormatting>
  <conditionalFormatting sqref="H31:I31">
    <cfRule type="expression" dxfId="32" priority="43">
      <formula>AND($H$30&lt;&gt;"Yes",$H$31&lt;&gt;0)</formula>
    </cfRule>
  </conditionalFormatting>
  <conditionalFormatting sqref="H32:I32">
    <cfRule type="expression" dxfId="31" priority="13">
      <formula>OR($H$30="", AND($H$30="Yes",$H$31=0))</formula>
    </cfRule>
  </conditionalFormatting>
  <conditionalFormatting sqref="H34:I34">
    <cfRule type="expression" dxfId="30" priority="38">
      <formula>OR($H$32="", AND($H$32="Yes",$H$33=0))</formula>
    </cfRule>
  </conditionalFormatting>
  <dataValidations count="7">
    <dataValidation type="list" allowBlank="1" showInputMessage="1" showErrorMessage="1" error="This is a Yes/No question. Do not enter numbers in this field." prompt="The &quot;Recovered/Recaptured Property Tax and Refund List&quot; needs to be completed for this section._x000a__x000a_If there are no amounts to be reported on that form, answer these questions with &quot;No.&quot;" sqref="H28:I28" xr:uid="{F361AA98-9161-4A69-9D85-013C33D0341C}">
      <formula1>YesNo</formula1>
    </dataValidation>
    <dataValidation type="whole" operator="lessThanOrEqual" allowBlank="1" showInputMessage="1" showErrorMessage="1" error="That amount either exceeds the district's forgone balance or the 1% cap on forgone amounts recovered for M&amp;O." sqref="H41:I41" xr:uid="{81C7023C-5603-4C93-A050-395A4687ECFB}">
      <formula1>H40</formula1>
    </dataValidation>
    <dataValidation type="whole" operator="lessThanOrEqual" allowBlank="1" showInputMessage="1" showErrorMessage="1" error="That amount either exceeds the district's forgone balance or the 3% cap on forgone amounts recovered for capital projects." sqref="H43:I43" xr:uid="{6CCF9E6C-6FDD-424C-92D6-D8DB0F86907F}">
      <formula1>H42</formula1>
    </dataValidation>
    <dataValidation type="list" allowBlank="1" showInputMessage="1" showErrorMessage="1" error="This is a Yes/No question. Do not enter numbers in this field." sqref="H32:I32 H30:I30 H34:I34 H21:I21 H39:I39" xr:uid="{FFCB98F3-61DC-4296-9024-3ABBC87578A9}">
      <formula1>YesNo</formula1>
    </dataValidation>
    <dataValidation type="decimal" allowBlank="1" showInputMessage="1" showErrorMessage="1" error="Base budget growth cannot exceed 3% per year." sqref="H12:I13" xr:uid="{7850153D-F4C8-4C25-BA20-1464C9AB5B75}">
      <formula1>0</formula1>
      <formula2>0.03</formula2>
    </dataValidation>
    <dataValidation type="list" allowBlank="1" showInputMessage="1" showErrorMessage="1" sqref="G10:I10" xr:uid="{0DEC1014-89D7-4275-8206-A8A57C269BF1}">
      <formula1>CountyList</formula1>
    </dataValidation>
    <dataValidation type="list" allowBlank="1" showInputMessage="1" showErrorMessage="1" sqref="G10:I10" xr:uid="{3F084EA4-9B08-4179-A78E-5D17F20DBEE7}">
      <formula1>UserType</formula1>
    </dataValidation>
  </dataValidations>
  <pageMargins left="0.7" right="0.7" top="0.75" bottom="0.75" header="0.3" footer="0.3"/>
  <pageSetup scale="82" fitToHeight="0" orientation="portrait" horizontalDpi="4294967295" verticalDpi="4294967295" r:id="rId1"/>
  <rowBreaks count="1" manualBreakCount="1">
    <brk id="4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0382-E85E-2848-97F8-E03A2B349A62}">
  <sheetPr codeName="Sheet8"/>
  <dimension ref="B1:I74"/>
  <sheetViews>
    <sheetView showGridLines="0" showZeros="0" zoomScale="90" zoomScaleNormal="90" workbookViewId="0">
      <selection activeCell="B1" sqref="B1:I1"/>
    </sheetView>
  </sheetViews>
  <sheetFormatPr defaultColWidth="8.75" defaultRowHeight="16.899999999999999" customHeight="1" x14ac:dyDescent="0.25"/>
  <cols>
    <col min="1" max="1" width="2.75" style="1" customWidth="1"/>
    <col min="2" max="2" width="13.25" style="1" customWidth="1"/>
    <col min="3" max="3" width="40.25" style="1" customWidth="1"/>
    <col min="4" max="4" width="25" style="1" customWidth="1"/>
    <col min="5" max="5" width="16.75" style="1" customWidth="1"/>
    <col min="6" max="6" width="5" style="1" customWidth="1"/>
    <col min="7" max="7" width="16.75" style="1" customWidth="1"/>
    <col min="8" max="8" width="5" style="1" customWidth="1"/>
    <col min="9" max="9" width="21.25" style="1" customWidth="1"/>
    <col min="10" max="16384" width="8.75" style="1"/>
  </cols>
  <sheetData>
    <row r="1" spans="2:9" ht="16.899999999999999" customHeight="1" thickBot="1" x14ac:dyDescent="0.3">
      <c r="B1" s="408"/>
      <c r="C1" s="408"/>
      <c r="D1" s="408"/>
      <c r="E1" s="408"/>
      <c r="F1" s="408"/>
      <c r="G1" s="408"/>
      <c r="H1" s="408"/>
      <c r="I1" s="408"/>
    </row>
    <row r="2" spans="2:9" ht="16.899999999999999" customHeight="1" thickBot="1" x14ac:dyDescent="0.3">
      <c r="B2" s="351" t="s">
        <v>222</v>
      </c>
      <c r="C2" s="352"/>
      <c r="D2" s="352"/>
      <c r="E2" s="352"/>
      <c r="F2" s="352"/>
      <c r="G2" s="352"/>
      <c r="H2" s="352"/>
      <c r="I2" s="353"/>
    </row>
    <row r="3" spans="2:9" ht="16.899999999999999" customHeight="1" thickBot="1" x14ac:dyDescent="0.3">
      <c r="B3" s="357" t="str">
        <f>IF(DistrictName&lt;&gt;0,"District Name: "&amp;DistrictName&amp;" and "&amp;DistrictName&amp;" Road &amp; Bridge","District Name:")</f>
        <v>District Name:</v>
      </c>
      <c r="C3" s="358"/>
      <c r="D3" s="358"/>
      <c r="E3" s="358"/>
      <c r="F3" s="358"/>
      <c r="G3" s="358"/>
      <c r="H3" s="358"/>
      <c r="I3" s="359"/>
    </row>
    <row r="4" spans="2:9" ht="16.899999999999999" customHeight="1" x14ac:dyDescent="0.25">
      <c r="B4" s="348" t="s">
        <v>223</v>
      </c>
      <c r="C4" s="349"/>
      <c r="D4" s="350"/>
      <c r="E4" s="360">
        <v>2022</v>
      </c>
      <c r="F4" s="361"/>
      <c r="G4" s="360">
        <v>2023</v>
      </c>
      <c r="H4" s="361"/>
      <c r="I4" s="127">
        <v>2024</v>
      </c>
    </row>
    <row r="5" spans="2:9" ht="16.899999999999999" customHeight="1" x14ac:dyDescent="0.25">
      <c r="B5" s="331" t="str">
        <f>"Non-exempt property tax budget"</f>
        <v>Non-exempt property tax budget</v>
      </c>
      <c r="C5" s="332"/>
      <c r="D5" s="132">
        <f>DistrictName</f>
        <v>0</v>
      </c>
      <c r="E5" s="329" t="str">
        <f>IFERROR(ROUND(
   IF(DistrictName&lt;&gt;0,
     INDEX(DataDump!Z2:Z25,MATCH($D5,DataDump!$C2:$C25,0)),""),0),"")</f>
        <v/>
      </c>
      <c r="F5" s="330"/>
      <c r="G5" s="329" t="str">
        <f>IFERROR(ROUND(
   IF(DistrictName&lt;&gt;0,
     INDEX(DataDump!AA2:AA25,MATCH($D5,DataDump!$C2:$C25,0)),""),0),"")</f>
        <v/>
      </c>
      <c r="H5" s="330"/>
      <c r="I5" s="131" t="str">
        <f>IFERROR(ROUND(
   IF(DistrictName&lt;&gt;0,
     INDEX(DataDump!AB2:AB25,MATCH($D5,DataDump!$C2:$C25,0)),""),0),"")</f>
        <v/>
      </c>
    </row>
    <row r="6" spans="2:9" ht="16.899999999999999" customHeight="1" x14ac:dyDescent="0.25">
      <c r="B6" s="333"/>
      <c r="C6" s="334"/>
      <c r="D6" s="133" t="str">
        <f>IF(D5&lt;&gt;0,"Road and Bridge","")</f>
        <v/>
      </c>
      <c r="E6" s="329" t="str">
        <f>IFERROR(ROUND(
   IF(DistrictName&lt;&gt;0,
     INDEX(DataDump!AC2:AC25,MATCH($D5,DataDump!$C2:$C25,0)),""),0),"")</f>
        <v/>
      </c>
      <c r="F6" s="330"/>
      <c r="G6" s="329" t="str">
        <f>IFERROR(ROUND(
   IF(DistrictName&lt;&gt;0,
     INDEX(DataDump!AD2:AD25,MATCH($D5,DataDump!$C2:$C25,0)),""),0),"")</f>
        <v/>
      </c>
      <c r="H6" s="330"/>
      <c r="I6" s="131" t="str">
        <f>IFERROR(ROUND(
   IF(DistrictName&lt;&gt;0,
     INDEX(DataDump!AE2:AE25,MATCH($D5,DataDump!$C2:$C25,0)),""),0),"")</f>
        <v/>
      </c>
    </row>
    <row r="7" spans="2:9" ht="16.899999999999999" customHeight="1" x14ac:dyDescent="0.25">
      <c r="B7" s="335"/>
      <c r="C7" s="336"/>
      <c r="D7" s="134" t="s">
        <v>235</v>
      </c>
      <c r="E7" s="329">
        <f>SUM(E5:F6)</f>
        <v>0</v>
      </c>
      <c r="F7" s="330"/>
      <c r="G7" s="329">
        <f>SUM(G5:H6)</f>
        <v>0</v>
      </c>
      <c r="H7" s="330"/>
      <c r="I7" s="131">
        <f>SUM(I5:I6)</f>
        <v>0</v>
      </c>
    </row>
    <row r="8" spans="2:9" ht="16.899999999999999" customHeight="1" x14ac:dyDescent="0.25">
      <c r="B8" s="341" t="s">
        <v>224</v>
      </c>
      <c r="C8" s="342"/>
      <c r="D8" s="343"/>
      <c r="E8" s="329" t="str">
        <f>IFERROR(ROUND(
   IF(DistrictName&lt;&gt;0,
     INDEX(DataDump!I2:I25,MATCH($D5,DataDump!$C2:$C25,0)),""),0),"")</f>
        <v/>
      </c>
      <c r="F8" s="330"/>
      <c r="G8" s="329" t="str">
        <f>IFERROR(ROUND(
   IF(DistrictName&lt;&gt;0,
     INDEX(DataDump!I2:I25,MATCH($D5,DataDump!$C2:$C25,0)),""),0),"")</f>
        <v/>
      </c>
      <c r="H8" s="330"/>
      <c r="I8" s="128" t="str">
        <f>IFERROR(ROUND(
   IF(DistrictName&lt;&gt;0,
     INDEX(DataDump!I2:I25,MATCH($D5,DataDump!$C2:$C25,0)),""),0),"")</f>
        <v/>
      </c>
    </row>
    <row r="9" spans="2:9" ht="16.899999999999999" customHeight="1" x14ac:dyDescent="0.25">
      <c r="B9" s="341" t="s">
        <v>225</v>
      </c>
      <c r="C9" s="342"/>
      <c r="D9" s="343"/>
      <c r="E9" s="329" t="str">
        <f>IFERROR(ROUND(
   IF(DistrictName&lt;&gt;0,
     INDEX(DataDump!J2:J25,MATCH($D5,DataDump!$C2:$C25,0)),""),0),"")</f>
        <v/>
      </c>
      <c r="F9" s="330"/>
      <c r="G9" s="329" t="str">
        <f>IFERROR(ROUND(
   IF(DistrictName&lt;&gt;0,
     INDEX(DataDump!J2:J25,MATCH($D5,DataDump!$C2:$C25,0)),""),0),"")</f>
        <v/>
      </c>
      <c r="H9" s="330"/>
      <c r="I9" s="128" t="str">
        <f>IFERROR(ROUND(
   IF(DistrictName&lt;&gt;0,
     INDEX(DataDump!J2:J25,MATCH($D5,DataDump!$C2:$C25,0)),""),0),"")</f>
        <v/>
      </c>
    </row>
    <row r="10" spans="2:9" ht="16.899999999999999" customHeight="1" x14ac:dyDescent="0.25">
      <c r="B10" s="341" t="s">
        <v>226</v>
      </c>
      <c r="C10" s="342"/>
      <c r="D10" s="343"/>
      <c r="E10" s="329">
        <v>0</v>
      </c>
      <c r="F10" s="330"/>
      <c r="G10" s="329" t="str">
        <f>IFERROR(ROUND(
   IF(DistrictName&lt;&gt;0,
     INDEX(DataDump!K2:K25,MATCH($D5,DataDump!$C2:$C25,0)),""),0),"")</f>
        <v/>
      </c>
      <c r="H10" s="330"/>
      <c r="I10" s="128" t="str">
        <f>IFERROR(ROUND(
   IF(DistrictName&lt;&gt;0,
     INDEX(DataDump!K2:K25,MATCH($D5,DataDump!$C2:$C25,0)),""),0),"")</f>
        <v/>
      </c>
    </row>
    <row r="11" spans="2:9" ht="16.899999999999999" customHeight="1" x14ac:dyDescent="0.25">
      <c r="B11" s="341" t="s">
        <v>227</v>
      </c>
      <c r="C11" s="342"/>
      <c r="D11" s="343"/>
      <c r="E11" s="329" t="str">
        <f>IFERROR(ROUND(
   IF(DistrictName&lt;&gt;0,
     INDEX(DataDump!M2:M25,MATCH($D5,DataDump!$C2:$C25,0)),""),0),"")</f>
        <v/>
      </c>
      <c r="F11" s="330"/>
      <c r="G11" s="329" t="str">
        <f>IFERROR(ROUND(
   IF(DistrictName&lt;&gt;0,
     INDEX(DataDump!N2:N25,MATCH($D5,DataDump!$C2:$C25,0)),""),0),"")</f>
        <v/>
      </c>
      <c r="H11" s="330"/>
      <c r="I11" s="128" t="str">
        <f>IFERROR(ROUND(
   IF(DistrictName&lt;&gt;0,
     INDEX(DataDump!O2:O25,MATCH($D5,DataDump!$C2:$C25,0)),""),0),"")</f>
        <v/>
      </c>
    </row>
    <row r="12" spans="2:9" ht="16.899999999999999" customHeight="1" x14ac:dyDescent="0.25">
      <c r="B12" s="341" t="s">
        <v>228</v>
      </c>
      <c r="C12" s="342"/>
      <c r="D12" s="343"/>
      <c r="E12" s="329" t="str">
        <f>IFERROR(ROUND(
   IF(DistrictName&lt;&gt;0,
     INDEX(DataDump!S2:S25,MATCH($D5,DataDump!$C2:$C25,0)),""),0),"")</f>
        <v/>
      </c>
      <c r="F12" s="330"/>
      <c r="G12" s="329" t="str">
        <f>IFERROR(ROUND(
   IF(DistrictName&lt;&gt;0,
     INDEX(DataDump!T2:T25,MATCH($D5,DataDump!$C2:$C25,0)),""),0),"")</f>
        <v/>
      </c>
      <c r="H12" s="330"/>
      <c r="I12" s="128" t="str">
        <f>IFERROR(ROUND(
   IF(DistrictName&lt;&gt;0,
     INDEX(DataDump!U2:U25,MATCH($D5,DataDump!$C2:$C25,0)),""),0),"")</f>
        <v/>
      </c>
    </row>
    <row r="13" spans="2:9" ht="16.899999999999999" customHeight="1" x14ac:dyDescent="0.25">
      <c r="B13" s="341" t="str">
        <f>"Solar Farm Tax Revenue (not added until line 21 after all growth calculations)"</f>
        <v>Solar Farm Tax Revenue (not added until line 21 after all growth calculations)</v>
      </c>
      <c r="C13" s="342"/>
      <c r="D13" s="343"/>
      <c r="E13" s="329" t="str">
        <f>IFERROR(ROUND(
   IF(DistrictName&lt;&gt;0,
     INDEX(DataDump!P2:P25,MATCH($D5,DataDump!$C2:$C25,0)),""),0),"")</f>
        <v/>
      </c>
      <c r="F13" s="330"/>
      <c r="G13" s="338" t="str">
        <f>IFERROR(ROUND(
   IF(DistrictName&lt;&gt;0,
     INDEX(DataDump!Q2:Q25,MATCH($D5,DataDump!$C2:$C25,0)),""),0),"")</f>
        <v/>
      </c>
      <c r="H13" s="338"/>
      <c r="I13" s="128" t="str">
        <f>IFERROR(ROUND(
   IF(DistrictName&lt;&gt;0,
     INDEX(DataDump!R2:R25,MATCH($D5,DataDump!$C2:$C25,0)),""),0),"")</f>
        <v/>
      </c>
    </row>
    <row r="14" spans="2:9" ht="16.899999999999999" customHeight="1" thickBot="1" x14ac:dyDescent="0.3">
      <c r="B14" s="344" t="str">
        <f>"Forgone Recovered for Capital Projects ( - )"</f>
        <v>Forgone Recovered for Capital Projects ( - )</v>
      </c>
      <c r="C14" s="345"/>
      <c r="D14" s="346"/>
      <c r="E14" s="339" t="str">
        <f>IFERROR(ROUND(
   IF(DistrictName&lt;&gt;0,
     INDEX(DataDump!V2:V25,MATCH($D5,DataDump!$C2:$C25,0)),""),0),"")</f>
        <v/>
      </c>
      <c r="F14" s="340"/>
      <c r="G14" s="339" t="str">
        <f>IFERROR(ROUND(
   IF(DistrictName&lt;&gt;0,
     INDEX(DataDump!W2:W25,MATCH($D5,DataDump!$C2:$C25,0)),""),0),"")</f>
        <v/>
      </c>
      <c r="H14" s="340"/>
      <c r="I14" s="129" t="str">
        <f>IFERROR(ROUND(
   IF(DistrictName&lt;&gt;0,
     INDEX(DataDump!X2:X25,MATCH($D5,DataDump!$C2:$C25,0)),""),0),"")</f>
        <v/>
      </c>
    </row>
    <row r="15" spans="2:9" ht="33" customHeight="1" thickBot="1" x14ac:dyDescent="0.3">
      <c r="B15" s="326" t="str">
        <f>"TOTAL Non-Exempt Property Tax Budget (including replacements but not including solar farm tax revenue or forgone amounts recovered for capital projects):"</f>
        <v>TOTAL Non-Exempt Property Tax Budget (including replacements but not including solar farm tax revenue or forgone amounts recovered for capital projects):</v>
      </c>
      <c r="C15" s="327"/>
      <c r="D15" s="328"/>
      <c r="E15" s="337">
        <f>IFERROR(E7+E8+E9+E10+E11+E12-E14,0)</f>
        <v>0</v>
      </c>
      <c r="F15" s="337"/>
      <c r="G15" s="337">
        <f>IFERROR(G7+G8+G9+G10+G11+G12-G14,0)</f>
        <v>0</v>
      </c>
      <c r="H15" s="337"/>
      <c r="I15" s="130">
        <f>IFERROR(I7+I8+I9+I10+I11+I12-I14,0)</f>
        <v>0</v>
      </c>
    </row>
    <row r="16" spans="2:9" ht="33" customHeight="1" thickBot="1" x14ac:dyDescent="0.3">
      <c r="B16" s="347"/>
      <c r="C16" s="347"/>
      <c r="D16" s="347"/>
      <c r="E16" s="347"/>
      <c r="F16" s="347"/>
      <c r="G16" s="347"/>
      <c r="H16" s="347"/>
      <c r="I16" s="347"/>
    </row>
    <row r="17" spans="2:9" ht="16.899999999999999" customHeight="1" thickBot="1" x14ac:dyDescent="0.3">
      <c r="B17" s="354" t="str">
        <f>LEFT('1. Dashboard'!B8,4)&amp;" L-2 Worksheet"</f>
        <v>2025 L-2 Worksheet</v>
      </c>
      <c r="C17" s="355"/>
      <c r="D17" s="355"/>
      <c r="E17" s="355"/>
      <c r="F17" s="355"/>
      <c r="G17" s="355"/>
      <c r="H17" s="355"/>
      <c r="I17" s="356"/>
    </row>
    <row r="18" spans="2:9" ht="16.899999999999999" customHeight="1" thickBot="1" x14ac:dyDescent="0.3">
      <c r="B18" s="324" t="str">
        <f>IF(DistrictName&lt;&gt;0,"District Name: "&amp;DistrictName&amp;" and "&amp;DistrictName&amp;" Road &amp; Bridge","District Name:")</f>
        <v>District Name:</v>
      </c>
      <c r="C18" s="325"/>
      <c r="D18" s="325"/>
      <c r="E18" s="322" t="str">
        <f>"Form Type: County w/County Road &amp; Bridge"</f>
        <v>Form Type: County w/County Road &amp; Bridge</v>
      </c>
      <c r="F18" s="322"/>
      <c r="G18" s="322"/>
      <c r="H18" s="322"/>
      <c r="I18" s="323"/>
    </row>
    <row r="19" spans="2:9" ht="16.899999999999999" customHeight="1" thickBot="1" x14ac:dyDescent="0.3">
      <c r="B19" s="374" t="s">
        <v>170</v>
      </c>
      <c r="C19" s="375"/>
      <c r="D19" s="375"/>
      <c r="E19" s="375"/>
      <c r="F19" s="375"/>
      <c r="G19" s="375"/>
      <c r="H19" s="375"/>
      <c r="I19" s="376"/>
    </row>
    <row r="20" spans="2:9" ht="33" customHeight="1" x14ac:dyDescent="0.25">
      <c r="B20" s="377" t="s">
        <v>154</v>
      </c>
      <c r="C20" s="378"/>
      <c r="D20" s="378"/>
      <c r="E20" s="378"/>
      <c r="F20" s="378"/>
      <c r="G20" s="379"/>
      <c r="H20" s="81" t="s">
        <v>8</v>
      </c>
      <c r="I20" s="101">
        <f>IFERROR(ROUND(MAX(E15:I15),0),"")</f>
        <v>0</v>
      </c>
    </row>
    <row r="21" spans="2:9" ht="16.899999999999999" customHeight="1" x14ac:dyDescent="0.25">
      <c r="B21" s="383" t="s">
        <v>105</v>
      </c>
      <c r="C21" s="384"/>
      <c r="D21" s="384"/>
      <c r="E21" s="384"/>
      <c r="F21" s="384"/>
      <c r="G21" s="385"/>
      <c r="H21" s="86" t="s">
        <v>7</v>
      </c>
      <c r="I21" s="101" t="str">
        <f>IF(I15=MAX(E15:I15),I6,
 IF(G15=MAX(E15:I15),G6,
 IF(E15=MAX(E15:I15),E6)))</f>
        <v/>
      </c>
    </row>
    <row r="22" spans="2:9" ht="16.899999999999999" customHeight="1" x14ac:dyDescent="0.25">
      <c r="B22" s="362" t="s">
        <v>172</v>
      </c>
      <c r="C22" s="363"/>
      <c r="D22" s="363"/>
      <c r="E22" s="364"/>
      <c r="F22" s="86" t="s">
        <v>174</v>
      </c>
      <c r="G22" s="126">
        <f>'1. Dashboard'!H12</f>
        <v>0.03</v>
      </c>
      <c r="H22" s="86" t="s">
        <v>6</v>
      </c>
      <c r="I22" s="90" t="str">
        <f>IF(DistrictName&lt;&gt;0,ROUND((I20-I21)*G22,0),"")</f>
        <v/>
      </c>
    </row>
    <row r="23" spans="2:9" ht="16.899999999999999" customHeight="1" thickBot="1" x14ac:dyDescent="0.3">
      <c r="B23" s="411" t="s">
        <v>173</v>
      </c>
      <c r="C23" s="412"/>
      <c r="D23" s="412"/>
      <c r="E23" s="413"/>
      <c r="F23" s="86" t="s">
        <v>175</v>
      </c>
      <c r="G23" s="126">
        <f>'1. Dashboard'!H13</f>
        <v>0.03</v>
      </c>
      <c r="H23" s="86" t="s">
        <v>5</v>
      </c>
      <c r="I23" s="90" t="str">
        <f>IF(DistrictName&lt;&gt;0,ROUND(I21*G23,0),"")</f>
        <v/>
      </c>
    </row>
    <row r="24" spans="2:9" ht="16.899999999999999" customHeight="1" thickBot="1" x14ac:dyDescent="0.3">
      <c r="B24" s="374" t="s">
        <v>171</v>
      </c>
      <c r="C24" s="375"/>
      <c r="D24" s="375"/>
      <c r="E24" s="375"/>
      <c r="F24" s="375"/>
      <c r="G24" s="375"/>
      <c r="H24" s="375"/>
      <c r="I24" s="376"/>
    </row>
    <row r="25" spans="2:9" ht="16.899999999999999" customHeight="1" x14ac:dyDescent="0.25">
      <c r="B25" s="371" t="s">
        <v>219</v>
      </c>
      <c r="C25" s="372"/>
      <c r="D25" s="372"/>
      <c r="E25" s="372"/>
      <c r="F25" s="372"/>
      <c r="G25" s="373"/>
      <c r="H25" s="88"/>
      <c r="I25" s="89"/>
    </row>
    <row r="26" spans="2:9" ht="16.899999999999999" customHeight="1" x14ac:dyDescent="0.25">
      <c r="B26" s="386" t="str">
        <f>IF(DistrictName=0,"County",DistrictName)</f>
        <v>County</v>
      </c>
      <c r="C26" s="387"/>
      <c r="D26" s="387"/>
      <c r="E26" s="388"/>
      <c r="F26" s="86" t="s">
        <v>155</v>
      </c>
      <c r="G26" s="108" t="str">
        <f>IF(DistrictName&lt;&gt;0,INDEX(DataDump!G2:G25,MATCH(DistrictName,DataDump!C2:C25))," ")</f>
        <v xml:space="preserve"> </v>
      </c>
      <c r="H26" s="88"/>
      <c r="I26" s="89"/>
    </row>
    <row r="27" spans="2:9" ht="16.899999999999999" customHeight="1" x14ac:dyDescent="0.25">
      <c r="B27" s="362" t="s">
        <v>47</v>
      </c>
      <c r="C27" s="363"/>
      <c r="D27" s="363"/>
      <c r="E27" s="364"/>
      <c r="F27" s="86" t="s">
        <v>156</v>
      </c>
      <c r="G27" s="108" t="str">
        <f>IF(DistrictName&lt;&gt;0,INDEX(DataDump!H2:H25,MATCH(DistrictName,DataDump!C2:C25))," ")</f>
        <v xml:space="preserve"> </v>
      </c>
      <c r="H27" s="88"/>
      <c r="I27" s="89"/>
    </row>
    <row r="28" spans="2:9" ht="16.5" customHeight="1" x14ac:dyDescent="0.25">
      <c r="B28" s="380" t="s">
        <v>220</v>
      </c>
      <c r="C28" s="381"/>
      <c r="D28" s="381"/>
      <c r="E28" s="381"/>
      <c r="F28" s="381"/>
      <c r="G28" s="382"/>
      <c r="H28" s="88"/>
      <c r="I28" s="89"/>
    </row>
    <row r="29" spans="2:9" ht="16.899999999999999" customHeight="1" x14ac:dyDescent="0.25">
      <c r="B29" s="386" t="str">
        <f>IF(DistrictName=0,"County",DistrictName)</f>
        <v>County</v>
      </c>
      <c r="C29" s="387"/>
      <c r="D29" s="387"/>
      <c r="E29" s="388"/>
      <c r="F29" s="86" t="s">
        <v>102</v>
      </c>
      <c r="G29" s="108">
        <f>'1. Dashboard'!H15</f>
        <v>0</v>
      </c>
      <c r="H29" s="88"/>
      <c r="I29" s="89"/>
    </row>
    <row r="30" spans="2:9" ht="16.899999999999999" customHeight="1" x14ac:dyDescent="0.25">
      <c r="B30" s="362" t="s">
        <v>47</v>
      </c>
      <c r="C30" s="363"/>
      <c r="D30" s="363"/>
      <c r="E30" s="364"/>
      <c r="F30" s="86" t="s">
        <v>103</v>
      </c>
      <c r="G30" s="108">
        <f>'1. Dashboard'!H16</f>
        <v>0</v>
      </c>
      <c r="H30" s="88"/>
      <c r="I30" s="89"/>
    </row>
    <row r="31" spans="2:9" ht="16.899999999999999" customHeight="1" x14ac:dyDescent="0.25">
      <c r="B31" s="371" t="s">
        <v>221</v>
      </c>
      <c r="C31" s="372"/>
      <c r="D31" s="372"/>
      <c r="E31" s="372"/>
      <c r="F31" s="372"/>
      <c r="G31" s="373"/>
      <c r="H31" s="88"/>
      <c r="I31" s="89"/>
    </row>
    <row r="32" spans="2:9" ht="16.899999999999999" customHeight="1" x14ac:dyDescent="0.25">
      <c r="B32" s="386" t="str">
        <f>IF(DistrictName=0,"County",DistrictName)</f>
        <v>County</v>
      </c>
      <c r="C32" s="387"/>
      <c r="D32" s="387"/>
      <c r="E32" s="388"/>
      <c r="F32" s="86" t="s">
        <v>106</v>
      </c>
      <c r="G32" s="108">
        <f>'1. Dashboard'!H18</f>
        <v>0</v>
      </c>
      <c r="H32" s="88"/>
      <c r="I32" s="89"/>
    </row>
    <row r="33" spans="2:9" ht="16.899999999999999" customHeight="1" x14ac:dyDescent="0.25">
      <c r="B33" s="362" t="s">
        <v>47</v>
      </c>
      <c r="C33" s="363"/>
      <c r="D33" s="363"/>
      <c r="E33" s="364"/>
      <c r="F33" s="86" t="s">
        <v>107</v>
      </c>
      <c r="G33" s="108">
        <f>'1. Dashboard'!H19</f>
        <v>0</v>
      </c>
      <c r="H33" s="88"/>
      <c r="I33" s="89"/>
    </row>
    <row r="34" spans="2:9" ht="16.899999999999999" customHeight="1" x14ac:dyDescent="0.25">
      <c r="B34" s="371" t="s">
        <v>118</v>
      </c>
      <c r="C34" s="372"/>
      <c r="D34" s="372"/>
      <c r="E34" s="372"/>
      <c r="F34" s="372"/>
      <c r="G34" s="373"/>
      <c r="H34" s="88"/>
      <c r="I34" s="89"/>
    </row>
    <row r="35" spans="2:9" ht="33" customHeight="1" x14ac:dyDescent="0.25">
      <c r="B35" s="362" t="s">
        <v>158</v>
      </c>
      <c r="C35" s="363"/>
      <c r="D35" s="363"/>
      <c r="E35" s="364"/>
      <c r="F35" s="86" t="s">
        <v>108</v>
      </c>
      <c r="G35" s="87" t="str">
        <f>IF(DistrictName&lt;&gt;0,ROUND((I20-I21+I22)/(G26+G29),9),"")</f>
        <v/>
      </c>
      <c r="H35" s="88"/>
      <c r="I35" s="89"/>
    </row>
    <row r="36" spans="2:9" ht="33" customHeight="1" x14ac:dyDescent="0.25">
      <c r="B36" s="362" t="s">
        <v>159</v>
      </c>
      <c r="C36" s="363"/>
      <c r="D36" s="363"/>
      <c r="E36" s="364"/>
      <c r="F36" s="86" t="s">
        <v>109</v>
      </c>
      <c r="G36" s="87" t="str">
        <f>IF(DistrictName&lt;&gt;0,ROUND((I21+I23)/(G27+G30),9),"")</f>
        <v/>
      </c>
      <c r="H36" s="88"/>
      <c r="I36" s="89"/>
    </row>
    <row r="37" spans="2:9" ht="33" customHeight="1" x14ac:dyDescent="0.25">
      <c r="B37" s="362" t="s">
        <v>160</v>
      </c>
      <c r="C37" s="363"/>
      <c r="D37" s="363"/>
      <c r="E37" s="364"/>
      <c r="F37" s="86" t="s">
        <v>110</v>
      </c>
      <c r="G37" s="105" t="str">
        <f>IF(DistrictName&lt;&gt;0,ROUND(G32*G35,0),"")</f>
        <v/>
      </c>
      <c r="H37" s="104"/>
      <c r="I37" s="89"/>
    </row>
    <row r="38" spans="2:9" ht="33" customHeight="1" x14ac:dyDescent="0.25">
      <c r="B38" s="362" t="s">
        <v>161</v>
      </c>
      <c r="C38" s="363"/>
      <c r="D38" s="363"/>
      <c r="E38" s="364"/>
      <c r="F38" s="86" t="s">
        <v>111</v>
      </c>
      <c r="G38" s="105" t="str">
        <f>IF(DistrictName&lt;&gt;0,ROUND(G33*G36,0),"")</f>
        <v/>
      </c>
      <c r="H38" s="104"/>
      <c r="I38" s="89"/>
    </row>
    <row r="39" spans="2:9" ht="16.899999999999999" customHeight="1" x14ac:dyDescent="0.25">
      <c r="B39" s="365" t="s">
        <v>162</v>
      </c>
      <c r="C39" s="366"/>
      <c r="D39" s="366"/>
      <c r="E39" s="366"/>
      <c r="F39" s="366"/>
      <c r="G39" s="367"/>
      <c r="H39" s="86" t="s">
        <v>157</v>
      </c>
      <c r="I39" s="90" t="str">
        <f>IF(DistrictName&lt;&gt;0,SUM(G37:G38),"")</f>
        <v/>
      </c>
    </row>
    <row r="40" spans="2:9" ht="16.899999999999999" customHeight="1" x14ac:dyDescent="0.25">
      <c r="B40" s="371" t="s">
        <v>119</v>
      </c>
      <c r="C40" s="372"/>
      <c r="D40" s="372"/>
      <c r="E40" s="372"/>
      <c r="F40" s="372"/>
      <c r="G40" s="373"/>
      <c r="H40" s="88"/>
      <c r="I40" s="89"/>
    </row>
    <row r="41" spans="2:9" ht="16.899999999999999" customHeight="1" x14ac:dyDescent="0.25">
      <c r="B41" s="368" t="s">
        <v>280</v>
      </c>
      <c r="C41" s="369"/>
      <c r="D41" s="369"/>
      <c r="E41" s="370"/>
      <c r="F41" s="86" t="s">
        <v>163</v>
      </c>
      <c r="G41" s="108">
        <f>'1. Dashboard'!H22</f>
        <v>0</v>
      </c>
      <c r="H41" s="88"/>
      <c r="I41" s="89"/>
    </row>
    <row r="42" spans="2:9" ht="16.899999999999999" customHeight="1" x14ac:dyDescent="0.25">
      <c r="B42" s="368" t="s">
        <v>282</v>
      </c>
      <c r="C42" s="369"/>
      <c r="D42" s="369"/>
      <c r="E42" s="370"/>
      <c r="F42" s="86" t="s">
        <v>164</v>
      </c>
      <c r="G42" s="108">
        <f>'1. Dashboard'!H24</f>
        <v>0</v>
      </c>
      <c r="H42" s="88"/>
      <c r="I42" s="89"/>
    </row>
    <row r="43" spans="2:9" ht="16.899999999999999" customHeight="1" x14ac:dyDescent="0.25">
      <c r="B43" s="368" t="s">
        <v>281</v>
      </c>
      <c r="C43" s="369"/>
      <c r="D43" s="369"/>
      <c r="E43" s="370"/>
      <c r="F43" s="86" t="s">
        <v>112</v>
      </c>
      <c r="G43" s="108">
        <f>'1. Dashboard'!H23</f>
        <v>0</v>
      </c>
      <c r="H43" s="88"/>
      <c r="I43" s="89"/>
    </row>
    <row r="44" spans="2:9" ht="16.899999999999999" customHeight="1" x14ac:dyDescent="0.25">
      <c r="B44" s="368" t="s">
        <v>283</v>
      </c>
      <c r="C44" s="369"/>
      <c r="D44" s="369"/>
      <c r="E44" s="370"/>
      <c r="F44" s="86" t="s">
        <v>113</v>
      </c>
      <c r="G44" s="108">
        <f>'1. Dashboard'!H25</f>
        <v>0</v>
      </c>
      <c r="H44" s="88"/>
      <c r="I44" s="89"/>
    </row>
    <row r="45" spans="2:9" ht="16.899999999999999" customHeight="1" x14ac:dyDescent="0.25">
      <c r="B45" s="362" t="s">
        <v>284</v>
      </c>
      <c r="C45" s="363"/>
      <c r="D45" s="363"/>
      <c r="E45" s="364"/>
      <c r="F45" s="86" t="s">
        <v>114</v>
      </c>
      <c r="G45" s="108">
        <f>ROUND(G41*0.8,0)+ROUND(G42*0.9,0)</f>
        <v>0</v>
      </c>
      <c r="H45" s="88"/>
      <c r="I45" s="89"/>
    </row>
    <row r="46" spans="2:9" ht="16.899999999999999" customHeight="1" x14ac:dyDescent="0.25">
      <c r="B46" s="362" t="s">
        <v>285</v>
      </c>
      <c r="C46" s="363"/>
      <c r="D46" s="363"/>
      <c r="E46" s="364"/>
      <c r="F46" s="86" t="s">
        <v>115</v>
      </c>
      <c r="G46" s="108">
        <f>ROUND(G43*0.8,0)+ROUND(G44*0.9,0)</f>
        <v>0</v>
      </c>
      <c r="H46" s="88"/>
      <c r="I46" s="89"/>
    </row>
    <row r="47" spans="2:9" ht="33" customHeight="1" x14ac:dyDescent="0.25">
      <c r="B47" s="362" t="s">
        <v>290</v>
      </c>
      <c r="C47" s="363"/>
      <c r="D47" s="363"/>
      <c r="E47" s="364"/>
      <c r="F47" s="86" t="s">
        <v>286</v>
      </c>
      <c r="G47" s="108" t="str">
        <f>IF(DistrictName&lt;&gt;0,ROUND(G45*G35,0),"")</f>
        <v/>
      </c>
      <c r="H47" s="88"/>
      <c r="I47" s="89"/>
    </row>
    <row r="48" spans="2:9" ht="33" customHeight="1" x14ac:dyDescent="0.25">
      <c r="B48" s="362" t="s">
        <v>289</v>
      </c>
      <c r="C48" s="363"/>
      <c r="D48" s="363"/>
      <c r="E48" s="364"/>
      <c r="F48" s="86" t="s">
        <v>287</v>
      </c>
      <c r="G48" s="108" t="str">
        <f>IF(DistrictName&lt;&gt;0,ROUND(G46*G36,0),"")</f>
        <v/>
      </c>
      <c r="H48" s="88"/>
      <c r="I48" s="89"/>
    </row>
    <row r="49" spans="2:9" ht="16.899999999999999" customHeight="1" x14ac:dyDescent="0.25">
      <c r="B49" s="362" t="str">
        <f>IF(G49="","","One-time budget increase for STC's changed legal interpretation on expiring UR")</f>
        <v/>
      </c>
      <c r="C49" s="363"/>
      <c r="D49" s="363"/>
      <c r="E49" s="364"/>
      <c r="F49" s="86" t="s">
        <v>288</v>
      </c>
      <c r="G49" s="108" t="str">
        <f>IF(DistrictName&lt;&gt;0,IF(INDEX(DataDump!AG2:AG25,MATCH(DistrictName,DataDump!C2:C25))&lt;&gt;0,
                       INDEX(DataDump!AG2:AG25,MATCH(DistrictName,DataDump!C2:C25)),""),"")</f>
        <v/>
      </c>
      <c r="H49" s="88"/>
      <c r="I49" s="89"/>
    </row>
    <row r="50" spans="2:9" ht="16.899999999999999" customHeight="1" x14ac:dyDescent="0.25">
      <c r="B50" s="365" t="s">
        <v>301</v>
      </c>
      <c r="C50" s="366"/>
      <c r="D50" s="366"/>
      <c r="E50" s="366"/>
      <c r="F50" s="366"/>
      <c r="G50" s="367"/>
      <c r="H50" s="86" t="s">
        <v>300</v>
      </c>
      <c r="I50" s="90" t="str">
        <f>IF(DistrictName&lt;&gt;0,SUM(G47:G49),"")</f>
        <v/>
      </c>
    </row>
    <row r="51" spans="2:9" ht="16.899999999999999" customHeight="1" x14ac:dyDescent="0.25">
      <c r="B51" s="371" t="str">
        <f>"8% Cap on Allowable Non-Exempt Budget Increases (Except Expiring Urban Renewal):"</f>
        <v>8% Cap on Allowable Non-Exempt Budget Increases (Except Expiring Urban Renewal):</v>
      </c>
      <c r="C51" s="372"/>
      <c r="D51" s="372"/>
      <c r="E51" s="372"/>
      <c r="F51" s="372"/>
      <c r="G51" s="373"/>
      <c r="H51" s="88"/>
      <c r="I51" s="89"/>
    </row>
    <row r="52" spans="2:9" ht="16.899999999999999" customHeight="1" x14ac:dyDescent="0.25">
      <c r="B52" s="392" t="s">
        <v>302</v>
      </c>
      <c r="C52" s="393"/>
      <c r="D52" s="393"/>
      <c r="E52" s="394"/>
      <c r="F52" s="81" t="s">
        <v>304</v>
      </c>
      <c r="G52" s="109" t="str">
        <f>IF(DistrictName&lt;&gt;0,SUM(I20+I22+I23+I39+I50),"")</f>
        <v/>
      </c>
      <c r="H52" s="88"/>
      <c r="I52" s="89"/>
    </row>
    <row r="53" spans="2:9" ht="16.899999999999999" customHeight="1" x14ac:dyDescent="0.25">
      <c r="B53" s="362" t="s">
        <v>303</v>
      </c>
      <c r="C53" s="363"/>
      <c r="D53" s="363"/>
      <c r="E53" s="364"/>
      <c r="F53" s="81" t="s">
        <v>305</v>
      </c>
      <c r="G53" s="109" t="str">
        <f>IF(DistrictName&lt;&gt;0,ROUND((I20*1.08) + I50,0),"")</f>
        <v/>
      </c>
      <c r="H53" s="88"/>
      <c r="I53" s="89"/>
    </row>
    <row r="54" spans="2:9" ht="16.899999999999999" customHeight="1" x14ac:dyDescent="0.25">
      <c r="B54" s="389" t="str">
        <f>"Total non-exempt budget allowed (lesser of lines 17a and 17b)"</f>
        <v>Total non-exempt budget allowed (lesser of lines 17a and 17b)</v>
      </c>
      <c r="C54" s="390"/>
      <c r="D54" s="390"/>
      <c r="E54" s="390"/>
      <c r="F54" s="390"/>
      <c r="G54" s="391"/>
      <c r="H54" s="82" t="s">
        <v>4</v>
      </c>
      <c r="I54" s="137" t="str">
        <f>IF(DistrictName&lt;&gt;0,MIN(G52:G53),"")</f>
        <v/>
      </c>
    </row>
    <row r="55" spans="2:9" ht="16.899999999999999" customHeight="1" x14ac:dyDescent="0.25">
      <c r="B55" s="409" t="s">
        <v>261</v>
      </c>
      <c r="C55" s="410"/>
      <c r="D55" s="410"/>
      <c r="E55" s="410"/>
      <c r="F55" s="410"/>
      <c r="G55" s="410"/>
      <c r="H55" s="88"/>
      <c r="I55" s="89"/>
    </row>
    <row r="56" spans="2:9" ht="16.899999999999999" customHeight="1" x14ac:dyDescent="0.25">
      <c r="B56" s="396" t="s">
        <v>248</v>
      </c>
      <c r="C56" s="397"/>
      <c r="D56" s="397"/>
      <c r="E56" s="398"/>
      <c r="F56" s="138"/>
      <c r="G56" s="139" t="str">
        <f>IF(DistrictName&lt;&gt;0,INDEX(DataDump!Y2:Y25,MATCH(DistrictName,DataDump!C2:C25))," ")</f>
        <v xml:space="preserve"> </v>
      </c>
      <c r="H56" s="140"/>
      <c r="I56" s="103"/>
    </row>
    <row r="57" spans="2:9" ht="16.899999999999999" customHeight="1" x14ac:dyDescent="0.25">
      <c r="B57" s="368" t="s">
        <v>306</v>
      </c>
      <c r="C57" s="369"/>
      <c r="D57" s="369"/>
      <c r="E57" s="370"/>
      <c r="F57" s="86" t="s">
        <v>3</v>
      </c>
      <c r="G57" s="108">
        <f>'1. Dashboard'!H41</f>
        <v>0</v>
      </c>
      <c r="H57" s="88"/>
      <c r="I57" s="103"/>
    </row>
    <row r="58" spans="2:9" ht="16.899999999999999" customHeight="1" x14ac:dyDescent="0.25">
      <c r="B58" s="368" t="s">
        <v>307</v>
      </c>
      <c r="C58" s="369"/>
      <c r="D58" s="369"/>
      <c r="E58" s="370"/>
      <c r="F58" s="81" t="s">
        <v>2</v>
      </c>
      <c r="G58" s="110">
        <f>'1. Dashboard'!H43</f>
        <v>0</v>
      </c>
      <c r="H58" s="102"/>
      <c r="I58" s="103"/>
    </row>
    <row r="59" spans="2:9" ht="16.899999999999999" customHeight="1" x14ac:dyDescent="0.25">
      <c r="B59" s="392" t="s">
        <v>260</v>
      </c>
      <c r="C59" s="393"/>
      <c r="D59" s="393"/>
      <c r="E59" s="394"/>
      <c r="F59" s="81" t="s">
        <v>1</v>
      </c>
      <c r="G59" s="109" t="str">
        <f>IFERROR(ROUND(
   IF(I15=MAX(E15:I15),'2. L-2 Worksheet'!I13,
   IF(G15=MAX(E15:I15),'2. L-2 Worksheet'!G13,
   IF(E15=MAX(E15:I15),'2. L-2 Worksheet'!E13))),0),"")</f>
        <v/>
      </c>
      <c r="H59" s="88"/>
      <c r="I59" s="89"/>
    </row>
    <row r="60" spans="2:9" ht="16.899999999999999" customHeight="1" x14ac:dyDescent="0.25">
      <c r="B60" s="399" t="s">
        <v>308</v>
      </c>
      <c r="C60" s="400"/>
      <c r="D60" s="400"/>
      <c r="E60" s="400"/>
      <c r="F60" s="400"/>
      <c r="G60" s="401"/>
      <c r="H60" s="82" t="s">
        <v>46</v>
      </c>
      <c r="I60" s="101" t="str">
        <f>IF(DistrictName&lt;&gt;0,SUM(I54,G57:G59),"")</f>
        <v/>
      </c>
    </row>
    <row r="61" spans="2:9" ht="16.899999999999999" customHeight="1" x14ac:dyDescent="0.25">
      <c r="B61" s="371" t="s">
        <v>249</v>
      </c>
      <c r="C61" s="372"/>
      <c r="D61" s="372"/>
      <c r="E61" s="372"/>
      <c r="F61" s="372"/>
      <c r="G61" s="373"/>
      <c r="H61" s="88"/>
      <c r="I61" s="89"/>
    </row>
    <row r="62" spans="2:9" ht="16.899999999999999" customHeight="1" x14ac:dyDescent="0.25">
      <c r="B62" s="392" t="s">
        <v>167</v>
      </c>
      <c r="C62" s="393"/>
      <c r="D62" s="393"/>
      <c r="E62" s="394"/>
      <c r="F62" s="81" t="s">
        <v>116</v>
      </c>
      <c r="G62" s="110" t="str">
        <f>IF(DistrictName&lt;&gt;0,INDEX(DataDump!I2:I25,MATCH(DistrictName,DataDump!C2:C25))," ")</f>
        <v xml:space="preserve"> </v>
      </c>
      <c r="H62" s="88"/>
      <c r="I62" s="91"/>
    </row>
    <row r="63" spans="2:9" ht="16.899999999999999" customHeight="1" x14ac:dyDescent="0.25">
      <c r="B63" s="362" t="s">
        <v>168</v>
      </c>
      <c r="C63" s="363"/>
      <c r="D63" s="363"/>
      <c r="E63" s="364"/>
      <c r="F63" s="86" t="s">
        <v>101</v>
      </c>
      <c r="G63" s="108" t="str">
        <f>IF(DistrictName&lt;&gt;0,INDEX(DataDump!J2:J25,MATCH(DistrictName,DataDump!C2:C25))," ")</f>
        <v xml:space="preserve"> </v>
      </c>
      <c r="H63" s="88"/>
      <c r="I63" s="91"/>
    </row>
    <row r="64" spans="2:9" ht="16.899999999999999" customHeight="1" x14ac:dyDescent="0.25">
      <c r="B64" s="362" t="s">
        <v>169</v>
      </c>
      <c r="C64" s="363"/>
      <c r="D64" s="363"/>
      <c r="E64" s="364"/>
      <c r="F64" s="86" t="s">
        <v>124</v>
      </c>
      <c r="G64" s="108" t="str">
        <f>IF(DistrictName&lt;&gt;0,INDEX(DataDump!L2:L25,MATCH(DistrictName,DataDump!C2:C25))," ")</f>
        <v xml:space="preserve"> </v>
      </c>
      <c r="H64" s="88"/>
      <c r="I64" s="91"/>
    </row>
    <row r="65" spans="2:9" ht="16.899999999999999" customHeight="1" x14ac:dyDescent="0.25">
      <c r="B65" s="362" t="s">
        <v>250</v>
      </c>
      <c r="C65" s="363"/>
      <c r="D65" s="363"/>
      <c r="E65" s="364"/>
      <c r="F65" s="86" t="s">
        <v>246</v>
      </c>
      <c r="G65" s="108">
        <f>IF('1. Dashboard'!$H$30="Yes",ROUND('1. Dashboard'!$H$31,0),0)</f>
        <v>0</v>
      </c>
      <c r="H65" s="88"/>
      <c r="I65" s="91"/>
    </row>
    <row r="66" spans="2:9" ht="16.899999999999999" customHeight="1" x14ac:dyDescent="0.25">
      <c r="B66" s="362" t="s">
        <v>251</v>
      </c>
      <c r="C66" s="363"/>
      <c r="D66" s="363"/>
      <c r="E66" s="364"/>
      <c r="F66" s="86" t="s">
        <v>247</v>
      </c>
      <c r="G66" s="108">
        <f>IF('1. Dashboard'!$H$32="Yes",ROUND('1. Dashboard'!$H$33,0),0)</f>
        <v>0</v>
      </c>
      <c r="H66" s="88"/>
      <c r="I66" s="91"/>
    </row>
    <row r="67" spans="2:9" ht="16.899999999999999" customHeight="1" x14ac:dyDescent="0.25">
      <c r="B67" s="389" t="s">
        <v>291</v>
      </c>
      <c r="C67" s="390"/>
      <c r="D67" s="390"/>
      <c r="E67" s="390"/>
      <c r="F67" s="390"/>
      <c r="G67" s="391"/>
      <c r="H67" s="86" t="s">
        <v>117</v>
      </c>
      <c r="I67" s="90" t="str">
        <f>IF(DistrictName&lt;&gt;0,ROUND(SUM(G62:G66),0),"")</f>
        <v/>
      </c>
    </row>
    <row r="68" spans="2:9" ht="16.5" customHeight="1" x14ac:dyDescent="0.25">
      <c r="B68" s="371" t="s">
        <v>255</v>
      </c>
      <c r="C68" s="372"/>
      <c r="D68" s="372"/>
      <c r="E68" s="372"/>
      <c r="F68" s="372"/>
      <c r="G68" s="373"/>
      <c r="H68" s="88"/>
      <c r="I68" s="89"/>
    </row>
    <row r="69" spans="2:9" ht="16.899999999999999" customHeight="1" x14ac:dyDescent="0.25">
      <c r="B69" s="362" t="s">
        <v>252</v>
      </c>
      <c r="C69" s="363"/>
      <c r="D69" s="363"/>
      <c r="E69" s="364"/>
      <c r="F69" s="86" t="s">
        <v>125</v>
      </c>
      <c r="G69" s="108">
        <f>IF('1. Dashboard'!$H$34="Yes",ROUND('1. Dashboard'!$H$35,0),0)</f>
        <v>0</v>
      </c>
      <c r="H69" s="88"/>
      <c r="I69" s="91"/>
    </row>
    <row r="70" spans="2:9" ht="16.899999999999999" customHeight="1" x14ac:dyDescent="0.25">
      <c r="B70" s="362" t="s">
        <v>256</v>
      </c>
      <c r="C70" s="363"/>
      <c r="D70" s="363"/>
      <c r="E70" s="363"/>
      <c r="F70" s="86" t="s">
        <v>253</v>
      </c>
      <c r="G70" s="108">
        <f>IF('1. Dashboard'!$H$28="Yes",ROUND('1. Dashboard'!$H$29,0),0)</f>
        <v>0</v>
      </c>
      <c r="H70" s="88"/>
      <c r="I70" s="91"/>
    </row>
    <row r="71" spans="2:9" ht="16.899999999999999" customHeight="1" thickBot="1" x14ac:dyDescent="0.3">
      <c r="B71" s="402" t="s">
        <v>292</v>
      </c>
      <c r="C71" s="403"/>
      <c r="D71" s="403"/>
      <c r="E71" s="403"/>
      <c r="F71" s="403"/>
      <c r="G71" s="404"/>
      <c r="H71" s="86" t="s">
        <v>254</v>
      </c>
      <c r="I71" s="90" t="str">
        <f>IF(DistrictName&lt;&gt;0,ROUND(SUM(G69:G70),0),"")</f>
        <v/>
      </c>
    </row>
    <row r="72" spans="2:9" ht="16.899999999999999" customHeight="1" thickBot="1" x14ac:dyDescent="0.3">
      <c r="B72" s="374" t="s">
        <v>262</v>
      </c>
      <c r="C72" s="375"/>
      <c r="D72" s="375"/>
      <c r="E72" s="375"/>
      <c r="F72" s="375"/>
      <c r="G72" s="375"/>
      <c r="H72" s="375"/>
      <c r="I72" s="376"/>
    </row>
    <row r="73" spans="2:9" ht="16.899999999999999" customHeight="1" thickBot="1" x14ac:dyDescent="0.3">
      <c r="B73" s="405" t="str">
        <f>"Maximum non-exempt property tax budget including forgone amount (lines 22 - 28 - 31)"</f>
        <v>Maximum non-exempt property tax budget including forgone amount (lines 22 - 28 - 31)</v>
      </c>
      <c r="C73" s="406"/>
      <c r="D73" s="406"/>
      <c r="E73" s="406"/>
      <c r="F73" s="406"/>
      <c r="G73" s="407"/>
      <c r="H73" s="83" t="s">
        <v>293</v>
      </c>
      <c r="I73" s="95" t="str">
        <f>IFERROR(ROUND(I60-I67-I71,0),"")</f>
        <v/>
      </c>
    </row>
    <row r="74" spans="2:9" ht="16.899999999999999" customHeight="1" x14ac:dyDescent="0.25">
      <c r="B74" s="395"/>
      <c r="C74" s="395"/>
      <c r="D74" s="395"/>
      <c r="E74" s="395"/>
      <c r="F74" s="395"/>
      <c r="G74" s="395"/>
      <c r="H74" s="395"/>
      <c r="I74" s="395"/>
    </row>
  </sheetData>
  <sheetProtection algorithmName="SHA-512" hashValue="4JjwJchMsSRX9vvpzP7Qu/Q3EIQrbhrnDufDB3FuJmlLgTIWC8NvFYMc8JJPZyFAabAqkyOwA8o0WFQM1qmNpQ==" saltValue="bDqXH8YCyvlIvQpuwlSZrQ==" spinCount="100000" sheet="1" objects="1" scenarios="1"/>
  <mergeCells count="97">
    <mergeCell ref="B1:I1"/>
    <mergeCell ref="B51:G51"/>
    <mergeCell ref="B55:G55"/>
    <mergeCell ref="B61:G61"/>
    <mergeCell ref="B68:G68"/>
    <mergeCell ref="B67:G67"/>
    <mergeCell ref="B66:E66"/>
    <mergeCell ref="B26:E26"/>
    <mergeCell ref="B27:E27"/>
    <mergeCell ref="B29:E29"/>
    <mergeCell ref="B40:G40"/>
    <mergeCell ref="B22:E22"/>
    <mergeCell ref="B23:E23"/>
    <mergeCell ref="B50:G50"/>
    <mergeCell ref="B47:E47"/>
    <mergeCell ref="B48:E48"/>
    <mergeCell ref="B74:I74"/>
    <mergeCell ref="B63:E63"/>
    <mergeCell ref="B64:E64"/>
    <mergeCell ref="B59:E59"/>
    <mergeCell ref="B56:E56"/>
    <mergeCell ref="B57:E57"/>
    <mergeCell ref="B60:G60"/>
    <mergeCell ref="B71:G71"/>
    <mergeCell ref="B58:E58"/>
    <mergeCell ref="B62:E62"/>
    <mergeCell ref="B65:E65"/>
    <mergeCell ref="B69:E69"/>
    <mergeCell ref="B72:I72"/>
    <mergeCell ref="B73:G73"/>
    <mergeCell ref="B70:E70"/>
    <mergeCell ref="B54:G54"/>
    <mergeCell ref="B52:E52"/>
    <mergeCell ref="B53:E53"/>
    <mergeCell ref="B37:E37"/>
    <mergeCell ref="B38:E38"/>
    <mergeCell ref="B45:E45"/>
    <mergeCell ref="B46:E46"/>
    <mergeCell ref="B42:E42"/>
    <mergeCell ref="B44:E44"/>
    <mergeCell ref="B49:E49"/>
    <mergeCell ref="B34:G34"/>
    <mergeCell ref="B24:I24"/>
    <mergeCell ref="B19:I19"/>
    <mergeCell ref="B31:G31"/>
    <mergeCell ref="B20:G20"/>
    <mergeCell ref="B25:G25"/>
    <mergeCell ref="B28:G28"/>
    <mergeCell ref="B21:G21"/>
    <mergeCell ref="B30:E30"/>
    <mergeCell ref="B32:E32"/>
    <mergeCell ref="B33:E33"/>
    <mergeCell ref="B35:E35"/>
    <mergeCell ref="B36:E36"/>
    <mergeCell ref="B39:G39"/>
    <mergeCell ref="B41:E41"/>
    <mergeCell ref="B43:E43"/>
    <mergeCell ref="B2:I2"/>
    <mergeCell ref="E6:F6"/>
    <mergeCell ref="E7:F7"/>
    <mergeCell ref="B17:I17"/>
    <mergeCell ref="B3:I3"/>
    <mergeCell ref="E4:F4"/>
    <mergeCell ref="G4:H4"/>
    <mergeCell ref="E5:F5"/>
    <mergeCell ref="G5:H5"/>
    <mergeCell ref="E8:F8"/>
    <mergeCell ref="G8:H8"/>
    <mergeCell ref="E9:F9"/>
    <mergeCell ref="G9:H9"/>
    <mergeCell ref="G10:H10"/>
    <mergeCell ref="E11:F11"/>
    <mergeCell ref="G11:H11"/>
    <mergeCell ref="E12:F12"/>
    <mergeCell ref="B16:I16"/>
    <mergeCell ref="E13:F13"/>
    <mergeCell ref="B4:D4"/>
    <mergeCell ref="B8:D8"/>
    <mergeCell ref="B9:D9"/>
    <mergeCell ref="B10:D10"/>
    <mergeCell ref="E10:F10"/>
    <mergeCell ref="E18:I18"/>
    <mergeCell ref="B18:D18"/>
    <mergeCell ref="B15:D15"/>
    <mergeCell ref="G6:H6"/>
    <mergeCell ref="B5:C7"/>
    <mergeCell ref="G7:H7"/>
    <mergeCell ref="E15:F15"/>
    <mergeCell ref="G15:H15"/>
    <mergeCell ref="G12:H12"/>
    <mergeCell ref="G13:H13"/>
    <mergeCell ref="G14:H14"/>
    <mergeCell ref="E14:F14"/>
    <mergeCell ref="B11:D11"/>
    <mergeCell ref="B12:D12"/>
    <mergeCell ref="B13:D13"/>
    <mergeCell ref="B14:D14"/>
  </mergeCells>
  <conditionalFormatting sqref="A17:E17 J17:XFD19 B18 B19:E19 A20:XFD20 A21:E21 H21:XFD21 A22:B23 F22:XFD23 A24:XFD25 A26:B27 F26:XFD27 A28:XFD28 A29:B30 F29:XFD30 A31:XFD31 A32:B33 F32:XFD33 A34:E34 H34:XFD34 A35:B38 F35:XFD38 A39:XFD39 A40:E40 H40:XFD40 A41:B49 F41:XFD49 A50:XFD50 A51:E51 H51:XFD51 F52:XFD53 A52:B54 H54:I61 J54:XFD66 A55:E55 F56:I59 A56:B60 F59:XFD59 A61:E61 A62:B66 F62:I66 A67:XFD67 A68:E68 H68:I68 J68:XFD72 A69:B70 F69:I70 A71:I71 A72:E72 A73:XFD73 A74:B74 J74:XFD74 A75:XFD1048576">
    <cfRule type="containsErrors" dxfId="29" priority="34">
      <formula>ISERROR(A17)</formula>
    </cfRule>
  </conditionalFormatting>
  <conditionalFormatting sqref="B3:B5 B8:B15">
    <cfRule type="containsErrors" dxfId="28" priority="4">
      <formula>ISERROR(B3)</formula>
    </cfRule>
  </conditionalFormatting>
  <conditionalFormatting sqref="B2:E2">
    <cfRule type="containsErrors" dxfId="27" priority="10">
      <formula>ISERROR(B2)</formula>
    </cfRule>
  </conditionalFormatting>
  <conditionalFormatting sqref="E4:I4">
    <cfRule type="containsErrors" dxfId="26" priority="8">
      <formula>ISERROR(E4)</formula>
    </cfRule>
  </conditionalFormatting>
  <conditionalFormatting sqref="E7:I7 E10 E15:I15 I20 G22:G23 G29:G30 G32:G33 G57:G58 G65:G66 G69:G70">
    <cfRule type="expression" dxfId="25" priority="3">
      <formula>DistrictName=0</formula>
    </cfRule>
  </conditionalFormatting>
  <conditionalFormatting sqref="E15:I15">
    <cfRule type="cellIs" dxfId="24" priority="6" operator="equal">
      <formula>0</formula>
    </cfRule>
    <cfRule type="top10" dxfId="23" priority="7" rank="1"/>
  </conditionalFormatting>
  <conditionalFormatting sqref="G41:G49">
    <cfRule type="expression" dxfId="22" priority="1">
      <formula>DistrictName=0</formula>
    </cfRule>
  </conditionalFormatting>
  <conditionalFormatting sqref="G57">
    <cfRule type="expression" dxfId="21" priority="20">
      <formula>$G$57&gt;#REF!</formula>
    </cfRule>
  </conditionalFormatting>
  <conditionalFormatting sqref="G58:G59">
    <cfRule type="expression" dxfId="20" priority="19">
      <formula>$G$58&gt;#REF!</formula>
    </cfRule>
  </conditionalFormatting>
  <conditionalFormatting sqref="I59:I60">
    <cfRule type="expression" dxfId="19" priority="88">
      <formula>#REF!&gt;$G$56</formula>
    </cfRule>
  </conditionalFormatting>
  <printOptions horizontalCentered="1"/>
  <pageMargins left="0.25" right="0.25" top="0.25" bottom="0.25" header="0.3" footer="0.3"/>
  <pageSetup scale="78" fitToHeight="0" orientation="landscape" r:id="rId1"/>
  <rowBreaks count="1" manualBreakCount="1">
    <brk id="33" max="16383" man="1"/>
  </rowBreaks>
  <ignoredErrors>
    <ignoredError sqref="H20:H21 H22:H23 F49"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D71D-0162-184E-8FAA-223497D37D92}">
  <sheetPr codeName="Sheet9">
    <pageSetUpPr fitToPage="1"/>
  </sheetPr>
  <dimension ref="A1:Q75"/>
  <sheetViews>
    <sheetView showGridLines="0" showZeros="0" zoomScale="90" zoomScaleNormal="90" workbookViewId="0">
      <selection activeCell="B9" sqref="B9:C9"/>
    </sheetView>
  </sheetViews>
  <sheetFormatPr defaultColWidth="8.75" defaultRowHeight="16.899999999999999" customHeight="1" x14ac:dyDescent="0.25"/>
  <cols>
    <col min="1" max="1" width="2.75" style="2" customWidth="1"/>
    <col min="2" max="2" width="2.5" style="2" customWidth="1"/>
    <col min="3" max="3" width="29.375" style="2" customWidth="1"/>
    <col min="4" max="4" width="21.5" style="2" customWidth="1"/>
    <col min="5" max="5" width="19.75" style="2" customWidth="1"/>
    <col min="6" max="6" width="20" style="2" customWidth="1"/>
    <col min="7" max="7" width="22.5" style="2" customWidth="1"/>
    <col min="8" max="8" width="23" style="2" customWidth="1"/>
    <col min="9" max="9" width="8.75" style="2"/>
    <col min="10" max="10" width="13.5" style="2" bestFit="1" customWidth="1"/>
    <col min="11" max="11" width="11.25" style="2" bestFit="1" customWidth="1"/>
    <col min="12" max="16" width="8.75" style="2"/>
    <col min="17" max="17" width="13.75" style="2" bestFit="1" customWidth="1"/>
    <col min="18" max="16384" width="8.75" style="2"/>
  </cols>
  <sheetData>
    <row r="1" spans="1:17" ht="16.899999999999999" customHeight="1" thickBot="1" x14ac:dyDescent="0.3">
      <c r="A1" s="39"/>
      <c r="B1" s="420"/>
      <c r="C1" s="420"/>
      <c r="D1" s="420"/>
      <c r="E1" s="420"/>
      <c r="F1" s="420"/>
      <c r="G1" s="420"/>
      <c r="H1" s="420"/>
    </row>
    <row r="2" spans="1:17" ht="16.899999999999999" customHeight="1" x14ac:dyDescent="0.25">
      <c r="B2" s="423" t="str">
        <f>LEFT('1. Dashboard'!B8,4)&amp;" Dollar Certification of Budget Request to Board of County Commissioners L-2"</f>
        <v>2025 Dollar Certification of Budget Request to Board of County Commissioners L-2</v>
      </c>
      <c r="C2" s="424"/>
      <c r="D2" s="424"/>
      <c r="E2" s="424"/>
      <c r="F2" s="424"/>
      <c r="G2" s="424"/>
      <c r="H2" s="425"/>
      <c r="Q2" s="3"/>
    </row>
    <row r="3" spans="1:17" ht="16.899999999999999" customHeight="1" thickBot="1" x14ac:dyDescent="0.3">
      <c r="B3" s="426" t="s">
        <v>41</v>
      </c>
      <c r="C3" s="427"/>
      <c r="D3" s="427"/>
      <c r="E3" s="427"/>
      <c r="F3" s="427"/>
      <c r="G3" s="427"/>
      <c r="H3" s="428"/>
    </row>
    <row r="4" spans="1:17" ht="16.899999999999999" customHeight="1" x14ac:dyDescent="0.25">
      <c r="B4" s="433" t="str">
        <f>IF(DistrictName&lt;&gt;0,"District Name: "&amp;DistrictName&amp;" and "&amp;DistrictName&amp;" Road &amp; Bridge","District Name:")</f>
        <v>District Name:</v>
      </c>
      <c r="C4" s="434"/>
      <c r="D4" s="434"/>
      <c r="E4" s="434"/>
      <c r="F4" s="434"/>
      <c r="G4" s="434"/>
      <c r="H4" s="435"/>
    </row>
    <row r="5" spans="1:17" ht="16.899999999999999" customHeight="1" x14ac:dyDescent="0.25">
      <c r="B5" s="489" t="s">
        <v>21</v>
      </c>
      <c r="C5" s="490"/>
      <c r="D5" s="429" t="s">
        <v>44</v>
      </c>
      <c r="E5" s="429" t="s">
        <v>43</v>
      </c>
      <c r="F5" s="429" t="s">
        <v>32</v>
      </c>
      <c r="G5" s="429" t="s">
        <v>294</v>
      </c>
      <c r="H5" s="487" t="s">
        <v>42</v>
      </c>
    </row>
    <row r="6" spans="1:17" ht="16.899999999999999" customHeight="1" x14ac:dyDescent="0.25">
      <c r="B6" s="491"/>
      <c r="C6" s="492"/>
      <c r="D6" s="430"/>
      <c r="E6" s="430"/>
      <c r="F6" s="430"/>
      <c r="G6" s="430"/>
      <c r="H6" s="488"/>
    </row>
    <row r="7" spans="1:17" ht="27.75" customHeight="1" x14ac:dyDescent="0.25">
      <c r="B7" s="493"/>
      <c r="C7" s="494"/>
      <c r="D7" s="430"/>
      <c r="E7" s="430"/>
      <c r="F7" s="430"/>
      <c r="G7" s="430"/>
      <c r="H7" s="488"/>
      <c r="K7" s="35"/>
    </row>
    <row r="8" spans="1:17" ht="16.899999999999999" customHeight="1" x14ac:dyDescent="0.25">
      <c r="B8" s="495">
        <v>1</v>
      </c>
      <c r="C8" s="496"/>
      <c r="D8" s="11">
        <v>2</v>
      </c>
      <c r="E8" s="11">
        <v>3</v>
      </c>
      <c r="F8" s="11">
        <v>4</v>
      </c>
      <c r="G8" s="11">
        <v>5</v>
      </c>
      <c r="H8" s="20">
        <v>6</v>
      </c>
    </row>
    <row r="9" spans="1:17" ht="16.899999999999999" customHeight="1" x14ac:dyDescent="0.25">
      <c r="B9" s="418"/>
      <c r="C9" s="419"/>
      <c r="D9" s="31"/>
      <c r="E9" s="31"/>
      <c r="F9" s="31"/>
      <c r="G9" s="31"/>
      <c r="H9" s="50">
        <f>D9-(E9+F9+G9)</f>
        <v>0</v>
      </c>
    </row>
    <row r="10" spans="1:17" ht="16.899999999999999" customHeight="1" x14ac:dyDescent="0.25">
      <c r="B10" s="418"/>
      <c r="C10" s="419"/>
      <c r="D10" s="31"/>
      <c r="E10" s="31"/>
      <c r="F10" s="31"/>
      <c r="G10" s="31"/>
      <c r="H10" s="50">
        <f t="shared" ref="H10:H30" si="0">D10-(E10+F10+G10)</f>
        <v>0</v>
      </c>
    </row>
    <row r="11" spans="1:17" ht="16.899999999999999" customHeight="1" x14ac:dyDescent="0.25">
      <c r="B11" s="418"/>
      <c r="C11" s="419"/>
      <c r="D11" s="31"/>
      <c r="E11" s="31"/>
      <c r="F11" s="31"/>
      <c r="G11" s="31"/>
      <c r="H11" s="50">
        <f t="shared" si="0"/>
        <v>0</v>
      </c>
    </row>
    <row r="12" spans="1:17" ht="16.899999999999999" customHeight="1" x14ac:dyDescent="0.25">
      <c r="B12" s="418"/>
      <c r="C12" s="419"/>
      <c r="D12" s="31"/>
      <c r="E12" s="31"/>
      <c r="F12" s="31"/>
      <c r="G12" s="31"/>
      <c r="H12" s="50">
        <f t="shared" si="0"/>
        <v>0</v>
      </c>
    </row>
    <row r="13" spans="1:17" ht="16.899999999999999" customHeight="1" x14ac:dyDescent="0.25">
      <c r="B13" s="418"/>
      <c r="C13" s="419"/>
      <c r="D13" s="31"/>
      <c r="E13" s="31"/>
      <c r="F13" s="31"/>
      <c r="G13" s="31"/>
      <c r="H13" s="50">
        <f t="shared" si="0"/>
        <v>0</v>
      </c>
    </row>
    <row r="14" spans="1:17" ht="16.899999999999999" customHeight="1" x14ac:dyDescent="0.25">
      <c r="B14" s="418"/>
      <c r="C14" s="419"/>
      <c r="D14" s="31"/>
      <c r="E14" s="31"/>
      <c r="F14" s="31"/>
      <c r="G14" s="31"/>
      <c r="H14" s="50">
        <f t="shared" si="0"/>
        <v>0</v>
      </c>
    </row>
    <row r="15" spans="1:17" ht="16.899999999999999" customHeight="1" x14ac:dyDescent="0.25">
      <c r="B15" s="418"/>
      <c r="C15" s="419"/>
      <c r="D15" s="31"/>
      <c r="E15" s="31"/>
      <c r="F15" s="31"/>
      <c r="G15" s="31"/>
      <c r="H15" s="50">
        <f t="shared" si="0"/>
        <v>0</v>
      </c>
    </row>
    <row r="16" spans="1:17" ht="16.899999999999999" customHeight="1" x14ac:dyDescent="0.25">
      <c r="B16" s="418"/>
      <c r="C16" s="419"/>
      <c r="D16" s="31"/>
      <c r="E16" s="31"/>
      <c r="F16" s="31"/>
      <c r="G16" s="31"/>
      <c r="H16" s="50">
        <f t="shared" si="0"/>
        <v>0</v>
      </c>
    </row>
    <row r="17" spans="2:10" ht="16.899999999999999" customHeight="1" x14ac:dyDescent="0.25">
      <c r="B17" s="418"/>
      <c r="C17" s="419"/>
      <c r="D17" s="31"/>
      <c r="E17" s="31"/>
      <c r="F17" s="31"/>
      <c r="G17" s="31"/>
      <c r="H17" s="50">
        <f t="shared" si="0"/>
        <v>0</v>
      </c>
    </row>
    <row r="18" spans="2:10" ht="16.899999999999999" customHeight="1" x14ac:dyDescent="0.25">
      <c r="B18" s="418"/>
      <c r="C18" s="419"/>
      <c r="D18" s="31"/>
      <c r="E18" s="31"/>
      <c r="F18" s="31"/>
      <c r="G18" s="31"/>
      <c r="H18" s="50">
        <f t="shared" si="0"/>
        <v>0</v>
      </c>
    </row>
    <row r="19" spans="2:10" ht="16.899999999999999" customHeight="1" x14ac:dyDescent="0.25">
      <c r="B19" s="418"/>
      <c r="C19" s="419"/>
      <c r="D19" s="31"/>
      <c r="E19" s="31"/>
      <c r="F19" s="31"/>
      <c r="G19" s="31"/>
      <c r="H19" s="50">
        <f t="shared" si="0"/>
        <v>0</v>
      </c>
    </row>
    <row r="20" spans="2:10" ht="16.899999999999999" customHeight="1" x14ac:dyDescent="0.25">
      <c r="B20" s="418"/>
      <c r="C20" s="419"/>
      <c r="D20" s="31"/>
      <c r="E20" s="31"/>
      <c r="F20" s="31"/>
      <c r="G20" s="31"/>
      <c r="H20" s="50">
        <f t="shared" si="0"/>
        <v>0</v>
      </c>
    </row>
    <row r="21" spans="2:10" ht="16.899999999999999" customHeight="1" x14ac:dyDescent="0.25">
      <c r="B21" s="418"/>
      <c r="C21" s="419"/>
      <c r="D21" s="31"/>
      <c r="E21" s="31"/>
      <c r="F21" s="31"/>
      <c r="G21" s="31"/>
      <c r="H21" s="50">
        <f t="shared" si="0"/>
        <v>0</v>
      </c>
      <c r="J21" s="54"/>
    </row>
    <row r="22" spans="2:10" ht="16.899999999999999" customHeight="1" x14ac:dyDescent="0.25">
      <c r="B22" s="418"/>
      <c r="C22" s="419"/>
      <c r="D22" s="31"/>
      <c r="E22" s="31"/>
      <c r="F22" s="31"/>
      <c r="G22" s="31"/>
      <c r="H22" s="50">
        <f t="shared" si="0"/>
        <v>0</v>
      </c>
    </row>
    <row r="23" spans="2:10" ht="16.899999999999999" customHeight="1" x14ac:dyDescent="0.25">
      <c r="B23" s="418"/>
      <c r="C23" s="419"/>
      <c r="D23" s="31"/>
      <c r="E23" s="31"/>
      <c r="F23" s="31"/>
      <c r="G23" s="31"/>
      <c r="H23" s="50">
        <f t="shared" si="0"/>
        <v>0</v>
      </c>
    </row>
    <row r="24" spans="2:10" ht="16.899999999999999" customHeight="1" x14ac:dyDescent="0.25">
      <c r="B24" s="418"/>
      <c r="C24" s="419"/>
      <c r="D24" s="31"/>
      <c r="E24" s="31"/>
      <c r="F24" s="31"/>
      <c r="G24" s="31"/>
      <c r="H24" s="50">
        <f t="shared" si="0"/>
        <v>0</v>
      </c>
    </row>
    <row r="25" spans="2:10" ht="16.899999999999999" customHeight="1" x14ac:dyDescent="0.25">
      <c r="B25" s="418"/>
      <c r="C25" s="419"/>
      <c r="D25" s="31"/>
      <c r="E25" s="31"/>
      <c r="F25" s="31"/>
      <c r="G25" s="31"/>
      <c r="H25" s="50">
        <f t="shared" si="0"/>
        <v>0</v>
      </c>
    </row>
    <row r="26" spans="2:10" ht="16.899999999999999" customHeight="1" x14ac:dyDescent="0.25">
      <c r="B26" s="418"/>
      <c r="C26" s="419"/>
      <c r="D26" s="31"/>
      <c r="E26" s="31"/>
      <c r="F26" s="31"/>
      <c r="G26" s="31"/>
      <c r="H26" s="50">
        <f t="shared" si="0"/>
        <v>0</v>
      </c>
    </row>
    <row r="27" spans="2:10" ht="16.899999999999999" customHeight="1" x14ac:dyDescent="0.25">
      <c r="B27" s="431" t="s">
        <v>104</v>
      </c>
      <c r="C27" s="432"/>
      <c r="D27" s="31"/>
      <c r="E27" s="31"/>
      <c r="F27" s="31"/>
      <c r="G27" s="31"/>
      <c r="H27" s="50">
        <f t="shared" si="0"/>
        <v>0</v>
      </c>
    </row>
    <row r="28" spans="2:10" ht="16.899999999999999" customHeight="1" x14ac:dyDescent="0.25">
      <c r="B28" s="72" t="str">
        <f>"^"</f>
        <v>^</v>
      </c>
      <c r="C28" s="73" t="str">
        <f>"I.C. §40-801(1)(a)"</f>
        <v>I.C. §40-801(1)(a)</v>
      </c>
      <c r="D28" s="41"/>
      <c r="E28" s="41"/>
      <c r="F28" s="41"/>
      <c r="G28" s="41"/>
      <c r="H28" s="50">
        <f t="shared" si="0"/>
        <v>0</v>
      </c>
      <c r="J28" s="36"/>
    </row>
    <row r="29" spans="2:10" ht="16.899999999999999" customHeight="1" x14ac:dyDescent="0.25">
      <c r="B29" s="72" t="str">
        <f>"^^"</f>
        <v>^^</v>
      </c>
      <c r="C29" s="73" t="str">
        <f>"I.C. §40-801(1)(b)"</f>
        <v>I.C. §40-801(1)(b)</v>
      </c>
      <c r="D29" s="41"/>
      <c r="E29" s="41"/>
      <c r="F29" s="41"/>
      <c r="G29" s="41"/>
      <c r="H29" s="50">
        <f t="shared" si="0"/>
        <v>0</v>
      </c>
      <c r="J29" s="36"/>
    </row>
    <row r="30" spans="2:10" ht="16.899999999999999" customHeight="1" x14ac:dyDescent="0.25">
      <c r="B30" s="421" t="s">
        <v>100</v>
      </c>
      <c r="C30" s="422"/>
      <c r="D30" s="63"/>
      <c r="E30" s="63"/>
      <c r="F30" s="63"/>
      <c r="G30" s="74"/>
      <c r="H30" s="50">
        <f t="shared" si="0"/>
        <v>0</v>
      </c>
      <c r="J30" s="36"/>
    </row>
    <row r="31" spans="2:10" ht="16.899999999999999" customHeight="1" thickBot="1" x14ac:dyDescent="0.3">
      <c r="B31" s="485" t="s">
        <v>48</v>
      </c>
      <c r="C31" s="486"/>
      <c r="D31" s="46">
        <f>SUM(D9:D30)</f>
        <v>0</v>
      </c>
      <c r="E31" s="46">
        <f>SUM(E9:E30)</f>
        <v>0</v>
      </c>
      <c r="F31" s="46">
        <f>SUM(F9:F30)</f>
        <v>0</v>
      </c>
      <c r="G31" s="46">
        <f>SUM(G9:G30)</f>
        <v>0</v>
      </c>
      <c r="H31" s="49">
        <f>ROUND(SUM(H9:H30),0)</f>
        <v>0</v>
      </c>
      <c r="J31" s="36"/>
    </row>
    <row r="32" spans="2:10" ht="18.75" customHeight="1" thickBot="1" x14ac:dyDescent="0.35">
      <c r="B32" s="114"/>
      <c r="C32" s="484" t="s">
        <v>144</v>
      </c>
      <c r="D32" s="484"/>
      <c r="E32" s="484"/>
      <c r="F32" s="484"/>
      <c r="G32" s="484"/>
      <c r="H32" s="115" t="str">
        <f>'2. L-2 Worksheet'!I73</f>
        <v/>
      </c>
      <c r="J32" s="36"/>
    </row>
    <row r="33" spans="2:10" ht="21.75" customHeight="1" x14ac:dyDescent="0.35">
      <c r="B33" s="481" t="s">
        <v>49</v>
      </c>
      <c r="C33" s="482"/>
      <c r="D33" s="482"/>
      <c r="E33" s="482"/>
      <c r="F33" s="482"/>
      <c r="G33" s="482"/>
      <c r="H33" s="483"/>
      <c r="J33" s="36"/>
    </row>
    <row r="34" spans="2:10" ht="16.5" thickBot="1" x14ac:dyDescent="0.3">
      <c r="B34" s="476" t="str">
        <f>"(Bonds, Overrides, &amp; Judgment Funds)"</f>
        <v>(Bonds, Overrides, &amp; Judgment Funds)</v>
      </c>
      <c r="C34" s="477"/>
      <c r="D34" s="477"/>
      <c r="E34" s="477"/>
      <c r="F34" s="477"/>
      <c r="G34" s="477"/>
      <c r="H34" s="478"/>
      <c r="J34" s="36"/>
    </row>
    <row r="35" spans="2:10" ht="16.899999999999999" customHeight="1" x14ac:dyDescent="0.25">
      <c r="B35" s="479"/>
      <c r="C35" s="480"/>
      <c r="D35" s="53"/>
      <c r="E35" s="53"/>
      <c r="F35" s="53"/>
      <c r="G35" s="53"/>
      <c r="H35" s="51">
        <f>D35-(E35+F35+G35)</f>
        <v>0</v>
      </c>
      <c r="J35" s="36"/>
    </row>
    <row r="36" spans="2:10" ht="16.899999999999999" customHeight="1" x14ac:dyDescent="0.25">
      <c r="B36" s="418"/>
      <c r="C36" s="419"/>
      <c r="D36" s="41"/>
      <c r="E36" s="41"/>
      <c r="F36" s="41"/>
      <c r="G36" s="41"/>
      <c r="H36" s="51">
        <f t="shared" ref="H36:H45" si="1">D36-(E36+F36+G36)</f>
        <v>0</v>
      </c>
      <c r="J36" s="36"/>
    </row>
    <row r="37" spans="2:10" ht="16.899999999999999" customHeight="1" x14ac:dyDescent="0.25">
      <c r="B37" s="418"/>
      <c r="C37" s="419"/>
      <c r="D37" s="41"/>
      <c r="E37" s="41"/>
      <c r="F37" s="41"/>
      <c r="G37" s="41"/>
      <c r="H37" s="51">
        <f t="shared" si="1"/>
        <v>0</v>
      </c>
      <c r="J37" s="36"/>
    </row>
    <row r="38" spans="2:10" ht="16.899999999999999" customHeight="1" x14ac:dyDescent="0.25">
      <c r="B38" s="418"/>
      <c r="C38" s="419"/>
      <c r="D38" s="63"/>
      <c r="E38" s="63"/>
      <c r="F38" s="63"/>
      <c r="G38" s="63"/>
      <c r="H38" s="51">
        <f t="shared" si="1"/>
        <v>0</v>
      </c>
      <c r="J38" s="36"/>
    </row>
    <row r="39" spans="2:10" ht="16.899999999999999" customHeight="1" x14ac:dyDescent="0.25">
      <c r="B39" s="418"/>
      <c r="C39" s="419"/>
      <c r="D39" s="63"/>
      <c r="E39" s="63"/>
      <c r="F39" s="63"/>
      <c r="G39" s="63"/>
      <c r="H39" s="51">
        <f t="shared" si="1"/>
        <v>0</v>
      </c>
      <c r="J39" s="36"/>
    </row>
    <row r="40" spans="2:10" ht="16.899999999999999" hidden="1" customHeight="1" x14ac:dyDescent="0.25">
      <c r="B40" s="418"/>
      <c r="C40" s="419"/>
      <c r="D40" s="63"/>
      <c r="E40" s="63"/>
      <c r="F40" s="63"/>
      <c r="G40" s="63"/>
      <c r="H40" s="51">
        <f t="shared" si="1"/>
        <v>0</v>
      </c>
      <c r="J40" s="36"/>
    </row>
    <row r="41" spans="2:10" ht="16.899999999999999" hidden="1" customHeight="1" x14ac:dyDescent="0.25">
      <c r="B41" s="418"/>
      <c r="C41" s="419"/>
      <c r="D41" s="63"/>
      <c r="E41" s="63"/>
      <c r="F41" s="63"/>
      <c r="G41" s="63"/>
      <c r="H41" s="51">
        <f t="shared" si="1"/>
        <v>0</v>
      </c>
      <c r="J41" s="36"/>
    </row>
    <row r="42" spans="2:10" ht="16.899999999999999" hidden="1" customHeight="1" x14ac:dyDescent="0.25">
      <c r="B42" s="418"/>
      <c r="C42" s="419"/>
      <c r="D42" s="63"/>
      <c r="E42" s="63"/>
      <c r="F42" s="63"/>
      <c r="G42" s="63"/>
      <c r="H42" s="51">
        <f t="shared" si="1"/>
        <v>0</v>
      </c>
      <c r="J42" s="36"/>
    </row>
    <row r="43" spans="2:10" ht="16.899999999999999" hidden="1" customHeight="1" x14ac:dyDescent="0.25">
      <c r="B43" s="418"/>
      <c r="C43" s="419"/>
      <c r="D43" s="63"/>
      <c r="E43" s="63"/>
      <c r="F43" s="63"/>
      <c r="G43" s="63"/>
      <c r="H43" s="51">
        <f t="shared" si="1"/>
        <v>0</v>
      </c>
      <c r="J43" s="36"/>
    </row>
    <row r="44" spans="2:10" ht="16.899999999999999" customHeight="1" x14ac:dyDescent="0.25">
      <c r="B44" s="418"/>
      <c r="C44" s="419"/>
      <c r="D44" s="63"/>
      <c r="E44" s="63"/>
      <c r="F44" s="63"/>
      <c r="G44" s="63"/>
      <c r="H44" s="51">
        <f t="shared" si="1"/>
        <v>0</v>
      </c>
      <c r="J44" s="36"/>
    </row>
    <row r="45" spans="2:10" ht="16.899999999999999" customHeight="1" thickBot="1" x14ac:dyDescent="0.3">
      <c r="B45" s="416" t="s">
        <v>48</v>
      </c>
      <c r="C45" s="417"/>
      <c r="D45" s="47">
        <f>SUM(D35:D44)</f>
        <v>0</v>
      </c>
      <c r="E45" s="47">
        <f t="shared" ref="E45:G45" si="2">SUM(E35:E44)</f>
        <v>0</v>
      </c>
      <c r="F45" s="47">
        <f t="shared" si="2"/>
        <v>0</v>
      </c>
      <c r="G45" s="47">
        <f t="shared" si="2"/>
        <v>0</v>
      </c>
      <c r="H45" s="107">
        <f t="shared" si="1"/>
        <v>0</v>
      </c>
      <c r="J45" s="36"/>
    </row>
    <row r="46" spans="2:10" ht="16.899999999999999" customHeight="1" thickTop="1" thickBot="1" x14ac:dyDescent="0.3">
      <c r="B46" s="467" t="s">
        <v>13</v>
      </c>
      <c r="C46" s="468"/>
      <c r="D46" s="44">
        <f>ROUND(D31+D45,0)</f>
        <v>0</v>
      </c>
      <c r="E46" s="44">
        <f>ROUND(E31+E45,0)</f>
        <v>0</v>
      </c>
      <c r="F46" s="44">
        <f>ROUND(F31+F45,0)</f>
        <v>0</v>
      </c>
      <c r="G46" s="44">
        <f>ROUND(G31+G45,0)</f>
        <v>0</v>
      </c>
      <c r="H46" s="45">
        <f>ROUND(H31+H45,0)</f>
        <v>0</v>
      </c>
      <c r="J46" s="36"/>
    </row>
    <row r="47" spans="2:10" ht="16.899999999999999" customHeight="1" thickBot="1" x14ac:dyDescent="0.3">
      <c r="B47" s="474" t="s">
        <v>146</v>
      </c>
      <c r="C47" s="475"/>
      <c r="D47" s="475"/>
      <c r="E47" s="475"/>
      <c r="F47" s="475"/>
      <c r="G47" s="84" t="str">
        <f>IF(DistrictName&lt;&gt;0,'2. L-2 Worksheet'!I67+'2. L-2 Worksheet'!I71,"")</f>
        <v/>
      </c>
      <c r="H47" s="85"/>
      <c r="J47" s="36"/>
    </row>
    <row r="48" spans="2:10" ht="16.899999999999999" customHeight="1" x14ac:dyDescent="0.25">
      <c r="B48" s="414" t="str">
        <f>"I, the undersigned, attest that a public hearing was held and a resolution was adopted to:"</f>
        <v>I, the undersigned, attest that a public hearing was held and a resolution was adopted to:</v>
      </c>
      <c r="C48" s="415"/>
      <c r="D48" s="415"/>
      <c r="E48" s="415"/>
      <c r="F48" s="415"/>
      <c r="G48" s="30" t="str">
        <f>"Max Reserved Forgone:"</f>
        <v>Max Reserved Forgone:</v>
      </c>
      <c r="H48" s="32" t="str">
        <f>IF(DistrictName="","",MAX(MIN('2. L-2 Worksheet'!I73-'3. L-2 Dollar Certification'!H31,('2. L-2 Worksheet'!I54-'2. L-2 Worksheet'!I20)),0))</f>
        <v/>
      </c>
      <c r="J48" s="36"/>
    </row>
    <row r="49" spans="2:10" ht="16.899999999999999" customHeight="1" x14ac:dyDescent="0.25">
      <c r="B49" s="92"/>
      <c r="C49" s="497" t="str">
        <f>"RESERVE the current year's forgone amount, OR"</f>
        <v>RESERVE the current year's forgone amount, OR</v>
      </c>
      <c r="D49" s="497"/>
      <c r="E49" s="497"/>
      <c r="F49" s="497"/>
      <c r="G49" s="19" t="str">
        <f>"Reserved Forgone:"</f>
        <v>Reserved Forgone:</v>
      </c>
      <c r="H49" s="94"/>
      <c r="J49" s="35"/>
    </row>
    <row r="50" spans="2:10" ht="16.899999999999999" customHeight="1" x14ac:dyDescent="0.25">
      <c r="B50" s="93"/>
      <c r="C50" s="497" t="str">
        <f>"RECOVER forgone amounts (line 19 + line 20 of the 'L-2 Worksheet')"</f>
        <v>RECOVER forgone amounts (line 19 + line 20 of the 'L-2 Worksheet')</v>
      </c>
      <c r="D50" s="497"/>
      <c r="E50" s="497"/>
      <c r="F50" s="497"/>
      <c r="G50" s="18" t="str">
        <f>"Recovered Forgone:"</f>
        <v>Recovered Forgone:</v>
      </c>
      <c r="H50" s="21">
        <f>SUM('2. L-2 Worksheet'!G57:G58)</f>
        <v>0</v>
      </c>
    </row>
    <row r="51" spans="2:10" ht="16.899999999999999" customHeight="1" x14ac:dyDescent="0.25">
      <c r="B51" s="499"/>
      <c r="C51" s="500"/>
      <c r="D51" s="500"/>
      <c r="E51" s="500"/>
      <c r="F51" s="500"/>
      <c r="G51" s="500"/>
      <c r="H51" s="501"/>
    </row>
    <row r="52" spans="2:10" ht="16.899999999999999" customHeight="1" thickBot="1" x14ac:dyDescent="0.3">
      <c r="B52" s="517" t="str">
        <f>IF(SUM('2. L-2 Worksheet'!G57:G58)&gt;0,"I have attached the adopted and signed resolution indicating the amount of forgone to be recovered.","I intend to submit a resolution to reserve this year's forgone amount to the STC by 12/31/2025.")</f>
        <v>I intend to submit a resolution to reserve this year's forgone amount to the STC by 12/31/2025.</v>
      </c>
      <c r="C52" s="518"/>
      <c r="D52" s="518"/>
      <c r="E52" s="518"/>
      <c r="F52" s="518"/>
      <c r="G52" s="18" t="str">
        <f>"Initials:"</f>
        <v>Initials:</v>
      </c>
      <c r="H52" s="76"/>
    </row>
    <row r="53" spans="2:10" ht="16.899999999999999" customHeight="1" x14ac:dyDescent="0.25">
      <c r="B53" s="511" t="s">
        <v>20</v>
      </c>
      <c r="C53" s="512"/>
      <c r="D53" s="512"/>
      <c r="E53" s="512"/>
      <c r="F53" s="512"/>
      <c r="G53" s="512"/>
      <c r="H53" s="513"/>
    </row>
    <row r="54" spans="2:10" ht="16.899999999999999" customHeight="1" x14ac:dyDescent="0.25">
      <c r="B54" s="514"/>
      <c r="C54" s="515"/>
      <c r="D54" s="515"/>
      <c r="E54" s="515"/>
      <c r="F54" s="515"/>
      <c r="G54" s="515"/>
      <c r="H54" s="516"/>
    </row>
    <row r="55" spans="2:10" ht="16.899999999999999" customHeight="1" x14ac:dyDescent="0.25">
      <c r="B55" s="472"/>
      <c r="C55" s="464"/>
      <c r="D55" s="470"/>
      <c r="E55" s="464"/>
      <c r="F55" s="463"/>
      <c r="G55" s="464"/>
      <c r="H55" s="453"/>
    </row>
    <row r="56" spans="2:10" ht="16.899999999999999" customHeight="1" x14ac:dyDescent="0.25">
      <c r="B56" s="473"/>
      <c r="C56" s="466"/>
      <c r="D56" s="471"/>
      <c r="E56" s="466"/>
      <c r="F56" s="465"/>
      <c r="G56" s="466"/>
      <c r="H56" s="454"/>
    </row>
    <row r="57" spans="2:10" ht="16.899999999999999" customHeight="1" x14ac:dyDescent="0.25">
      <c r="B57" s="469" t="s">
        <v>153</v>
      </c>
      <c r="C57" s="456"/>
      <c r="D57" s="455" t="s">
        <v>12</v>
      </c>
      <c r="E57" s="456"/>
      <c r="F57" s="455" t="s">
        <v>11</v>
      </c>
      <c r="G57" s="456"/>
      <c r="H57" s="118" t="s">
        <v>10</v>
      </c>
    </row>
    <row r="58" spans="2:10" ht="16.899999999999999" customHeight="1" x14ac:dyDescent="0.25">
      <c r="B58" s="460"/>
      <c r="C58" s="461"/>
      <c r="D58" s="461"/>
      <c r="E58" s="462"/>
      <c r="F58" s="436"/>
      <c r="G58" s="437"/>
      <c r="H58" s="438"/>
    </row>
    <row r="59" spans="2:10" ht="16.899999999999999" customHeight="1" x14ac:dyDescent="0.25">
      <c r="B59" s="457"/>
      <c r="C59" s="458"/>
      <c r="D59" s="458"/>
      <c r="E59" s="459"/>
      <c r="F59" s="439"/>
      <c r="G59" s="440"/>
      <c r="H59" s="441"/>
    </row>
    <row r="60" spans="2:10" ht="16.899999999999999" customHeight="1" x14ac:dyDescent="0.25">
      <c r="B60" s="450"/>
      <c r="C60" s="451"/>
      <c r="D60" s="451"/>
      <c r="E60" s="452"/>
      <c r="F60" s="442"/>
      <c r="G60" s="443"/>
      <c r="H60" s="444"/>
    </row>
    <row r="61" spans="2:10" ht="16.899999999999999" customHeight="1" x14ac:dyDescent="0.25">
      <c r="B61" s="448" t="s">
        <v>16</v>
      </c>
      <c r="C61" s="446"/>
      <c r="D61" s="446"/>
      <c r="E61" s="449"/>
      <c r="F61" s="445" t="s">
        <v>17</v>
      </c>
      <c r="G61" s="446"/>
      <c r="H61" s="447"/>
    </row>
    <row r="62" spans="2:10" ht="16.899999999999999" customHeight="1" x14ac:dyDescent="0.25">
      <c r="B62" s="502"/>
      <c r="C62" s="503"/>
      <c r="D62" s="503"/>
      <c r="E62" s="504"/>
      <c r="F62" s="509"/>
      <c r="G62" s="503"/>
      <c r="H62" s="510"/>
    </row>
    <row r="63" spans="2:10" ht="16.899999999999999" customHeight="1" thickBot="1" x14ac:dyDescent="0.3">
      <c r="B63" s="467" t="s">
        <v>18</v>
      </c>
      <c r="C63" s="508"/>
      <c r="D63" s="508"/>
      <c r="E63" s="468"/>
      <c r="F63" s="505" t="s">
        <v>19</v>
      </c>
      <c r="G63" s="506"/>
      <c r="H63" s="507"/>
    </row>
    <row r="64" spans="2:10" ht="16.899999999999999" customHeight="1" x14ac:dyDescent="0.25">
      <c r="B64" s="395" t="s">
        <v>45</v>
      </c>
      <c r="C64" s="395"/>
      <c r="D64" s="395"/>
      <c r="E64" s="395"/>
      <c r="F64" s="395"/>
      <c r="G64" s="395"/>
      <c r="H64" s="395"/>
    </row>
    <row r="65" spans="2:8" ht="16.899999999999999" customHeight="1" x14ac:dyDescent="0.25">
      <c r="B65" s="498" t="s">
        <v>145</v>
      </c>
      <c r="C65" s="498"/>
      <c r="D65" s="498"/>
      <c r="E65" s="498"/>
      <c r="F65" s="498"/>
      <c r="G65" s="498"/>
      <c r="H65" s="498"/>
    </row>
    <row r="66" spans="2:8" ht="16.899999999999999" customHeight="1" x14ac:dyDescent="0.25">
      <c r="B66" s="498" t="s">
        <v>121</v>
      </c>
      <c r="C66" s="498"/>
      <c r="D66" s="498"/>
      <c r="E66" s="498"/>
      <c r="F66" s="498"/>
      <c r="G66" s="498"/>
      <c r="H66" s="498"/>
    </row>
    <row r="74" spans="2:8" ht="16.899999999999999" customHeight="1" x14ac:dyDescent="0.25">
      <c r="B74" s="5"/>
      <c r="C74" s="5"/>
      <c r="D74" s="4"/>
      <c r="E74" s="4"/>
      <c r="F74" s="4"/>
      <c r="G74" s="4"/>
      <c r="H74" s="4"/>
    </row>
    <row r="75" spans="2:8" ht="16.899999999999999" customHeight="1" x14ac:dyDescent="0.25">
      <c r="B75" s="6"/>
      <c r="C75" s="6"/>
    </row>
  </sheetData>
  <sheetProtection algorithmName="SHA-512" hashValue="jgcAYBFX9CrAKg03xaBBYpeCgqtggTR4him1LUua3R44ynLJ+zkyoOeKDuNJB/bBKVd0Cd/X8WGDh8CHX9LcdQ==" saltValue="PAMSzIrP29Xisx5SA/CN6g==" spinCount="100000" sheet="1" selectLockedCells="1"/>
  <mergeCells count="74">
    <mergeCell ref="C50:F50"/>
    <mergeCell ref="C49:F49"/>
    <mergeCell ref="B64:H64"/>
    <mergeCell ref="B65:H65"/>
    <mergeCell ref="B66:H66"/>
    <mergeCell ref="B51:H51"/>
    <mergeCell ref="B62:E62"/>
    <mergeCell ref="F63:H63"/>
    <mergeCell ref="B63:E63"/>
    <mergeCell ref="F62:H62"/>
    <mergeCell ref="B53:H54"/>
    <mergeCell ref="B52:F52"/>
    <mergeCell ref="B13:C13"/>
    <mergeCell ref="B12:C12"/>
    <mergeCell ref="B22:C22"/>
    <mergeCell ref="B21:C21"/>
    <mergeCell ref="B17:C17"/>
    <mergeCell ref="B16:C16"/>
    <mergeCell ref="B20:C20"/>
    <mergeCell ref="B19:C19"/>
    <mergeCell ref="H5:H7"/>
    <mergeCell ref="B5:C7"/>
    <mergeCell ref="B10:C10"/>
    <mergeCell ref="B9:C9"/>
    <mergeCell ref="B8:C8"/>
    <mergeCell ref="F61:H61"/>
    <mergeCell ref="B61:E61"/>
    <mergeCell ref="B60:E60"/>
    <mergeCell ref="H55:H56"/>
    <mergeCell ref="F57:G57"/>
    <mergeCell ref="B59:E59"/>
    <mergeCell ref="B58:E58"/>
    <mergeCell ref="F55:G56"/>
    <mergeCell ref="D57:E57"/>
    <mergeCell ref="B57:C57"/>
    <mergeCell ref="D55:E56"/>
    <mergeCell ref="B55:C56"/>
    <mergeCell ref="B27:C27"/>
    <mergeCell ref="B4:H4"/>
    <mergeCell ref="B26:C26"/>
    <mergeCell ref="B37:C37"/>
    <mergeCell ref="F58:H60"/>
    <mergeCell ref="B46:C46"/>
    <mergeCell ref="B47:F47"/>
    <mergeCell ref="B18:C18"/>
    <mergeCell ref="B15:C15"/>
    <mergeCell ref="B14:C14"/>
    <mergeCell ref="B34:H34"/>
    <mergeCell ref="B36:C36"/>
    <mergeCell ref="B35:C35"/>
    <mergeCell ref="B33:H33"/>
    <mergeCell ref="C32:G32"/>
    <mergeCell ref="B31:C31"/>
    <mergeCell ref="B38:C38"/>
    <mergeCell ref="B39:C39"/>
    <mergeCell ref="B40:C40"/>
    <mergeCell ref="B41:C41"/>
    <mergeCell ref="B1:H1"/>
    <mergeCell ref="B25:C25"/>
    <mergeCell ref="B24:C24"/>
    <mergeCell ref="B23:C23"/>
    <mergeCell ref="B30:C30"/>
    <mergeCell ref="B11:C11"/>
    <mergeCell ref="B2:H2"/>
    <mergeCell ref="B3:H3"/>
    <mergeCell ref="G5:G7"/>
    <mergeCell ref="F5:F7"/>
    <mergeCell ref="E5:E7"/>
    <mergeCell ref="D5:D7"/>
    <mergeCell ref="B48:F48"/>
    <mergeCell ref="B45:C45"/>
    <mergeCell ref="B42:C42"/>
    <mergeCell ref="B43:C43"/>
    <mergeCell ref="B44:C44"/>
  </mergeCells>
  <conditionalFormatting sqref="G46">
    <cfRule type="expression" dxfId="17" priority="7">
      <formula>AND($G$47&lt;&gt;"",$G$47&lt;&gt;$G$46)</formula>
    </cfRule>
  </conditionalFormatting>
  <conditionalFormatting sqref="H9:H30">
    <cfRule type="cellIs" dxfId="16" priority="10" operator="lessThan">
      <formula>0</formula>
    </cfRule>
  </conditionalFormatting>
  <conditionalFormatting sqref="H30">
    <cfRule type="cellIs" dxfId="14" priority="11" operator="notEqual">
      <formula>0</formula>
    </cfRule>
  </conditionalFormatting>
  <conditionalFormatting sqref="H35:H45">
    <cfRule type="cellIs" dxfId="13" priority="9" operator="lessThan">
      <formula>0</formula>
    </cfRule>
  </conditionalFormatting>
  <conditionalFormatting sqref="H48">
    <cfRule type="expression" dxfId="12" priority="1">
      <formula>SUM($D$9:$G$29)=0</formula>
    </cfRule>
    <cfRule type="expression" dxfId="11" priority="2">
      <formula>AND($H$48&gt;0,$H$50&gt;0)</formula>
    </cfRule>
    <cfRule type="cellIs" dxfId="10" priority="3" operator="lessThan">
      <formula>0</formula>
    </cfRule>
  </conditionalFormatting>
  <conditionalFormatting sqref="H49">
    <cfRule type="expression" dxfId="9" priority="38">
      <formula>$H$49&gt;$H$48</formula>
    </cfRule>
  </conditionalFormatting>
  <printOptions horizontalCentered="1"/>
  <pageMargins left="0.25" right="0.25" top="0.25" bottom="0.25" header="0.5" footer="0.1"/>
  <pageSetup scale="67"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0" id="{849C13D6-ED62-0F46-9F63-99A8A21E9787}">
            <xm:f>$G$31&gt;SUM('2. L-2 Worksheet'!$I$67,'2. L-2 Worksheet'!$I$71)</xm:f>
            <x14:dxf>
              <font>
                <color rgb="FF9C0006"/>
              </font>
              <fill>
                <patternFill>
                  <bgColor rgb="FFFFC7CE"/>
                </patternFill>
              </fill>
            </x14:dxf>
          </x14:cfRule>
          <xm:sqref>G9:G31 G35:G45</xm:sqref>
        </x14:conditionalFormatting>
        <x14:conditionalFormatting xmlns:xm="http://schemas.microsoft.com/office/excel/2006/main">
          <x14:cfRule type="expression" priority="4" id="{CA2ED6C6-827D-4524-BB40-5DB67B712A3B}">
            <xm:f>$H$31&gt;'2. L-2 Worksheet'!$I$73</xm:f>
            <x14:dxf>
              <font>
                <color rgb="FF9C0006"/>
              </font>
              <fill>
                <patternFill>
                  <bgColor rgb="FFFFC7CE"/>
                </patternFill>
              </fill>
            </x14:dxf>
          </x14:cfRule>
          <xm:sqref>H9:H31 H46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BB97-3647-8644-AFC3-E3B6532F626C}">
  <sheetPr codeName="Sheet10">
    <pageSetUpPr fitToPage="1"/>
  </sheetPr>
  <dimension ref="A1:H55"/>
  <sheetViews>
    <sheetView showGridLines="0" showZeros="0" zoomScale="90" zoomScaleNormal="90" workbookViewId="0">
      <selection activeCell="D6" sqref="D6"/>
    </sheetView>
  </sheetViews>
  <sheetFormatPr defaultColWidth="8.75" defaultRowHeight="16.899999999999999" customHeight="1" x14ac:dyDescent="0.25"/>
  <cols>
    <col min="1" max="1" width="2.75" style="2" customWidth="1"/>
    <col min="2" max="2" width="26.25" style="2" customWidth="1"/>
    <col min="3" max="3" width="21.25" style="2" customWidth="1"/>
    <col min="4" max="5" width="16.75" style="2" customWidth="1"/>
    <col min="6" max="6" width="19.75" style="2" customWidth="1"/>
    <col min="7" max="7" width="18.75" style="2" customWidth="1"/>
    <col min="8" max="8" width="20.625" style="2" customWidth="1"/>
    <col min="9" max="9" width="19.75" style="2" customWidth="1"/>
    <col min="10" max="10" width="8.75" style="2" customWidth="1"/>
    <col min="11" max="11" width="9" style="2" customWidth="1"/>
    <col min="12" max="16384" width="8.75" style="2"/>
  </cols>
  <sheetData>
    <row r="1" spans="1:8" ht="16.899999999999999" customHeight="1" thickBot="1" x14ac:dyDescent="0.3">
      <c r="A1" s="39"/>
    </row>
    <row r="2" spans="1:8" ht="16.899999999999999" customHeight="1" x14ac:dyDescent="0.25">
      <c r="B2" s="534" t="str">
        <f>LEFT('1. Dashboard'!B8,4)&amp;" Levy Rate Calculation Worksheet"</f>
        <v>2025 Levy Rate Calculation Worksheet</v>
      </c>
      <c r="C2" s="535"/>
      <c r="D2" s="535"/>
      <c r="E2" s="535"/>
      <c r="F2" s="535"/>
      <c r="G2" s="535"/>
      <c r="H2" s="536"/>
    </row>
    <row r="3" spans="1:8" ht="16.899999999999999" customHeight="1" thickBot="1" x14ac:dyDescent="0.3">
      <c r="B3" s="537"/>
      <c r="C3" s="538"/>
      <c r="D3" s="538"/>
      <c r="E3" s="538"/>
      <c r="F3" s="538"/>
      <c r="G3" s="538"/>
      <c r="H3" s="539"/>
    </row>
    <row r="4" spans="1:8" ht="16.899999999999999" customHeight="1" thickBot="1" x14ac:dyDescent="0.3">
      <c r="B4" s="40" t="s">
        <v>0</v>
      </c>
      <c r="C4" s="553" t="str">
        <f>IF(DistrictName="","",DistrictName&amp;" and "&amp; DistrictName &amp;" Road &amp; Bridge")</f>
        <v/>
      </c>
      <c r="D4" s="553"/>
      <c r="E4" s="553"/>
      <c r="F4" s="553"/>
      <c r="G4" s="553"/>
      <c r="H4" s="554"/>
    </row>
    <row r="5" spans="1:8" ht="16.899999999999999" customHeight="1" thickBot="1" x14ac:dyDescent="0.3">
      <c r="B5" s="561"/>
      <c r="C5" s="561"/>
      <c r="D5" s="561"/>
      <c r="E5" s="561"/>
      <c r="F5" s="561"/>
      <c r="G5" s="561"/>
      <c r="H5" s="561"/>
    </row>
    <row r="6" spans="1:8" ht="16.899999999999999" customHeight="1" thickBot="1" x14ac:dyDescent="0.3">
      <c r="B6" s="474" t="s">
        <v>296</v>
      </c>
      <c r="C6" s="524"/>
      <c r="D6" s="149"/>
      <c r="E6" s="525" t="str">
        <f>IF($D$6="Yes","Some funds may not generate revenue for Urban Renewal (see below).","Cells related to urban renewal are hidden unless necessary.")</f>
        <v>Cells related to urban renewal are hidden unless necessary.</v>
      </c>
      <c r="F6" s="526"/>
      <c r="G6" s="526"/>
      <c r="H6" s="527"/>
    </row>
    <row r="7" spans="1:8" ht="16.899999999999999" customHeight="1" thickBot="1" x14ac:dyDescent="0.3">
      <c r="B7" s="561"/>
      <c r="C7" s="561"/>
      <c r="D7" s="561"/>
      <c r="E7" s="561"/>
      <c r="F7" s="561"/>
      <c r="G7" s="561"/>
      <c r="H7" s="561"/>
    </row>
    <row r="8" spans="1:8" ht="16.899999999999999" customHeight="1" x14ac:dyDescent="0.25">
      <c r="B8" s="544" t="s">
        <v>40</v>
      </c>
      <c r="C8" s="545"/>
      <c r="D8" s="545"/>
      <c r="E8" s="545"/>
      <c r="F8" s="545"/>
      <c r="G8" s="545"/>
      <c r="H8" s="546"/>
    </row>
    <row r="9" spans="1:8" ht="16.899999999999999" customHeight="1" x14ac:dyDescent="0.25">
      <c r="B9" s="547"/>
      <c r="C9" s="548"/>
      <c r="D9" s="548"/>
      <c r="E9" s="548"/>
      <c r="F9" s="548"/>
      <c r="G9" s="548"/>
      <c r="H9" s="549"/>
    </row>
    <row r="10" spans="1:8" ht="16.899999999999999" customHeight="1" x14ac:dyDescent="0.25">
      <c r="B10" s="550"/>
      <c r="C10" s="551"/>
      <c r="D10" s="551"/>
      <c r="E10" s="551"/>
      <c r="F10" s="551"/>
      <c r="G10" s="551"/>
      <c r="H10" s="552"/>
    </row>
    <row r="11" spans="1:8" ht="16.899999999999999" customHeight="1" x14ac:dyDescent="0.25">
      <c r="B11" s="540" t="s">
        <v>36</v>
      </c>
      <c r="C11" s="528" t="str">
        <f>IF($D$6="Yes","Net Taxable
Market Value
Less U/R Increment","Net Taxable
Market Value")</f>
        <v>Net Taxable
Market Value</v>
      </c>
      <c r="D11" s="528" t="s">
        <v>297</v>
      </c>
      <c r="E11" s="528" t="s">
        <v>298</v>
      </c>
      <c r="F11" s="577" t="s">
        <v>299</v>
      </c>
      <c r="G11" s="578"/>
      <c r="H11" s="579"/>
    </row>
    <row r="12" spans="1:8" ht="16.899999999999999" customHeight="1" x14ac:dyDescent="0.25">
      <c r="B12" s="541"/>
      <c r="C12" s="529"/>
      <c r="D12" s="529"/>
      <c r="E12" s="529"/>
      <c r="F12" s="580"/>
      <c r="G12" s="581"/>
      <c r="H12" s="582"/>
    </row>
    <row r="13" spans="1:8" ht="16.899999999999999" customHeight="1" x14ac:dyDescent="0.25">
      <c r="B13" s="541"/>
      <c r="C13" s="529"/>
      <c r="D13" s="529"/>
      <c r="E13" s="529"/>
      <c r="F13" s="558" t="str">
        <f>IF(AND(DistrictName&lt;&gt;0,D6="Yes"),Hidden!C9,"")</f>
        <v/>
      </c>
      <c r="G13" s="559"/>
      <c r="H13" s="560"/>
    </row>
    <row r="14" spans="1:8" ht="17.25" customHeight="1" x14ac:dyDescent="0.25">
      <c r="B14" s="541"/>
      <c r="C14" s="530"/>
      <c r="D14" s="530"/>
      <c r="E14" s="530"/>
      <c r="F14" s="558" t="str">
        <f>IF(AND(DistrictName&lt;&gt;0,D6="Yes"),Hidden!C10,"")</f>
        <v/>
      </c>
      <c r="G14" s="559"/>
      <c r="H14" s="560"/>
    </row>
    <row r="15" spans="1:8" ht="16.899999999999999" customHeight="1" x14ac:dyDescent="0.25">
      <c r="B15" s="37" t="str">
        <f>'2. L-2 Worksheet'!B26</f>
        <v>County</v>
      </c>
      <c r="C15" s="24"/>
      <c r="D15" s="24"/>
      <c r="E15" s="24"/>
      <c r="F15" s="558" t="str">
        <f>IF(AND(DistrictName&lt;&gt;0,D6="Yes"),Hidden!C11,"")</f>
        <v/>
      </c>
      <c r="G15" s="559">
        <f>C15+D15</f>
        <v>0</v>
      </c>
      <c r="H15" s="560" t="e">
        <f>C15+F15</f>
        <v>#VALUE!</v>
      </c>
    </row>
    <row r="16" spans="1:8" ht="16.899999999999999" customHeight="1" thickBot="1" x14ac:dyDescent="0.3">
      <c r="B16" s="150" t="s">
        <v>47</v>
      </c>
      <c r="C16" s="151"/>
      <c r="D16" s="151"/>
      <c r="E16" s="151"/>
      <c r="F16" s="521" t="str">
        <f>IF(AND(DistrictName&lt;&gt;0,D6="Yes"),Hidden!C12,"")</f>
        <v/>
      </c>
      <c r="G16" s="522">
        <f>C16+D16</f>
        <v>0</v>
      </c>
      <c r="H16" s="523" t="e">
        <f>C16+F16</f>
        <v>#VALUE!</v>
      </c>
    </row>
    <row r="17" spans="2:8" ht="16.899999999999999" customHeight="1" thickBot="1" x14ac:dyDescent="0.3">
      <c r="E17" s="6"/>
      <c r="H17" s="7"/>
    </row>
    <row r="18" spans="2:8" ht="16.899999999999999" customHeight="1" thickBot="1" x14ac:dyDescent="0.3">
      <c r="B18" s="555" t="s">
        <v>37</v>
      </c>
      <c r="C18" s="556"/>
      <c r="D18" s="556"/>
      <c r="E18" s="556"/>
      <c r="F18" s="556"/>
      <c r="G18" s="556"/>
      <c r="H18" s="557"/>
    </row>
    <row r="19" spans="2:8" ht="49.5" customHeight="1" x14ac:dyDescent="0.25">
      <c r="B19" s="38" t="s">
        <v>15</v>
      </c>
      <c r="C19" s="57" t="s">
        <v>14</v>
      </c>
      <c r="D19" s="543" t="str">
        <f>IF($D$6="Yes","Enter U/R Increment Value For RAAs That Should NOT Generate 
Revenue From That Specific Fund*","Leave this Column Blank 
(No U/R)")</f>
        <v>Leave this Column Blank 
(No U/R)</v>
      </c>
      <c r="E19" s="543"/>
      <c r="F19" s="57" t="s">
        <v>38</v>
      </c>
      <c r="G19" s="57" t="s">
        <v>39</v>
      </c>
      <c r="H19" s="145" t="s">
        <v>313</v>
      </c>
    </row>
    <row r="20" spans="2:8" ht="16.899999999999999" customHeight="1" x14ac:dyDescent="0.25">
      <c r="B20" s="66" t="str">
        <f>IF('3. L-2 Dollar Certification'!B9="","",'3. L-2 Dollar Certification'!B9)</f>
        <v/>
      </c>
      <c r="C20" s="33">
        <f>'3. L-2 Dollar Certification'!H9</f>
        <v>0</v>
      </c>
      <c r="D20" s="542"/>
      <c r="E20" s="542"/>
      <c r="F20" s="16">
        <f t="shared" ref="F20:F37" si="0">IFERROR(IF(C20="","",ROUND(C20/($C$15+$D20),9)),0)</f>
        <v>0</v>
      </c>
      <c r="G20" s="25"/>
      <c r="H20" s="144" t="str">
        <f>IF(OR(F20="",G20=""),"", IF(F20&gt;G20,"Over Max",""))</f>
        <v/>
      </c>
    </row>
    <row r="21" spans="2:8" ht="16.899999999999999" customHeight="1" x14ac:dyDescent="0.25">
      <c r="B21" s="66" t="str">
        <f>IF('3. L-2 Dollar Certification'!B10="","",'3. L-2 Dollar Certification'!B10)</f>
        <v/>
      </c>
      <c r="C21" s="33">
        <f>'3. L-2 Dollar Certification'!H10</f>
        <v>0</v>
      </c>
      <c r="D21" s="519"/>
      <c r="E21" s="520"/>
      <c r="F21" s="16">
        <f t="shared" si="0"/>
        <v>0</v>
      </c>
      <c r="G21" s="25"/>
      <c r="H21" s="144" t="str">
        <f t="shared" ref="H21:H40" si="1">IF(OR(F21="",G21=""),"", IF(F21&gt;G21,"Over Max",""))</f>
        <v/>
      </c>
    </row>
    <row r="22" spans="2:8" ht="16.899999999999999" customHeight="1" x14ac:dyDescent="0.25">
      <c r="B22" s="66" t="str">
        <f>IF('3. L-2 Dollar Certification'!B11="","",'3. L-2 Dollar Certification'!B11)</f>
        <v/>
      </c>
      <c r="C22" s="33">
        <f>'3. L-2 Dollar Certification'!H11</f>
        <v>0</v>
      </c>
      <c r="D22" s="519"/>
      <c r="E22" s="520"/>
      <c r="F22" s="16">
        <f t="shared" si="0"/>
        <v>0</v>
      </c>
      <c r="G22" s="25"/>
      <c r="H22" s="144" t="str">
        <f t="shared" si="1"/>
        <v/>
      </c>
    </row>
    <row r="23" spans="2:8" ht="16.899999999999999" customHeight="1" x14ac:dyDescent="0.25">
      <c r="B23" s="66" t="str">
        <f>IF('3. L-2 Dollar Certification'!B12="","",'3. L-2 Dollar Certification'!B12)</f>
        <v/>
      </c>
      <c r="C23" s="33">
        <f>'3. L-2 Dollar Certification'!H12</f>
        <v>0</v>
      </c>
      <c r="D23" s="519"/>
      <c r="E23" s="520"/>
      <c r="F23" s="16">
        <f>IFERROR(IF(C23="","",ROUND(C23/($C$15+$D23),9)),0)</f>
        <v>0</v>
      </c>
      <c r="G23" s="25"/>
      <c r="H23" s="144" t="str">
        <f t="shared" si="1"/>
        <v/>
      </c>
    </row>
    <row r="24" spans="2:8" ht="16.899999999999999" customHeight="1" x14ac:dyDescent="0.25">
      <c r="B24" s="66" t="str">
        <f>IF('3. L-2 Dollar Certification'!B13="","",'3. L-2 Dollar Certification'!B13)</f>
        <v/>
      </c>
      <c r="C24" s="33">
        <f>'3. L-2 Dollar Certification'!H13</f>
        <v>0</v>
      </c>
      <c r="D24" s="519"/>
      <c r="E24" s="520"/>
      <c r="F24" s="16">
        <f t="shared" si="0"/>
        <v>0</v>
      </c>
      <c r="G24" s="25"/>
      <c r="H24" s="144" t="str">
        <f t="shared" si="1"/>
        <v/>
      </c>
    </row>
    <row r="25" spans="2:8" ht="16.899999999999999" customHeight="1" x14ac:dyDescent="0.25">
      <c r="B25" s="66" t="str">
        <f>IF('3. L-2 Dollar Certification'!B14="","",'3. L-2 Dollar Certification'!B14)</f>
        <v/>
      </c>
      <c r="C25" s="33">
        <f>'3. L-2 Dollar Certification'!H14</f>
        <v>0</v>
      </c>
      <c r="D25" s="519"/>
      <c r="E25" s="520"/>
      <c r="F25" s="16">
        <f t="shared" si="0"/>
        <v>0</v>
      </c>
      <c r="G25" s="25"/>
      <c r="H25" s="144" t="str">
        <f t="shared" si="1"/>
        <v/>
      </c>
    </row>
    <row r="26" spans="2:8" ht="16.899999999999999" customHeight="1" x14ac:dyDescent="0.25">
      <c r="B26" s="66" t="str">
        <f>IF('3. L-2 Dollar Certification'!B15="","",'3. L-2 Dollar Certification'!B15)</f>
        <v/>
      </c>
      <c r="C26" s="34">
        <f>'3. L-2 Dollar Certification'!H15</f>
        <v>0</v>
      </c>
      <c r="D26" s="519"/>
      <c r="E26" s="520"/>
      <c r="F26" s="16">
        <f t="shared" si="0"/>
        <v>0</v>
      </c>
      <c r="G26" s="25"/>
      <c r="H26" s="144" t="str">
        <f t="shared" si="1"/>
        <v/>
      </c>
    </row>
    <row r="27" spans="2:8" ht="16.899999999999999" customHeight="1" x14ac:dyDescent="0.25">
      <c r="B27" s="66" t="str">
        <f>IF('3. L-2 Dollar Certification'!B16="","",'3. L-2 Dollar Certification'!B16)</f>
        <v/>
      </c>
      <c r="C27" s="34">
        <f>'3. L-2 Dollar Certification'!H16</f>
        <v>0</v>
      </c>
      <c r="D27" s="519"/>
      <c r="E27" s="520"/>
      <c r="F27" s="16">
        <f t="shared" si="0"/>
        <v>0</v>
      </c>
      <c r="G27" s="25"/>
      <c r="H27" s="144" t="str">
        <f t="shared" si="1"/>
        <v/>
      </c>
    </row>
    <row r="28" spans="2:8" ht="16.899999999999999" customHeight="1" x14ac:dyDescent="0.25">
      <c r="B28" s="66" t="str">
        <f>IF('3. L-2 Dollar Certification'!B17="","",'3. L-2 Dollar Certification'!B17)</f>
        <v/>
      </c>
      <c r="C28" s="34">
        <f>'3. L-2 Dollar Certification'!H17</f>
        <v>0</v>
      </c>
      <c r="D28" s="519"/>
      <c r="E28" s="520"/>
      <c r="F28" s="16">
        <f t="shared" si="0"/>
        <v>0</v>
      </c>
      <c r="G28" s="25"/>
      <c r="H28" s="144" t="str">
        <f t="shared" si="1"/>
        <v/>
      </c>
    </row>
    <row r="29" spans="2:8" ht="16.899999999999999" customHeight="1" x14ac:dyDescent="0.25">
      <c r="B29" s="66" t="str">
        <f>IF('3. L-2 Dollar Certification'!B18="","",'3. L-2 Dollar Certification'!B18)</f>
        <v/>
      </c>
      <c r="C29" s="34">
        <f>'3. L-2 Dollar Certification'!H18</f>
        <v>0</v>
      </c>
      <c r="D29" s="519"/>
      <c r="E29" s="520"/>
      <c r="F29" s="16">
        <f t="shared" si="0"/>
        <v>0</v>
      </c>
      <c r="G29" s="25"/>
      <c r="H29" s="144" t="str">
        <f t="shared" si="1"/>
        <v/>
      </c>
    </row>
    <row r="30" spans="2:8" ht="16.899999999999999" customHeight="1" x14ac:dyDescent="0.25">
      <c r="B30" s="66" t="str">
        <f>IF('3. L-2 Dollar Certification'!B19="","",'3. L-2 Dollar Certification'!B19)</f>
        <v/>
      </c>
      <c r="C30" s="34">
        <f>'3. L-2 Dollar Certification'!H19</f>
        <v>0</v>
      </c>
      <c r="D30" s="519"/>
      <c r="E30" s="520"/>
      <c r="F30" s="16">
        <f t="shared" si="0"/>
        <v>0</v>
      </c>
      <c r="G30" s="25"/>
      <c r="H30" s="144" t="str">
        <f t="shared" si="1"/>
        <v/>
      </c>
    </row>
    <row r="31" spans="2:8" ht="16.899999999999999" customHeight="1" x14ac:dyDescent="0.25">
      <c r="B31" s="66" t="str">
        <f>IF('3. L-2 Dollar Certification'!B20="","",'3. L-2 Dollar Certification'!B20)</f>
        <v/>
      </c>
      <c r="C31" s="34">
        <f>'3. L-2 Dollar Certification'!H20</f>
        <v>0</v>
      </c>
      <c r="D31" s="519"/>
      <c r="E31" s="520"/>
      <c r="F31" s="16">
        <f t="shared" si="0"/>
        <v>0</v>
      </c>
      <c r="G31" s="25"/>
      <c r="H31" s="144" t="str">
        <f t="shared" si="1"/>
        <v/>
      </c>
    </row>
    <row r="32" spans="2:8" ht="16.899999999999999" customHeight="1" x14ac:dyDescent="0.25">
      <c r="B32" s="66" t="str">
        <f>IF('3. L-2 Dollar Certification'!B21="","",'3. L-2 Dollar Certification'!B21)</f>
        <v/>
      </c>
      <c r="C32" s="34">
        <f>'3. L-2 Dollar Certification'!H21</f>
        <v>0</v>
      </c>
      <c r="D32" s="519"/>
      <c r="E32" s="520"/>
      <c r="F32" s="16">
        <f t="shared" si="0"/>
        <v>0</v>
      </c>
      <c r="G32" s="25"/>
      <c r="H32" s="144" t="str">
        <f t="shared" si="1"/>
        <v/>
      </c>
    </row>
    <row r="33" spans="2:8" ht="16.899999999999999" customHeight="1" x14ac:dyDescent="0.25">
      <c r="B33" s="66" t="str">
        <f>IF('3. L-2 Dollar Certification'!B22="","",'3. L-2 Dollar Certification'!B22)</f>
        <v/>
      </c>
      <c r="C33" s="34">
        <f>'3. L-2 Dollar Certification'!H22</f>
        <v>0</v>
      </c>
      <c r="D33" s="519"/>
      <c r="E33" s="520"/>
      <c r="F33" s="16">
        <f t="shared" si="0"/>
        <v>0</v>
      </c>
      <c r="G33" s="25"/>
      <c r="H33" s="144" t="str">
        <f t="shared" si="1"/>
        <v/>
      </c>
    </row>
    <row r="34" spans="2:8" ht="16.899999999999999" customHeight="1" x14ac:dyDescent="0.25">
      <c r="B34" s="66" t="str">
        <f>IF('3. L-2 Dollar Certification'!B23="","",'3. L-2 Dollar Certification'!B23)</f>
        <v/>
      </c>
      <c r="C34" s="34">
        <f>'3. L-2 Dollar Certification'!H23</f>
        <v>0</v>
      </c>
      <c r="D34" s="519"/>
      <c r="E34" s="520"/>
      <c r="F34" s="16">
        <f t="shared" si="0"/>
        <v>0</v>
      </c>
      <c r="G34" s="25"/>
      <c r="H34" s="144" t="str">
        <f t="shared" si="1"/>
        <v/>
      </c>
    </row>
    <row r="35" spans="2:8" ht="16.899999999999999" customHeight="1" x14ac:dyDescent="0.25">
      <c r="B35" s="66" t="str">
        <f>IF('3. L-2 Dollar Certification'!B24="","",'3. L-2 Dollar Certification'!B24)</f>
        <v/>
      </c>
      <c r="C35" s="34">
        <f>'3. L-2 Dollar Certification'!H24</f>
        <v>0</v>
      </c>
      <c r="D35" s="519"/>
      <c r="E35" s="520"/>
      <c r="F35" s="16">
        <f t="shared" si="0"/>
        <v>0</v>
      </c>
      <c r="G35" s="25"/>
      <c r="H35" s="144" t="str">
        <f t="shared" si="1"/>
        <v/>
      </c>
    </row>
    <row r="36" spans="2:8" ht="16.899999999999999" customHeight="1" x14ac:dyDescent="0.25">
      <c r="B36" s="66" t="str">
        <f>IF('3. L-2 Dollar Certification'!B25="","",'3. L-2 Dollar Certification'!B25)</f>
        <v/>
      </c>
      <c r="C36" s="34">
        <f>'3. L-2 Dollar Certification'!H25</f>
        <v>0</v>
      </c>
      <c r="D36" s="519"/>
      <c r="E36" s="520"/>
      <c r="F36" s="16">
        <f t="shared" si="0"/>
        <v>0</v>
      </c>
      <c r="G36" s="25"/>
      <c r="H36" s="144" t="str">
        <f t="shared" si="1"/>
        <v/>
      </c>
    </row>
    <row r="37" spans="2:8" ht="16.899999999999999" customHeight="1" x14ac:dyDescent="0.25">
      <c r="B37" s="66" t="str">
        <f>IF('3. L-2 Dollar Certification'!B26="","",'3. L-2 Dollar Certification'!B26)</f>
        <v/>
      </c>
      <c r="C37" s="34">
        <f>'3. L-2 Dollar Certification'!H26</f>
        <v>0</v>
      </c>
      <c r="D37" s="519"/>
      <c r="E37" s="520"/>
      <c r="F37" s="16">
        <f t="shared" si="0"/>
        <v>0</v>
      </c>
      <c r="G37" s="25"/>
      <c r="H37" s="144" t="str">
        <f t="shared" si="1"/>
        <v/>
      </c>
    </row>
    <row r="38" spans="2:8" ht="16.899999999999999" customHeight="1" x14ac:dyDescent="0.25">
      <c r="B38" s="66" t="str">
        <f>IF('3. L-2 Dollar Certification'!B27="","",'3. L-2 Dollar Certification'!B27)</f>
        <v>County Road &amp; Bridge:</v>
      </c>
      <c r="C38" s="34">
        <f>'3. L-2 Dollar Certification'!H27</f>
        <v>0</v>
      </c>
      <c r="D38" s="519"/>
      <c r="E38" s="520"/>
      <c r="F38" s="16">
        <f>IFERROR(IF(C38="","",ROUND(C38/($C$16+$D38),9)),0)</f>
        <v>0</v>
      </c>
      <c r="G38" s="25"/>
      <c r="H38" s="144" t="str">
        <f t="shared" si="1"/>
        <v/>
      </c>
    </row>
    <row r="39" spans="2:8" ht="16.899999999999999" customHeight="1" x14ac:dyDescent="0.25">
      <c r="B39" s="66" t="str">
        <f>IF('3. L-2 Dollar Certification'!C28="","",'3. L-2 Dollar Certification'!C28)</f>
        <v>I.C. §40-801(1)(a)</v>
      </c>
      <c r="C39" s="34">
        <f>'3. L-2 Dollar Certification'!H28</f>
        <v>0</v>
      </c>
      <c r="D39" s="519"/>
      <c r="E39" s="520"/>
      <c r="F39" s="16">
        <f t="shared" ref="F39:F40" si="2">IFERROR(IF(C39="","",ROUND(C39/($C$16+$D39),9)),0)</f>
        <v>0</v>
      </c>
      <c r="G39" s="25"/>
      <c r="H39" s="144" t="str">
        <f t="shared" si="1"/>
        <v/>
      </c>
    </row>
    <row r="40" spans="2:8" ht="16.899999999999999" customHeight="1" thickBot="1" x14ac:dyDescent="0.3">
      <c r="B40" s="99" t="str">
        <f>IF('3. L-2 Dollar Certification'!C29="","",'3. L-2 Dollar Certification'!C29)</f>
        <v>I.C. §40-801(1)(b)</v>
      </c>
      <c r="C40" s="98">
        <f>'3. L-2 Dollar Certification'!H29</f>
        <v>0</v>
      </c>
      <c r="D40" s="531"/>
      <c r="E40" s="532"/>
      <c r="F40" s="96">
        <f t="shared" si="2"/>
        <v>0</v>
      </c>
      <c r="G40" s="100"/>
      <c r="H40" s="152" t="str">
        <f t="shared" si="1"/>
        <v/>
      </c>
    </row>
    <row r="41" spans="2:8" ht="16.899999999999999" customHeight="1" thickTop="1" thickBot="1" x14ac:dyDescent="0.3">
      <c r="B41" s="55" t="s">
        <v>51</v>
      </c>
      <c r="C41" s="56">
        <f>SUM(C20:C40)</f>
        <v>0</v>
      </c>
      <c r="D41" s="566"/>
      <c r="E41" s="567"/>
      <c r="F41" s="69">
        <f>SUM(F20:F40)</f>
        <v>0</v>
      </c>
      <c r="G41" s="568"/>
      <c r="H41" s="569"/>
    </row>
    <row r="42" spans="2:8" ht="16.899999999999999" customHeight="1" thickBot="1" x14ac:dyDescent="0.3">
      <c r="B42" s="555" t="s">
        <v>49</v>
      </c>
      <c r="C42" s="556"/>
      <c r="D42" s="556"/>
      <c r="E42" s="556"/>
      <c r="F42" s="556"/>
      <c r="G42" s="556"/>
      <c r="H42" s="557"/>
    </row>
    <row r="43" spans="2:8" ht="16.899999999999999" customHeight="1" x14ac:dyDescent="0.25">
      <c r="B43" s="153">
        <f>'3. L-2 Dollar Certification'!B35</f>
        <v>0</v>
      </c>
      <c r="C43" s="42">
        <f>'3. L-2 Dollar Certification'!H35</f>
        <v>0</v>
      </c>
      <c r="D43" s="573"/>
      <c r="E43" s="574"/>
      <c r="F43" s="154">
        <f t="shared" ref="F43:F52" si="3">IFERROR(IF(C43="","",ROUND(C43/($C$15+$D43),9)),0)</f>
        <v>0</v>
      </c>
      <c r="G43" s="43"/>
      <c r="H43" s="146" t="str">
        <f>IF(OR(F43="",G43=""),"", IF(F43&gt;G43,"Over Max",""))</f>
        <v/>
      </c>
    </row>
    <row r="44" spans="2:8" ht="16.899999999999999" customHeight="1" x14ac:dyDescent="0.25">
      <c r="B44" s="66">
        <f>'3. L-2 Dollar Certification'!B36</f>
        <v>0</v>
      </c>
      <c r="C44" s="42">
        <f>'3. L-2 Dollar Certification'!H36</f>
        <v>0</v>
      </c>
      <c r="D44" s="573"/>
      <c r="E44" s="574"/>
      <c r="F44" s="16">
        <f t="shared" si="3"/>
        <v>0</v>
      </c>
      <c r="G44" s="43"/>
      <c r="H44" s="144" t="str">
        <f t="shared" ref="H44:H52" si="4">IF(OR(F44="",G44=""),"", IF(F44&gt;G44,"Over Max",""))</f>
        <v/>
      </c>
    </row>
    <row r="45" spans="2:8" ht="16.899999999999999" customHeight="1" x14ac:dyDescent="0.25">
      <c r="B45" s="67">
        <f>'3. L-2 Dollar Certification'!B37</f>
        <v>0</v>
      </c>
      <c r="C45" s="33">
        <f>'3. L-2 Dollar Certification'!H37</f>
        <v>0</v>
      </c>
      <c r="D45" s="533"/>
      <c r="E45" s="533"/>
      <c r="F45" s="16">
        <f t="shared" si="3"/>
        <v>0</v>
      </c>
      <c r="G45" s="25"/>
      <c r="H45" s="144" t="str">
        <f t="shared" si="4"/>
        <v/>
      </c>
    </row>
    <row r="46" spans="2:8" ht="16.899999999999999" customHeight="1" x14ac:dyDescent="0.25">
      <c r="B46" s="67">
        <f>'3. L-2 Dollar Certification'!B38</f>
        <v>0</v>
      </c>
      <c r="C46" s="33">
        <f>'3. L-2 Dollar Certification'!H38</f>
        <v>0</v>
      </c>
      <c r="D46" s="533"/>
      <c r="E46" s="533"/>
      <c r="F46" s="16">
        <f t="shared" si="3"/>
        <v>0</v>
      </c>
      <c r="G46" s="25"/>
      <c r="H46" s="144" t="str">
        <f t="shared" si="4"/>
        <v/>
      </c>
    </row>
    <row r="47" spans="2:8" ht="16.899999999999999" customHeight="1" x14ac:dyDescent="0.25">
      <c r="B47" s="97">
        <f>'3. L-2 Dollar Certification'!B39</f>
        <v>0</v>
      </c>
      <c r="C47" s="42">
        <f>'3. L-2 Dollar Certification'!H39</f>
        <v>0</v>
      </c>
      <c r="D47" s="572"/>
      <c r="E47" s="572"/>
      <c r="F47" s="16">
        <f t="shared" si="3"/>
        <v>0</v>
      </c>
      <c r="G47" s="25"/>
      <c r="H47" s="144" t="str">
        <f t="shared" si="4"/>
        <v/>
      </c>
    </row>
    <row r="48" spans="2:8" ht="16.899999999999999" customHeight="1" x14ac:dyDescent="0.25">
      <c r="B48" s="67">
        <f>'3. L-2 Dollar Certification'!B40</f>
        <v>0</v>
      </c>
      <c r="C48" s="33">
        <f>'3. L-2 Dollar Certification'!H40</f>
        <v>0</v>
      </c>
      <c r="D48" s="533"/>
      <c r="E48" s="533"/>
      <c r="F48" s="16">
        <f t="shared" si="3"/>
        <v>0</v>
      </c>
      <c r="G48" s="25"/>
      <c r="H48" s="144" t="str">
        <f t="shared" si="4"/>
        <v/>
      </c>
    </row>
    <row r="49" spans="2:8" ht="16.899999999999999" customHeight="1" x14ac:dyDescent="0.25">
      <c r="B49" s="67">
        <f>'3. L-2 Dollar Certification'!B41</f>
        <v>0</v>
      </c>
      <c r="C49" s="33">
        <f>'3. L-2 Dollar Certification'!H41</f>
        <v>0</v>
      </c>
      <c r="D49" s="533"/>
      <c r="E49" s="533"/>
      <c r="F49" s="16">
        <f t="shared" si="3"/>
        <v>0</v>
      </c>
      <c r="G49" s="25"/>
      <c r="H49" s="144" t="str">
        <f t="shared" si="4"/>
        <v/>
      </c>
    </row>
    <row r="50" spans="2:8" ht="16.899999999999999" customHeight="1" x14ac:dyDescent="0.25">
      <c r="B50" s="67">
        <f>'3. L-2 Dollar Certification'!B42</f>
        <v>0</v>
      </c>
      <c r="C50" s="33">
        <f>'3. L-2 Dollar Certification'!H42</f>
        <v>0</v>
      </c>
      <c r="D50" s="533"/>
      <c r="E50" s="533"/>
      <c r="F50" s="16">
        <f t="shared" si="3"/>
        <v>0</v>
      </c>
      <c r="G50" s="25"/>
      <c r="H50" s="144" t="str">
        <f t="shared" si="4"/>
        <v/>
      </c>
    </row>
    <row r="51" spans="2:8" ht="16.899999999999999" customHeight="1" x14ac:dyDescent="0.25">
      <c r="B51" s="67">
        <f>'3. L-2 Dollar Certification'!B43</f>
        <v>0</v>
      </c>
      <c r="C51" s="33">
        <f>'3. L-2 Dollar Certification'!H43</f>
        <v>0</v>
      </c>
      <c r="D51" s="533"/>
      <c r="E51" s="533"/>
      <c r="F51" s="16">
        <f t="shared" si="3"/>
        <v>0</v>
      </c>
      <c r="G51" s="25"/>
      <c r="H51" s="144" t="str">
        <f t="shared" si="4"/>
        <v/>
      </c>
    </row>
    <row r="52" spans="2:8" ht="16.899999999999999" customHeight="1" thickBot="1" x14ac:dyDescent="0.3">
      <c r="B52" s="68">
        <f>'3. L-2 Dollar Certification'!B44</f>
        <v>0</v>
      </c>
      <c r="C52" s="64">
        <f>'3. L-2 Dollar Certification'!H44</f>
        <v>0</v>
      </c>
      <c r="D52" s="575"/>
      <c r="E52" s="576"/>
      <c r="F52" s="96">
        <f t="shared" si="3"/>
        <v>0</v>
      </c>
      <c r="G52" s="65"/>
      <c r="H52" s="152" t="str">
        <f t="shared" si="4"/>
        <v/>
      </c>
    </row>
    <row r="53" spans="2:8" ht="16.899999999999999" customHeight="1" thickTop="1" thickBot="1" x14ac:dyDescent="0.3">
      <c r="B53" s="55" t="s">
        <v>51</v>
      </c>
      <c r="C53" s="56">
        <f>SUM(C43:C52)</f>
        <v>0</v>
      </c>
      <c r="D53" s="566"/>
      <c r="E53" s="567"/>
      <c r="F53" s="69">
        <f>SUM(F43:F52)</f>
        <v>0</v>
      </c>
      <c r="G53" s="570"/>
      <c r="H53" s="571"/>
    </row>
    <row r="54" spans="2:8" ht="16.899999999999999" customHeight="1" thickBot="1" x14ac:dyDescent="0.3">
      <c r="B54" s="52" t="s">
        <v>50</v>
      </c>
      <c r="C54" s="17">
        <f>C41+C53</f>
        <v>0</v>
      </c>
      <c r="D54" s="564"/>
      <c r="E54" s="565"/>
      <c r="F54" s="70">
        <f>F41+F53</f>
        <v>0</v>
      </c>
      <c r="G54" s="562"/>
      <c r="H54" s="563"/>
    </row>
    <row r="55" spans="2:8" ht="16.899999999999999" customHeight="1" x14ac:dyDescent="0.25">
      <c r="B55" s="2" t="s">
        <v>320</v>
      </c>
    </row>
  </sheetData>
  <sheetProtection algorithmName="SHA-512" hashValue="TPyAZrU87cA2HrW5DQJRYQHkcIKZx0ugQiK3iMgyOyoyTMbDBUgKM1oCDRTPKaraJVkOuX5QTDu6zcR5z854Sw==" saltValue="dkQu7AcYsW2iZ/McQF8CLA==" spinCount="100000" sheet="1" selectLockedCells="1"/>
  <mergeCells count="56">
    <mergeCell ref="G54:H54"/>
    <mergeCell ref="B42:H42"/>
    <mergeCell ref="D54:E54"/>
    <mergeCell ref="D41:E41"/>
    <mergeCell ref="G41:H41"/>
    <mergeCell ref="D53:E53"/>
    <mergeCell ref="G53:H53"/>
    <mergeCell ref="D46:E46"/>
    <mergeCell ref="D47:E47"/>
    <mergeCell ref="D48:E48"/>
    <mergeCell ref="D45:E45"/>
    <mergeCell ref="D43:E43"/>
    <mergeCell ref="D44:E44"/>
    <mergeCell ref="D52:E52"/>
    <mergeCell ref="D49:E49"/>
    <mergeCell ref="D51:E51"/>
    <mergeCell ref="B2:H3"/>
    <mergeCell ref="B11:B14"/>
    <mergeCell ref="D21:E21"/>
    <mergeCell ref="D20:E20"/>
    <mergeCell ref="D19:E19"/>
    <mergeCell ref="B8:H10"/>
    <mergeCell ref="C4:H4"/>
    <mergeCell ref="B18:H18"/>
    <mergeCell ref="F15:H15"/>
    <mergeCell ref="B5:H5"/>
    <mergeCell ref="E11:E14"/>
    <mergeCell ref="F11:H12"/>
    <mergeCell ref="F13:H13"/>
    <mergeCell ref="F14:H14"/>
    <mergeCell ref="B7:H7"/>
    <mergeCell ref="D40:E40"/>
    <mergeCell ref="D38:E38"/>
    <mergeCell ref="D37:E37"/>
    <mergeCell ref="D50:E50"/>
    <mergeCell ref="D32:E32"/>
    <mergeCell ref="D36:E36"/>
    <mergeCell ref="D35:E35"/>
    <mergeCell ref="D34:E34"/>
    <mergeCell ref="D33:E33"/>
    <mergeCell ref="D39:E39"/>
    <mergeCell ref="D31:E31"/>
    <mergeCell ref="D30:E30"/>
    <mergeCell ref="D29:E29"/>
    <mergeCell ref="F16:H16"/>
    <mergeCell ref="B6:C6"/>
    <mergeCell ref="E6:H6"/>
    <mergeCell ref="C11:C14"/>
    <mergeCell ref="D11:D14"/>
    <mergeCell ref="D28:E28"/>
    <mergeCell ref="D26:E26"/>
    <mergeCell ref="D24:E24"/>
    <mergeCell ref="D23:E23"/>
    <mergeCell ref="D22:E22"/>
    <mergeCell ref="D27:E27"/>
    <mergeCell ref="D25:E25"/>
  </mergeCells>
  <conditionalFormatting sqref="B8">
    <cfRule type="expression" dxfId="8" priority="1">
      <formula>OR($D$6="",$D$6="No")</formula>
    </cfRule>
  </conditionalFormatting>
  <conditionalFormatting sqref="B55:H55">
    <cfRule type="expression" dxfId="7" priority="7">
      <formula>OR($D$6="",$D$6="No")</formula>
    </cfRule>
  </conditionalFormatting>
  <conditionalFormatting sqref="D11:E15">
    <cfRule type="expression" dxfId="6" priority="2">
      <formula>OR($D$6="",$D$6="No")</formula>
    </cfRule>
  </conditionalFormatting>
  <conditionalFormatting sqref="D16:E16">
    <cfRule type="expression" dxfId="5" priority="3">
      <formula>OR($D$6="",$D$6="No")</formula>
    </cfRule>
  </conditionalFormatting>
  <conditionalFormatting sqref="D20:E40 D43:E52">
    <cfRule type="expression" dxfId="4" priority="9">
      <formula>OR($D$6="",$D$6="No")</formula>
    </cfRule>
  </conditionalFormatting>
  <conditionalFormatting sqref="F11:H12">
    <cfRule type="expression" dxfId="3" priority="5">
      <formula>OR($D$6="",$D$6="No")</formula>
    </cfRule>
  </conditionalFormatting>
  <conditionalFormatting sqref="F13:H16">
    <cfRule type="expression" dxfId="2" priority="6">
      <formula>OR($D$6="",$D$6="No")</formula>
    </cfRule>
  </conditionalFormatting>
  <conditionalFormatting sqref="H20:H40">
    <cfRule type="containsText" dxfId="1" priority="11" operator="containsText" text="Over">
      <formula>NOT(ISERROR(SEARCH("Over",H20)))</formula>
    </cfRule>
  </conditionalFormatting>
  <conditionalFormatting sqref="H43:H52">
    <cfRule type="containsText" dxfId="0" priority="14" operator="containsText" text="Over">
      <formula>NOT(ISERROR(SEARCH("Over",H43)))</formula>
    </cfRule>
  </conditionalFormatting>
  <dataValidations count="1">
    <dataValidation type="list" allowBlank="1" showInputMessage="1" showErrorMessage="1" sqref="D6" xr:uid="{D69AA037-8025-4C49-8137-D2500ACC0680}">
      <formula1>YesNo</formula1>
    </dataValidation>
  </dataValidations>
  <printOptions horizontalCentered="1"/>
  <pageMargins left="0" right="0.25" top="0.75" bottom="0.75" header="0.3" footer="0.3"/>
  <pageSetup scale="5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BC00-4536-5F47-8EAF-EA2B9D65D578}">
  <sheetPr codeName="Sheet11">
    <pageSetUpPr fitToPage="1"/>
  </sheetPr>
  <dimension ref="A1:I34"/>
  <sheetViews>
    <sheetView showGridLines="0" zoomScale="90" zoomScaleNormal="90" workbookViewId="0">
      <selection activeCell="F10" sqref="F10"/>
    </sheetView>
  </sheetViews>
  <sheetFormatPr defaultColWidth="8.75" defaultRowHeight="16.899999999999999" customHeight="1" x14ac:dyDescent="0.25"/>
  <cols>
    <col min="1" max="1" width="2.75" style="2" customWidth="1"/>
    <col min="2" max="2" width="19.75" style="2" customWidth="1"/>
    <col min="3" max="4" width="14.75" style="2" customWidth="1"/>
    <col min="5" max="5" width="15.5" style="2" customWidth="1"/>
    <col min="6" max="6" width="19" style="2" customWidth="1"/>
    <col min="7" max="7" width="14.75" style="2" customWidth="1"/>
    <col min="8" max="8" width="17.75" style="2" bestFit="1" customWidth="1"/>
    <col min="9" max="9" width="14.25" style="2" customWidth="1"/>
    <col min="10" max="16384" width="8.75" style="2"/>
  </cols>
  <sheetData>
    <row r="1" spans="1:9" ht="16.899999999999999" customHeight="1" thickBot="1" x14ac:dyDescent="0.3">
      <c r="A1" s="39"/>
    </row>
    <row r="2" spans="1:9" ht="16.899999999999999" customHeight="1" x14ac:dyDescent="0.25">
      <c r="B2" s="585" t="str">
        <f>LEFT('1. Dashboard'!B8,4)&amp;" Voter Approved Fund Tracker
Attach to L-2 Form If Applicable"</f>
        <v>2025 Voter Approved Fund Tracker
Attach to L-2 Form If Applicable</v>
      </c>
      <c r="C2" s="586"/>
      <c r="D2" s="586"/>
      <c r="E2" s="586"/>
      <c r="F2" s="586"/>
      <c r="G2" s="586"/>
      <c r="H2" s="586"/>
      <c r="I2" s="587"/>
    </row>
    <row r="3" spans="1:9" ht="16.899999999999999" customHeight="1" thickBot="1" x14ac:dyDescent="0.3">
      <c r="B3" s="588"/>
      <c r="C3" s="589"/>
      <c r="D3" s="589"/>
      <c r="E3" s="589"/>
      <c r="F3" s="589"/>
      <c r="G3" s="589"/>
      <c r="H3" s="589"/>
      <c r="I3" s="590"/>
    </row>
    <row r="4" spans="1:9" ht="16.899999999999999" customHeight="1" x14ac:dyDescent="0.25">
      <c r="B4" s="433" t="str">
        <f>IF(DistrictName&lt;&gt;0,"District Name: "&amp;DistrictName&amp;" and "&amp;DistrictName&amp;" Road &amp; Bridge","District Name:")</f>
        <v>District Name:</v>
      </c>
      <c r="C4" s="434"/>
      <c r="D4" s="434"/>
      <c r="E4" s="434"/>
      <c r="F4" s="434"/>
      <c r="G4" s="434"/>
      <c r="H4" s="434"/>
      <c r="I4" s="435"/>
    </row>
    <row r="5" spans="1:9" ht="16.899999999999999" customHeight="1" x14ac:dyDescent="0.25">
      <c r="B5" s="591" t="s">
        <v>21</v>
      </c>
      <c r="C5" s="592"/>
      <c r="D5" s="592"/>
      <c r="E5" s="593"/>
      <c r="F5" s="15" t="s">
        <v>31</v>
      </c>
      <c r="G5" s="612" t="s">
        <v>9</v>
      </c>
      <c r="H5" s="612" t="s">
        <v>22</v>
      </c>
      <c r="I5" s="609" t="s">
        <v>23</v>
      </c>
    </row>
    <row r="6" spans="1:9" ht="16.899999999999999" customHeight="1" x14ac:dyDescent="0.25">
      <c r="B6" s="594"/>
      <c r="C6" s="595"/>
      <c r="D6" s="595"/>
      <c r="E6" s="596"/>
      <c r="F6" s="607" t="s">
        <v>33</v>
      </c>
      <c r="G6" s="613"/>
      <c r="H6" s="613"/>
      <c r="I6" s="610"/>
    </row>
    <row r="7" spans="1:9" ht="16.899999999999999" customHeight="1" thickBot="1" x14ac:dyDescent="0.3">
      <c r="B7" s="597"/>
      <c r="C7" s="598"/>
      <c r="D7" s="598"/>
      <c r="E7" s="599"/>
      <c r="F7" s="608"/>
      <c r="G7" s="614"/>
      <c r="H7" s="614"/>
      <c r="I7" s="611"/>
    </row>
    <row r="8" spans="1:9" ht="4.9000000000000004" customHeight="1" thickBot="1" x14ac:dyDescent="0.3">
      <c r="B8" s="12"/>
      <c r="C8" s="12"/>
      <c r="D8" s="12"/>
      <c r="E8" s="12"/>
      <c r="F8" s="13"/>
      <c r="G8" s="14"/>
      <c r="H8" s="14"/>
      <c r="I8" s="14"/>
    </row>
    <row r="9" spans="1:9" ht="16.899999999999999" customHeight="1" thickBot="1" x14ac:dyDescent="0.3">
      <c r="B9" s="600" t="str">
        <f>"Override Funds Available to All Districts"</f>
        <v>Override Funds Available to All Districts</v>
      </c>
      <c r="C9" s="601"/>
      <c r="D9" s="601"/>
      <c r="E9" s="601"/>
      <c r="F9" s="601"/>
      <c r="G9" s="601"/>
      <c r="H9" s="601"/>
      <c r="I9" s="602"/>
    </row>
    <row r="10" spans="1:9" ht="16.899999999999999" customHeight="1" x14ac:dyDescent="0.25">
      <c r="B10" s="605" t="str">
        <f>"2 Yr Override I.C. §63-802"</f>
        <v>2 Yr Override I.C. §63-802</v>
      </c>
      <c r="C10" s="606"/>
      <c r="D10" s="606"/>
      <c r="E10" s="606"/>
      <c r="F10" s="77"/>
      <c r="G10" s="48"/>
      <c r="H10" s="48"/>
      <c r="I10" s="26"/>
    </row>
    <row r="11" spans="1:9" ht="16.899999999999999" customHeight="1" thickBot="1" x14ac:dyDescent="0.3">
      <c r="B11" s="603" t="str">
        <f>"Permanent Override I.C.§63-802"</f>
        <v>Permanent Override I.C.§63-802</v>
      </c>
      <c r="C11" s="604"/>
      <c r="D11" s="604"/>
      <c r="E11" s="604"/>
      <c r="F11" s="116"/>
      <c r="G11" s="117"/>
      <c r="H11" s="117"/>
      <c r="I11" s="27"/>
    </row>
    <row r="12" spans="1:9" ht="16.899999999999999" customHeight="1" thickBot="1" x14ac:dyDescent="0.3"/>
    <row r="13" spans="1:9" ht="16.899999999999999" customHeight="1" thickBot="1" x14ac:dyDescent="0.3">
      <c r="B13" s="600" t="s">
        <v>24</v>
      </c>
      <c r="C13" s="601"/>
      <c r="D13" s="601"/>
      <c r="E13" s="601"/>
      <c r="F13" s="601"/>
      <c r="G13" s="601"/>
      <c r="H13" s="601"/>
      <c r="I13" s="602"/>
    </row>
    <row r="14" spans="1:9" ht="16.899999999999999" customHeight="1" x14ac:dyDescent="0.25">
      <c r="B14" s="634" t="s">
        <v>30</v>
      </c>
      <c r="C14" s="583" t="s">
        <v>9</v>
      </c>
      <c r="D14" s="583" t="s">
        <v>22</v>
      </c>
      <c r="E14" s="583" t="s">
        <v>25</v>
      </c>
      <c r="F14" s="583" t="s">
        <v>26</v>
      </c>
      <c r="G14" s="583" t="s">
        <v>27</v>
      </c>
      <c r="H14" s="583" t="s">
        <v>34</v>
      </c>
      <c r="I14" s="615" t="s">
        <v>35</v>
      </c>
    </row>
    <row r="15" spans="1:9" ht="16.899999999999999" customHeight="1" x14ac:dyDescent="0.25">
      <c r="B15" s="635"/>
      <c r="C15" s="584"/>
      <c r="D15" s="584"/>
      <c r="E15" s="584"/>
      <c r="F15" s="584"/>
      <c r="G15" s="584"/>
      <c r="H15" s="584"/>
      <c r="I15" s="616"/>
    </row>
    <row r="16" spans="1:9" ht="16.899999999999999" customHeight="1" x14ac:dyDescent="0.25">
      <c r="B16" s="635"/>
      <c r="C16" s="584"/>
      <c r="D16" s="584"/>
      <c r="E16" s="584"/>
      <c r="F16" s="584"/>
      <c r="G16" s="584"/>
      <c r="H16" s="584"/>
      <c r="I16" s="616"/>
    </row>
    <row r="17" spans="2:9" ht="16.899999999999999" customHeight="1" x14ac:dyDescent="0.25">
      <c r="B17" s="78"/>
      <c r="C17" s="75"/>
      <c r="D17" s="75"/>
      <c r="E17" s="28"/>
      <c r="F17" s="29"/>
      <c r="G17" s="29"/>
      <c r="H17" s="22" t="str">
        <f t="shared" ref="H17:H20" si="0">IF(F17="","",IF(F17=0,1,ROUND((G17/F17-1),2)))</f>
        <v/>
      </c>
      <c r="I17" s="23" t="str">
        <f>IF(AND(OR(H17&lt;-0.2, H17&gt;0.2), AND(F17&lt;&gt;"",G17&lt;&gt;"")),"YES","")</f>
        <v/>
      </c>
    </row>
    <row r="18" spans="2:9" ht="16.899999999999999" customHeight="1" x14ac:dyDescent="0.25">
      <c r="B18" s="78"/>
      <c r="C18" s="75"/>
      <c r="D18" s="75"/>
      <c r="E18" s="28"/>
      <c r="F18" s="29"/>
      <c r="G18" s="29"/>
      <c r="H18" s="22" t="str">
        <f t="shared" si="0"/>
        <v/>
      </c>
      <c r="I18" s="23" t="str">
        <f t="shared" ref="I18:I23" si="1">IF(AND(OR(H18&lt;-0.2, H18&gt;0.2), AND(F18&lt;&gt;"",G18&lt;&gt;"")),"YES","")</f>
        <v/>
      </c>
    </row>
    <row r="19" spans="2:9" ht="16.899999999999999" customHeight="1" x14ac:dyDescent="0.25">
      <c r="B19" s="78"/>
      <c r="C19" s="75"/>
      <c r="D19" s="75"/>
      <c r="E19" s="28"/>
      <c r="F19" s="29"/>
      <c r="G19" s="29"/>
      <c r="H19" s="22" t="str">
        <f t="shared" si="0"/>
        <v/>
      </c>
      <c r="I19" s="23" t="str">
        <f t="shared" si="1"/>
        <v/>
      </c>
    </row>
    <row r="20" spans="2:9" ht="16.899999999999999" customHeight="1" x14ac:dyDescent="0.25">
      <c r="B20" s="78"/>
      <c r="C20" s="75"/>
      <c r="D20" s="75"/>
      <c r="E20" s="28"/>
      <c r="F20" s="29"/>
      <c r="G20" s="29"/>
      <c r="H20" s="22" t="str">
        <f t="shared" si="0"/>
        <v/>
      </c>
      <c r="I20" s="23" t="str">
        <f t="shared" si="1"/>
        <v/>
      </c>
    </row>
    <row r="21" spans="2:9" ht="16.899999999999999" customHeight="1" x14ac:dyDescent="0.25">
      <c r="B21" s="78"/>
      <c r="C21" s="75"/>
      <c r="D21" s="75"/>
      <c r="E21" s="28"/>
      <c r="F21" s="29"/>
      <c r="G21" s="29"/>
      <c r="H21" s="22" t="str">
        <f t="shared" ref="H21:H23" si="2">IF(F21="","",IF(F21=0,1,ROUND((G21/F21-1),2)))</f>
        <v/>
      </c>
      <c r="I21" s="23" t="str">
        <f t="shared" si="1"/>
        <v/>
      </c>
    </row>
    <row r="22" spans="2:9" ht="16.899999999999999" customHeight="1" x14ac:dyDescent="0.25">
      <c r="B22" s="78"/>
      <c r="C22" s="75"/>
      <c r="D22" s="75"/>
      <c r="E22" s="28"/>
      <c r="F22" s="29"/>
      <c r="G22" s="29"/>
      <c r="H22" s="22" t="str">
        <f t="shared" si="2"/>
        <v/>
      </c>
      <c r="I22" s="23" t="str">
        <f t="shared" si="1"/>
        <v/>
      </c>
    </row>
    <row r="23" spans="2:9" ht="16.899999999999999" customHeight="1" thickBot="1" x14ac:dyDescent="0.3">
      <c r="B23" s="79"/>
      <c r="C23" s="80"/>
      <c r="D23" s="80"/>
      <c r="E23" s="59"/>
      <c r="F23" s="60"/>
      <c r="G23" s="60"/>
      <c r="H23" s="61" t="str">
        <f t="shared" si="2"/>
        <v/>
      </c>
      <c r="I23" s="62" t="str">
        <f t="shared" si="1"/>
        <v/>
      </c>
    </row>
    <row r="24" spans="2:9" ht="16.899999999999999" customHeight="1" thickBot="1" x14ac:dyDescent="0.3">
      <c r="B24" s="631" t="s">
        <v>28</v>
      </c>
      <c r="C24" s="632"/>
      <c r="D24" s="633"/>
      <c r="E24" s="633"/>
      <c r="F24" s="633"/>
      <c r="G24" s="58">
        <f>SUM(G17:G23)</f>
        <v>0</v>
      </c>
      <c r="H24" s="617"/>
      <c r="I24" s="618"/>
    </row>
    <row r="25" spans="2:9" ht="16.899999999999999" customHeight="1" x14ac:dyDescent="0.25">
      <c r="B25" s="10"/>
      <c r="C25" s="10"/>
      <c r="D25" s="7"/>
      <c r="E25" s="7"/>
      <c r="F25" s="7"/>
      <c r="G25" s="8"/>
      <c r="H25" s="9"/>
      <c r="I25" s="9"/>
    </row>
    <row r="26" spans="2:9" ht="16.899999999999999" customHeight="1" x14ac:dyDescent="0.25">
      <c r="B26" s="620" t="s">
        <v>29</v>
      </c>
      <c r="C26" s="620"/>
      <c r="D26" s="620"/>
      <c r="E26" s="620"/>
      <c r="F26" s="620"/>
      <c r="G26" s="620"/>
      <c r="H26" s="620"/>
      <c r="I26" s="620"/>
    </row>
    <row r="27" spans="2:9" ht="16.899999999999999" customHeight="1" x14ac:dyDescent="0.25">
      <c r="B27" s="628"/>
      <c r="C27" s="629"/>
      <c r="D27" s="629"/>
      <c r="E27" s="629"/>
      <c r="F27" s="629"/>
      <c r="G27" s="629"/>
      <c r="H27" s="629"/>
      <c r="I27" s="630"/>
    </row>
    <row r="28" spans="2:9" ht="16.899999999999999" customHeight="1" x14ac:dyDescent="0.25">
      <c r="B28" s="625"/>
      <c r="C28" s="626"/>
      <c r="D28" s="626"/>
      <c r="E28" s="626"/>
      <c r="F28" s="626"/>
      <c r="G28" s="626"/>
      <c r="H28" s="626"/>
      <c r="I28" s="627"/>
    </row>
    <row r="29" spans="2:9" ht="16.899999999999999" customHeight="1" x14ac:dyDescent="0.25">
      <c r="B29" s="625"/>
      <c r="C29" s="626"/>
      <c r="D29" s="626"/>
      <c r="E29" s="626"/>
      <c r="F29" s="626"/>
      <c r="G29" s="626"/>
      <c r="H29" s="626"/>
      <c r="I29" s="627"/>
    </row>
    <row r="30" spans="2:9" ht="16.899999999999999" customHeight="1" x14ac:dyDescent="0.25">
      <c r="B30" s="625"/>
      <c r="C30" s="626"/>
      <c r="D30" s="626"/>
      <c r="E30" s="626"/>
      <c r="F30" s="626"/>
      <c r="G30" s="626"/>
      <c r="H30" s="626"/>
      <c r="I30" s="627"/>
    </row>
    <row r="31" spans="2:9" ht="16.899999999999999" customHeight="1" x14ac:dyDescent="0.25">
      <c r="B31" s="625"/>
      <c r="C31" s="626"/>
      <c r="D31" s="626"/>
      <c r="E31" s="626"/>
      <c r="F31" s="626"/>
      <c r="G31" s="626"/>
      <c r="H31" s="626"/>
      <c r="I31" s="627"/>
    </row>
    <row r="32" spans="2:9" ht="16.899999999999999" customHeight="1" x14ac:dyDescent="0.25">
      <c r="B32" s="625"/>
      <c r="C32" s="626"/>
      <c r="D32" s="626"/>
      <c r="E32" s="626"/>
      <c r="F32" s="626"/>
      <c r="G32" s="626"/>
      <c r="H32" s="626"/>
      <c r="I32" s="627"/>
    </row>
    <row r="33" spans="2:9" ht="16.899999999999999" customHeight="1" x14ac:dyDescent="0.25">
      <c r="B33" s="622"/>
      <c r="C33" s="623"/>
      <c r="D33" s="623"/>
      <c r="E33" s="623"/>
      <c r="F33" s="623"/>
      <c r="G33" s="623"/>
      <c r="H33" s="623"/>
      <c r="I33" s="624"/>
    </row>
    <row r="34" spans="2:9" ht="16.899999999999999" customHeight="1" x14ac:dyDescent="0.25">
      <c r="B34" s="2" t="s">
        <v>120</v>
      </c>
      <c r="E34" s="619"/>
      <c r="F34" s="619"/>
      <c r="H34" s="621"/>
      <c r="I34" s="621"/>
    </row>
  </sheetData>
  <sheetProtection algorithmName="SHA-512" hashValue="Kq/MUXzvmiHhlqI1U/ZE98gZcyPbt7NgOkTMKe9BRCpQNzbdiMJF8Y7gsBzsjATlqHr6W1nhEEwMIuvqjEL34g==" saltValue="C/umBTIPPyhzHyVMJ/dxrA==" spinCount="100000" sheet="1" selectLockedCells="1"/>
  <protectedRanges>
    <protectedRange password="D9AD" sqref="H17:I25" name="Computation_1_1"/>
  </protectedRanges>
  <mergeCells count="31">
    <mergeCell ref="H24:I24"/>
    <mergeCell ref="B13:I13"/>
    <mergeCell ref="E34:F34"/>
    <mergeCell ref="B26:I26"/>
    <mergeCell ref="H34:I34"/>
    <mergeCell ref="B33:I33"/>
    <mergeCell ref="B32:I32"/>
    <mergeCell ref="B29:I29"/>
    <mergeCell ref="B28:I28"/>
    <mergeCell ref="B27:I27"/>
    <mergeCell ref="B31:I31"/>
    <mergeCell ref="B30:I30"/>
    <mergeCell ref="B24:F24"/>
    <mergeCell ref="B14:B16"/>
    <mergeCell ref="E14:E16"/>
    <mergeCell ref="D14:D16"/>
    <mergeCell ref="C14:C16"/>
    <mergeCell ref="B2:I3"/>
    <mergeCell ref="H14:H16"/>
    <mergeCell ref="G14:G16"/>
    <mergeCell ref="F14:F16"/>
    <mergeCell ref="B5:E7"/>
    <mergeCell ref="B9:I9"/>
    <mergeCell ref="B11:E11"/>
    <mergeCell ref="B10:E10"/>
    <mergeCell ref="F6:F7"/>
    <mergeCell ref="I5:I7"/>
    <mergeCell ref="H5:H7"/>
    <mergeCell ref="G5:G7"/>
    <mergeCell ref="I14:I16"/>
    <mergeCell ref="B4:I4"/>
  </mergeCells>
  <printOptions horizontalCentered="1"/>
  <pageMargins left="0.25" right="0.25" top="0.25" bottom="0.2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r l n F 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r l n F 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Z x V o o i k e 4 D g A A A B E A A A A T A B w A R m 9 y b X V s Y X M v U 2 V j d G l v b j E u b S C i G A A o o B Q A A A A A A A A A A A A A A A A A A A A A A A A A A A A r T k 0 u y c z P U w i G 0 I b W A F B L A Q I t A B Q A A g A I A K 5 Z x V r u L 5 y p p A A A A P Y A A A A S A A A A A A A A A A A A A A A A A A A A A A B D b 2 5 m a W c v U G F j a 2 F n Z S 5 4 b W x Q S w E C L Q A U A A I A C A C u W c V a D 8 r p q 6 Q A A A D p A A A A E w A A A A A A A A A A A A A A A A D w A A A A W 0 N v b n R l b n R f V H l w Z X N d L n h t b F B L A Q I t A B Q A A g A I A K 5 Z x 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e f 5 E f N I f d R J A M X k n + c D Z V A A A A A A I A A A A A A A N m A A D A A A A A E A A A A B V f 1 B a 3 x x + X 7 s K Q / E P e 9 Z E A A A A A B I A A A K A A A A A Q A A A A Z 1 g h H G Q Y M 6 9 g d 4 1 j I g 6 k A V A A A A C C k S n 4 H I E n t c G x X / T B 3 i w W I h e J / J 3 A Q + h v x t D + e p u 2 U f a 2 e v v + y L k N d h r c k q p 6 F i 4 C 9 x H i H h p O u d i 7 2 q B g S o K V 3 Q 1 z R J G + a F S q 1 N x c 7 X K g X R Q A A A A 1 H V Z 5 w n f 9 0 Y 0 3 / / 9 h X a c N Z v x Q a 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03E2EA373DFBD498FB42C39A405DE83" ma:contentTypeVersion="10" ma:contentTypeDescription="Create a new document." ma:contentTypeScope="" ma:versionID="03d0dfa26eedd4aef57194e9c5f2645d">
  <xsd:schema xmlns:xsd="http://www.w3.org/2001/XMLSchema" xmlns:xs="http://www.w3.org/2001/XMLSchema" xmlns:p="http://schemas.microsoft.com/office/2006/metadata/properties" xmlns:ns3="26719e3b-3542-432b-a32e-972ad665fc82" xmlns:ns4="56ffe2c2-d06f-4c70-aafd-f032b72c4846" targetNamespace="http://schemas.microsoft.com/office/2006/metadata/properties" ma:root="true" ma:fieldsID="7e5022328c539b0fdb0a8b156f0435e8" ns3:_="" ns4:_="">
    <xsd:import namespace="26719e3b-3542-432b-a32e-972ad665fc82"/>
    <xsd:import namespace="56ffe2c2-d06f-4c70-aafd-f032b72c48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19e3b-3542-432b-a32e-972ad665fc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ffe2c2-d06f-4c70-aafd-f032b72c48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6BD40-A8AB-4FFC-B314-EC33E697B421}">
  <ds:schemaRefs>
    <ds:schemaRef ds:uri="http://schemas.microsoft.com/DataMashup"/>
  </ds:schemaRefs>
</ds:datastoreItem>
</file>

<file path=customXml/itemProps2.xml><?xml version="1.0" encoding="utf-8"?>
<ds:datastoreItem xmlns:ds="http://schemas.openxmlformats.org/officeDocument/2006/customXml" ds:itemID="{F65A20B7-034C-47BD-B3EC-ADE7E84D2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19e3b-3542-432b-a32e-972ad665fc82"/>
    <ds:schemaRef ds:uri="56ffe2c2-d06f-4c70-aafd-f032b72c4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50921-0382-4792-91BE-5113F89AB909}">
  <ds:schemaRefs>
    <ds:schemaRef ds:uri="http://schemas.microsoft.com/office/2006/metadata/propertie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56ffe2c2-d06f-4c70-aafd-f032b72c4846"/>
    <ds:schemaRef ds:uri="26719e3b-3542-432b-a32e-972ad665fc82"/>
  </ds:schemaRefs>
</ds:datastoreItem>
</file>

<file path=customXml/itemProps4.xml><?xml version="1.0" encoding="utf-8"?>
<ds:datastoreItem xmlns:ds="http://schemas.openxmlformats.org/officeDocument/2006/customXml" ds:itemID="{425C01C7-4944-482A-A604-FB2AABFE76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Review_Extract_Data</vt:lpstr>
      <vt:lpstr>DataDump</vt:lpstr>
      <vt:lpstr>Hidden</vt:lpstr>
      <vt:lpstr>Instructions</vt:lpstr>
      <vt:lpstr>1. Dashboard</vt:lpstr>
      <vt:lpstr>2. L-2 Worksheet</vt:lpstr>
      <vt:lpstr>3. L-2 Dollar Certification</vt:lpstr>
      <vt:lpstr>4. Levy Rate Calculation</vt:lpstr>
      <vt:lpstr>5. Voter Tracker</vt:lpstr>
      <vt:lpstr>CountyList</vt:lpstr>
      <vt:lpstr>DistrictName</vt:lpstr>
      <vt:lpstr>'2. L-2 Worksheet'!Print_Area</vt:lpstr>
      <vt:lpstr>'3. L-2 Dollar Certification'!Print_Area</vt:lpstr>
      <vt:lpstr>'4. Levy Rate Calculation'!Print_Area</vt:lpstr>
      <vt:lpstr>'5. Voter Tracker'!Print_Area</vt:lpstr>
      <vt:lpstr>Instructions!Print_Area</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Dodge</cp:lastModifiedBy>
  <cp:lastPrinted>2025-01-23T23:37:13Z</cp:lastPrinted>
  <dcterms:created xsi:type="dcterms:W3CDTF">2021-03-02T15:46:05Z</dcterms:created>
  <dcterms:modified xsi:type="dcterms:W3CDTF">2025-06-09T13:25:28Z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0x010100A03E2EA373DFBD498FB42C39A405DE83</vt:lpwstr>
  </property>
</Properties>
</file>