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defaultThemeVersion="166925"/>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492BA2F8-1D03-4560-84CC-E38C68E7D159}" xr6:coauthVersionLast="47" xr6:coauthVersionMax="47" xr10:uidLastSave="{00000000-0000-0000-0000-000000000000}"/>
  <bookViews>
    <workbookView xWindow="-120" yWindow="-120" windowWidth="29040" windowHeight="15720" tabRatio="864" firstSheet="4" activeTab="5" xr2:uid="{00000000-000D-0000-FFFF-FFFF00000000}"/>
  </bookViews>
  <sheets>
    <sheet name="Review_Extract_Data" sheetId="17" state="hidden" r:id="rId1"/>
    <sheet name="DataDump" sheetId="13" state="hidden" r:id="rId2"/>
    <sheet name="DistrictList" sheetId="18" state="hidden" r:id="rId3"/>
    <sheet name="ExtraInfo" sheetId="2" state="hidden" r:id="rId4"/>
    <sheet name="Instructions" sheetId="16" r:id="rId5"/>
    <sheet name="1. Dashboard" sheetId="14" r:id="rId6"/>
    <sheet name="2. L-2 Worksheet" sheetId="4" r:id="rId7"/>
    <sheet name="3. L-2 Dollar Certification" sheetId="7" r:id="rId8"/>
    <sheet name="FundLevelDataExtract" sheetId="19" state="hidden" r:id="rId9"/>
    <sheet name="4. Levy Rate Calculation" sheetId="10" r:id="rId10"/>
    <sheet name="5. Voter Tracker" sheetId="9" r:id="rId11"/>
  </sheets>
  <definedNames>
    <definedName name="_xlnm._FilterDatabase" localSheetId="1" hidden="1">DataDump!$C$1:$AF$1141</definedName>
    <definedName name="AdaAmbulance">DistrictList!$A$31</definedName>
    <definedName name="AdaCemetery">DistrictList!$A$32:$A$38</definedName>
    <definedName name="AdaCity">DistrictList!$A$21:$A$26</definedName>
    <definedName name="AdaCommunityInfrastructure">DistrictList!$A$58:$A$60</definedName>
    <definedName name="AdaCounty">DistrictList!$A$20</definedName>
    <definedName name="AdaExtermination">DistrictList!$A$39</definedName>
    <definedName name="AdaFire">DistrictList!$A$40:$A$47</definedName>
    <definedName name="AdaFloodControl">DistrictList!$A$48</definedName>
    <definedName name="AdaHighway">DistrictList!$A$49</definedName>
    <definedName name="AdaJuniorCollege">DistrictList!$A$50</definedName>
    <definedName name="AdaLibrary">DistrictList!$A$51:$A$53</definedName>
    <definedName name="AdaMosquitoAbatement">DistrictList!$A$54</definedName>
    <definedName name="AdamsAmbulance">DistrictList!$B$28:$B$29</definedName>
    <definedName name="AdamsCemetery">DistrictList!$B$30:$B$33</definedName>
    <definedName name="AdamsCity">DistrictList!$B$21:$B$22</definedName>
    <definedName name="AdamsCounty">DistrictList!$B$20</definedName>
    <definedName name="AdamsFire">DistrictList!$B$34:$B$37</definedName>
    <definedName name="AdamsFloodControl">DistrictList!$B$38</definedName>
    <definedName name="AdamsLibrary">DistrictList!$B$39:$B$40</definedName>
    <definedName name="AdamsSchool">DistrictList!$B$23:$B$27</definedName>
    <definedName name="AdaRecreation">DistrictList!$A$55</definedName>
    <definedName name="AdaSchool">DistrictList!$A$27:$A$30</definedName>
    <definedName name="AdaSewerandWater">DistrictList!$A$56:$A$57</definedName>
    <definedName name="AmbulanceNoURFunds">ExtraInfo!$E$30:$E$35</definedName>
    <definedName name="AnnexationBudgetIncreaseCapped">'2. L-2 Worksheet'!$G$47</definedName>
    <definedName name="AnnexationBudgetIncreaseUncapped">'2. L-2 Worksheet'!$G$60</definedName>
    <definedName name="BannockAmbulance">DistrictList!$C$33</definedName>
    <definedName name="BannockCemetery">DistrictList!$C$34:$C$39</definedName>
    <definedName name="BannockCity">DistrictList!$C$21:$C$27</definedName>
    <definedName name="BannockFire">DistrictList!$C$40:$C$46</definedName>
    <definedName name="BannockHighway">DistrictList!$C$47</definedName>
    <definedName name="BannockLibrary">DistrictList!$C$48:$C$49</definedName>
    <definedName name="BannockMosquitoAbatement">DistrictList!$C$50</definedName>
    <definedName name="BannockSchool">DistrictList!$C$28:$C$32</definedName>
    <definedName name="BearLakeCemetery">DistrictList!$D$28:$D$38</definedName>
    <definedName name="BearLakeCity">DistrictList!$D$21:$D$25</definedName>
    <definedName name="BearLakeCountyandCountywideRoadandBridge">DistrictList!$D$20</definedName>
    <definedName name="BearLakeFire">DistrictList!$D$39:$D$40</definedName>
    <definedName name="BearLakeLibrary">DistrictList!$D$41</definedName>
    <definedName name="BearLakeMosquitoAbatement">DistrictList!$D$42:$D$43</definedName>
    <definedName name="BearLakeRecreation">DistrictList!$D$44</definedName>
    <definedName name="BearLakeSchool">DistrictList!$D$26:$D$27</definedName>
    <definedName name="BearLakeSewerinclRecSewer">DistrictList!$D$45</definedName>
    <definedName name="BenewahCity">DistrictList!$E$21:$E$23</definedName>
    <definedName name="BenewahFire">DistrictList!$E$27:$E$31</definedName>
    <definedName name="BenewahHighway">DistrictList!$E$32</definedName>
    <definedName name="BenewahLibrary">DistrictList!$E$33</definedName>
    <definedName name="BenewahSchool">DistrictList!$E$24:$E$26</definedName>
    <definedName name="BenewahSewerandWater">DistrictList!$E$34</definedName>
    <definedName name="BinghamAmbulance">DistrictList!$F$32</definedName>
    <definedName name="BinghamCemetery">DistrictList!$F$33:$F$42</definedName>
    <definedName name="BinghamCity">DistrictList!$F$21:$F$25</definedName>
    <definedName name="BinghamCountyandCountywideRoadandBridge">DistrictList!$F$20</definedName>
    <definedName name="BinghamFire">DistrictList!$F$43:$F$45</definedName>
    <definedName name="BinghamFloodControl">DistrictList!$F$46:$F$47</definedName>
    <definedName name="BinghamLibrary">DistrictList!$F$48:$F$51</definedName>
    <definedName name="BinghamMosquitoAbatement">DistrictList!$F$52</definedName>
    <definedName name="BinghamRecreation">DistrictList!$F$53</definedName>
    <definedName name="BinghamSchool">DistrictList!$F$26:$F$31</definedName>
    <definedName name="BinghamSewerandWater">DistrictList!$F$54</definedName>
    <definedName name="BlaineAmbulance">DistrictList!$G$27</definedName>
    <definedName name="BlaineCemetery">DistrictList!$G$28:$G$32</definedName>
    <definedName name="BlaineCity">DistrictList!$G$21:$G$25</definedName>
    <definedName name="BlaineCountyandCountywideRoadandBridge">DistrictList!$G$20</definedName>
    <definedName name="BlaineFire">DistrictList!$G$33:$G$38</definedName>
    <definedName name="BlaineFloodControl">DistrictList!$G$39:$G$40</definedName>
    <definedName name="BlaineLibrary">DistrictList!$G$41</definedName>
    <definedName name="BlaineRecreation">DistrictList!$G$42</definedName>
    <definedName name="BlaineSchool">DistrictList!$G$26</definedName>
    <definedName name="BlaineSewerandWater">DistrictList!$G$43</definedName>
    <definedName name="BoiseAmbulance">DistrictList!$H$30</definedName>
    <definedName name="BoiseCemetery">DistrictList!$H$31</definedName>
    <definedName name="BoiseCity">DistrictList!$H$21:$H$24</definedName>
    <definedName name="BoiseCommunityInfrastructure">DistrictList!$H$44</definedName>
    <definedName name="BoiseCountyandCountywideRoadandBridge">DistrictList!$H$20</definedName>
    <definedName name="BoiseFire">DistrictList!$H$32:$H$38</definedName>
    <definedName name="BoiseHospital">DistrictList!$H$39:$H$40</definedName>
    <definedName name="BoiseLibrary">DistrictList!$H$41:$H$43</definedName>
    <definedName name="BoiseSchool">DistrictList!$H$25:$H$29</definedName>
    <definedName name="BonnerAmbulance">DistrictList!$I$33</definedName>
    <definedName name="BonnerCemetery">DistrictList!$I$34</definedName>
    <definedName name="BonnerCity">DistrictList!$I$21:$I$29</definedName>
    <definedName name="BonnerFire">DistrictList!$I$35:$I$46</definedName>
    <definedName name="BonnerHighway">DistrictList!$I$47</definedName>
    <definedName name="BonnerHospital">DistrictList!$I$48</definedName>
    <definedName name="BonnerLibrary">DistrictList!$I$49:$I$51</definedName>
    <definedName name="BonnerRecreation">DistrictList!$I$52:$I$53</definedName>
    <definedName name="BonnerSchool">DistrictList!$I$30:$I$32</definedName>
    <definedName name="BonnerSewerandWater">DistrictList!$I$54:$I$58</definedName>
    <definedName name="BonnevilleAmbulance">DistrictList!$J$33</definedName>
    <definedName name="BonnevilleCemetery">DistrictList!$J$34:$J$45</definedName>
    <definedName name="BonnevilleCity">DistrictList!$J$21:$J$26</definedName>
    <definedName name="BonnevilleCountyandCountywideRoadandBridge">DistrictList!$J$20</definedName>
    <definedName name="BonnevilleFire">DistrictList!$J$46:$J$49</definedName>
    <definedName name="BonnevilleFloodControl">DistrictList!$J$50</definedName>
    <definedName name="BonnevilleJuniorCollege">DistrictList!$J$51</definedName>
    <definedName name="BonnevilleMosquitoAbatement">DistrictList!$J$52</definedName>
    <definedName name="BonnevilleSchool">DistrictList!$J$27:$J$32</definedName>
    <definedName name="BoundaryAmbulance">DistrictList!$K$24</definedName>
    <definedName name="BoundaryCity">DistrictList!$K$21:$K$22</definedName>
    <definedName name="BoundaryCountyandCountywideRoadandBridge">DistrictList!$K$20</definedName>
    <definedName name="BoundaryFire">DistrictList!$K$25:$K$26</definedName>
    <definedName name="BoundaryLibrary">DistrictList!$K$27</definedName>
    <definedName name="BoundarySchool">DistrictList!$K$23</definedName>
    <definedName name="ButteCemetery">DistrictList!$L$26</definedName>
    <definedName name="ButteCity">DistrictList!$L$21:$L$23</definedName>
    <definedName name="ButteCounty">DistrictList!$L$20</definedName>
    <definedName name="ButteFire">DistrictList!$L$27</definedName>
    <definedName name="ButteHospital">DistrictList!$L$28</definedName>
    <definedName name="ButteLibrary">DistrictList!$L$29</definedName>
    <definedName name="ButteSchool">DistrictList!$L$24:$L$25</definedName>
    <definedName name="ButteWatershed">DistrictList!$L$30</definedName>
    <definedName name="CamasCemetery">DistrictList!$M$23</definedName>
    <definedName name="CamasCity">DistrictList!$M$21</definedName>
    <definedName name="CamasCounty">DistrictList!$M$20</definedName>
    <definedName name="CamasFire">DistrictList!$M$24</definedName>
    <definedName name="CamasLibrary">DistrictList!$M$25</definedName>
    <definedName name="CamasMosquitoAbatement">DistrictList!$M$26</definedName>
    <definedName name="CamasSchool">DistrictList!$M$22</definedName>
    <definedName name="CanyonAmbulance">DistrictList!$N$42</definedName>
    <definedName name="CanyonCemetery">DistrictList!$N$44:$N$52</definedName>
    <definedName name="CanyonCity">DistrictList!$N$21:$N$29</definedName>
    <definedName name="CanyonCounty">DistrictList!$N$20</definedName>
    <definedName name="CanyonExtermination">DistrictList!$N$53:$N$54</definedName>
    <definedName name="CanyonFire">DistrictList!$N$55:$N$65</definedName>
    <definedName name="CanyonFloodControl">DistrictList!$N$66:$N$67</definedName>
    <definedName name="CanyonHighway">DistrictList!$N$68:$N$71</definedName>
    <definedName name="CanyonJuniorCollege">DistrictList!$N$72</definedName>
    <definedName name="CanyonLibrary">DistrictList!$N$73:$N$76</definedName>
    <definedName name="CanyonMosquitoAbatement">DistrictList!$N$77</definedName>
    <definedName name="CanyonRecreation">DistrictList!$N$78:$N$79</definedName>
    <definedName name="CanyonSchool">DistrictList!$N$30:$N$41</definedName>
    <definedName name="CanyonSewerandWater">DistrictList!$N$80</definedName>
    <definedName name="CaribouCemetery">DistrictList!$O$28:$O$37</definedName>
    <definedName name="CaribouCity">DistrictList!$O$21:$O$23</definedName>
    <definedName name="CaribouCountyandCountywideRoadandBridge">DistrictList!$O$20</definedName>
    <definedName name="CaribouFire">DistrictList!$O$38:$O$39</definedName>
    <definedName name="CaribouLibrary">DistrictList!$O$40</definedName>
    <definedName name="CaribouSchool">DistrictList!$O$24:$O$27</definedName>
    <definedName name="CassiaCemetery">DistrictList!$P$30:$P$36</definedName>
    <definedName name="CassiaCity">DistrictList!$P$21:$P$25</definedName>
    <definedName name="CassiaFire">DistrictList!$P$37:$P$43</definedName>
    <definedName name="CassiaFloodControl">DistrictList!$P$44:$P$45</definedName>
    <definedName name="CassiaHighway">DistrictList!$P$46:$P$50</definedName>
    <definedName name="CassiaLibrary">DistrictList!$P$51</definedName>
    <definedName name="CassiaRecreation">DistrictList!$P$52:$P$53</definedName>
    <definedName name="CassiaSchool">DistrictList!$P$26:$P$29</definedName>
    <definedName name="Category">ExtraInfo!$B$29:$B$51</definedName>
    <definedName name="ClarkCemetery">DistrictList!$Q$24</definedName>
    <definedName name="ClarkCity">DistrictList!$Q$21:$Q$22</definedName>
    <definedName name="ClarkCounty">DistrictList!$Q$20</definedName>
    <definedName name="ClarkLibrary">DistrictList!$Q$25</definedName>
    <definedName name="ClarkSchool">DistrictList!$Q$23</definedName>
    <definedName name="ClearwaterAmbulance">DistrictList!$R$29</definedName>
    <definedName name="ClearwaterAuditorium">DistrictList!$R$30</definedName>
    <definedName name="ClearwaterCemetery">DistrictList!$R$31:$R$40</definedName>
    <definedName name="ClearwaterCity">DistrictList!$R$21:$R$24</definedName>
    <definedName name="ClearwaterCounty">DistrictList!$R$20</definedName>
    <definedName name="ClearwaterFire">DistrictList!$R$41:$R$49</definedName>
    <definedName name="ClearwaterHighway">DistrictList!$R$50</definedName>
    <definedName name="ClearwaterLibrary">DistrictList!$R$51:$R$53</definedName>
    <definedName name="ClearwaterRecreation">DistrictList!$R$54:$R$58</definedName>
    <definedName name="ClearwaterSchool">DistrictList!$R$25:$R$28</definedName>
    <definedName name="ClearwaterSewerandWater">DistrictList!$R$59</definedName>
    <definedName name="col_num">MATCH(SelectedCounty,CountyList,0)</definedName>
    <definedName name="COUNTY1">'1. Dashboard'!$G$16</definedName>
    <definedName name="COUNTY2">'1. Dashboard'!$G$17</definedName>
    <definedName name="COUNTY3">'1. Dashboard'!$G$18</definedName>
    <definedName name="COUNTY4">'1. Dashboard'!$G$19</definedName>
    <definedName name="CountyList">DistTypeTable[#Headers]</definedName>
    <definedName name="CusterAmbulance">DistrictList!$S$27</definedName>
    <definedName name="CusterCemetery">DistrictList!$S$28:$S$29</definedName>
    <definedName name="CusterCity">DistrictList!$S$21:$S$23</definedName>
    <definedName name="CusterCounty">DistrictList!$S$20</definedName>
    <definedName name="CusterFire">DistrictList!$S$30:$S$32</definedName>
    <definedName name="CusterHighway">DistrictList!$S$33</definedName>
    <definedName name="CusterHospital">DistrictList!$S$34:$S$36</definedName>
    <definedName name="CusterLibrary">DistrictList!$S$37:$S$38</definedName>
    <definedName name="CusterMosquitoAbatement">DistrictList!$S$39:$S$40</definedName>
    <definedName name="CusterSchool">DistrictList!$S$24:$S$26</definedName>
    <definedName name="DistrictName">'1. Dashboard'!$G$13</definedName>
    <definedName name="DistrictType">'1. Dashboard'!$G$12</definedName>
    <definedName name="DistTypeList">INDEX(DistTypeTable[],,MATCH(SelectedCounty,CountyList,0))</definedName>
    <definedName name="DistTypeList2">INDEX(DistTypeTable[],1,col_num) : INDEX(DistTypeTable[], COUNTA(entire_col), col_num)</definedName>
    <definedName name="ElmoreAmbulance">DistrictList!$T$28</definedName>
    <definedName name="ElmoreCity">DistrictList!$T$21:$T$22</definedName>
    <definedName name="ElmoreCounty">DistrictList!$T$20</definedName>
    <definedName name="ElmoreFire">DistrictList!$T$29:$T$33</definedName>
    <definedName name="ElmoreHighway">DistrictList!$T$34:$T$36</definedName>
    <definedName name="ElmoreHospital">DistrictList!$T$37</definedName>
    <definedName name="ElmoreLibrary">DistrictList!$T$38</definedName>
    <definedName name="ElmoreMosquitoAbatement">DistrictList!$T$39</definedName>
    <definedName name="ElmoreRecreation">DistrictList!$T$40:$T$41</definedName>
    <definedName name="ElmoreSchool">DistrictList!$T$23:$T$27</definedName>
    <definedName name="entire_col">INDEX(DistTypeTable[],,col_num)</definedName>
    <definedName name="FranklinCemetery">DistrictList!$U$29:$U$41</definedName>
    <definedName name="FranklinCity">DistrictList!$U$21:$U$25</definedName>
    <definedName name="FranklinFire">DistrictList!$U$42</definedName>
    <definedName name="FranklinHighway">DistrictList!$U$43</definedName>
    <definedName name="FranklinLibrary">DistrictList!$U$44</definedName>
    <definedName name="FranklinMosquitoAbatement">DistrictList!$U$45</definedName>
    <definedName name="FranklinSchool">DistrictList!$U$26:$U$28</definedName>
    <definedName name="FremontAmbulance">DistrictList!$V$30</definedName>
    <definedName name="FremontCemetery">DistrictList!$V$31:$V$36</definedName>
    <definedName name="FremontCity">DistrictList!$V$21:$V$27</definedName>
    <definedName name="FremontCountyandCountywideRoadandBridge">DistrictList!$V$20</definedName>
    <definedName name="FremontFire">DistrictList!$V$37:$V$40</definedName>
    <definedName name="FremontHospital">DistrictList!$V$41</definedName>
    <definedName name="FremontLibrary">DistrictList!$V$42:$V$43</definedName>
    <definedName name="FremontMosquitoAbatement">DistrictList!$V$44</definedName>
    <definedName name="FremontSchool">DistrictList!$V$28:$V$29</definedName>
    <definedName name="GemCemetery">DistrictList!$W$24:$W$25</definedName>
    <definedName name="GemCity">DistrictList!$W$21:$W$22</definedName>
    <definedName name="GemCommunityInfrastructure">DistrictList!$W$32</definedName>
    <definedName name="GemCountyandCountywideRoadandBridge">DistrictList!$W$20</definedName>
    <definedName name="GemFire">DistrictList!$W$26:$W$29</definedName>
    <definedName name="GemLibrary">DistrictList!$W$30</definedName>
    <definedName name="GemMosquitoAbatement">DistrictList!$W$31</definedName>
    <definedName name="GemSchool">DistrictList!$W$23</definedName>
    <definedName name="GoodingAmbulance">DistrictList!$X$31</definedName>
    <definedName name="GoodingCemetery">DistrictList!$X$32:$X$34</definedName>
    <definedName name="GoodingCity">DistrictList!$X$21:$X$24</definedName>
    <definedName name="GoodingCounty">DistrictList!$X$20</definedName>
    <definedName name="GoodingFire">DistrictList!$X$35:$X$38</definedName>
    <definedName name="GoodingHighway">DistrictList!$X$39:$X$43</definedName>
    <definedName name="GoodingLibrary">DistrictList!$X$44</definedName>
    <definedName name="GoodingRecreation">DistrictList!$X$45:$X$46</definedName>
    <definedName name="GoodingSchool">DistrictList!$X$25:$X$30</definedName>
    <definedName name="HighestofLast3yrs">'2. L-2 Worksheet'!$G$18</definedName>
    <definedName name="IdahoAmbulance">DistrictList!$Y$36</definedName>
    <definedName name="IdahoCemetery">DistrictList!$Y$37:$Y$47</definedName>
    <definedName name="IdahoCity">DistrictList!$Y$21:$Y$28</definedName>
    <definedName name="IdahoFire">DistrictList!$Y$48:$Y$51</definedName>
    <definedName name="IdahoFloodControl">DistrictList!$Y$52</definedName>
    <definedName name="IdahoHighway">DistrictList!$Y$53:$Y$58</definedName>
    <definedName name="IdahoHospital">DistrictList!$Y$59</definedName>
    <definedName name="IdahoLibrary">DistrictList!$Y$60</definedName>
    <definedName name="IdahoRecreation">DistrictList!$Y$61</definedName>
    <definedName name="IdahoSchool">DistrictList!$Y$29:$Y$35</definedName>
    <definedName name="JeffersonAmbulance">DistrictList!$Z$30</definedName>
    <definedName name="JeffersonCemetery">DistrictList!$Z$31:$Z$37</definedName>
    <definedName name="JeffersonCity">DistrictList!$Z$21:$Z$26</definedName>
    <definedName name="JeffersonCountyandCountywideRoadandBridge">DistrictList!$Z$20</definedName>
    <definedName name="JeffersonFire">DistrictList!$Z$38:$Z$41</definedName>
    <definedName name="JeffersonFloodControl">DistrictList!$Z$42:$Z$43</definedName>
    <definedName name="JeffersonLibrary">DistrictList!$Z$44</definedName>
    <definedName name="JeffersonMosquitoAbatement">DistrictList!$Z$45:$Z$47</definedName>
    <definedName name="JeffersonSchool">DistrictList!$Z$27:$Z$29</definedName>
    <definedName name="JeromeAmbulance">DistrictList!$AA$28</definedName>
    <definedName name="JeromeCemetery">DistrictList!$AA$29:$AA$30</definedName>
    <definedName name="JeromeCity">DistrictList!$AA$21:$AA$23</definedName>
    <definedName name="JeromeCounty">DistrictList!$AA$20</definedName>
    <definedName name="JeromeFire">DistrictList!$AA$31:$AA$33</definedName>
    <definedName name="JeromeHighway">DistrictList!$AA$34:$AA$35</definedName>
    <definedName name="JeromeJuniorCollege">DistrictList!$AA$36</definedName>
    <definedName name="JeromeRecreation">DistrictList!$AA$37:$AA$38</definedName>
    <definedName name="JeromeSchool">DistrictList!$AA$24:$AA$27</definedName>
    <definedName name="JointCounties">ExtraInfo!$D$30:$D$305</definedName>
    <definedName name="JointDistricts">ExtraInfo!$C$30:$C$305</definedName>
    <definedName name="KootenaiAmbulance">DistrictList!$AB$40</definedName>
    <definedName name="KootenaiCity">DistrictList!$AB$21:$AB$33</definedName>
    <definedName name="KootenaiCounty">DistrictList!$AB$20</definedName>
    <definedName name="KootenaiFire">DistrictList!$AB$41:$AB$50</definedName>
    <definedName name="KootenaiFloodControl">DistrictList!$AB$51</definedName>
    <definedName name="KootenaiHighway">DistrictList!$AB$52:$AB$55</definedName>
    <definedName name="KootenaiJuniorCollege">DistrictList!$AB$56</definedName>
    <definedName name="KootenaiLibrary">DistrictList!$AB$57</definedName>
    <definedName name="KootenaiSchool">DistrictList!$AB$34:$AB$39</definedName>
    <definedName name="KootenaiSewerandWater">DistrictList!$AB$63</definedName>
    <definedName name="KootenaiSewerinclRecSewer">DistrictList!$AB$59:$AB$62</definedName>
    <definedName name="KootenaiWater">DistrictList!$AB$64:$AB$66</definedName>
    <definedName name="KootenaiWatershed">DistrictList!$AB$67</definedName>
    <definedName name="LatahCemetery">DistrictList!$AC$35:$AC$43</definedName>
    <definedName name="LatahCity">DistrictList!$AC$21:$AC$28</definedName>
    <definedName name="LatahCounty">DistrictList!$AC$20</definedName>
    <definedName name="LatahFire">DistrictList!$AC$44:$AC$50</definedName>
    <definedName name="LatahHighway">DistrictList!$AC$51:$AC$52</definedName>
    <definedName name="LatahLibrary">DistrictList!$AC$53</definedName>
    <definedName name="LatahRecreation">DistrictList!$AC$54:$AC$58</definedName>
    <definedName name="LatahSchool">DistrictList!$AC$29:$AC$34</definedName>
    <definedName name="LemhiCity">DistrictList!$AD$21:$AD$22</definedName>
    <definedName name="LemhiCounty">DistrictList!$AD$20</definedName>
    <definedName name="LemhiFire">DistrictList!$AD$26:$AD$29</definedName>
    <definedName name="LemhiLibrary">DistrictList!$AD$30</definedName>
    <definedName name="LemhiSchool">DistrictList!$AD$23:$AD$25</definedName>
    <definedName name="LemhiSewerandWater">DistrictList!$AD$32</definedName>
    <definedName name="LemhiSewerinclRecSewer">DistrictList!$AD$31</definedName>
    <definedName name="LemhiWater">DistrictList!$AD$33</definedName>
    <definedName name="LewisAuditorium">DistrictList!$AE$32</definedName>
    <definedName name="LewisCemetery">DistrictList!$AE$33:$AE$35</definedName>
    <definedName name="LewisCity">DistrictList!$AE$21:$AE$25</definedName>
    <definedName name="LewisCounty">DistrictList!$AE$20</definedName>
    <definedName name="LewisFire">DistrictList!$AE$36:$AE$38</definedName>
    <definedName name="LewisHighway">DistrictList!$AE$39:$AE$43</definedName>
    <definedName name="LewisLibrary">DistrictList!$AE$44</definedName>
    <definedName name="LewisSchool">DistrictList!$AE$26:$AE$31</definedName>
    <definedName name="LincolnAmbulance">DistrictList!$AF$30</definedName>
    <definedName name="LincolnCemetery">DistrictList!$AF$31:$AF$33</definedName>
    <definedName name="LincolnCity">DistrictList!$AF$21:$AF$23</definedName>
    <definedName name="LincolnCounty">DistrictList!$AF$20</definedName>
    <definedName name="LincolnFire">DistrictList!$AF$34:$AF$36</definedName>
    <definedName name="LincolnHighway">DistrictList!$AF$37:$AF$40</definedName>
    <definedName name="LincolnLibrary">DistrictList!$AF$41</definedName>
    <definedName name="LincolnRecreation">DistrictList!$AF$42</definedName>
    <definedName name="LincolnSchool">DistrictList!$AF$24:$AF$29</definedName>
    <definedName name="MadisonAmbulance">DistrictList!$AG$27</definedName>
    <definedName name="MadisonCemetery">DistrictList!$AG$28:$AG$33</definedName>
    <definedName name="MadisonCity">DistrictList!$AG$21:$AG$22</definedName>
    <definedName name="MadisonCountyandCountywideRoadandBridge">DistrictList!$AG$20</definedName>
    <definedName name="MadisonFire">DistrictList!$AG$34:$AG$35</definedName>
    <definedName name="MadisonFloodControl">DistrictList!$AG$36</definedName>
    <definedName name="MadisonLibrary">DistrictList!$AG$37:$AG$38</definedName>
    <definedName name="MadisonMosquitoAbatement">DistrictList!$AG$39</definedName>
    <definedName name="MadisonSchool">DistrictList!$AG$23:$AG$26</definedName>
    <definedName name="MaxNonExemptLevy">'2. L-2 Worksheet'!$G$88</definedName>
    <definedName name="MaxPercentCap">'2. L-2 Worksheet'!$E$50</definedName>
    <definedName name="MinidokaCemetery">DistrictList!$AH$28:$AH$30</definedName>
    <definedName name="MinidokaCity">DistrictList!$AH$21:$AH$26</definedName>
    <definedName name="MinidokaCounty">DistrictList!$AH$20</definedName>
    <definedName name="MinidokaFire">DistrictList!$AH$31:$AH$32</definedName>
    <definedName name="MinidokaHighway">DistrictList!$AH$33</definedName>
    <definedName name="MinidokaSchool">DistrictList!$AH$27</definedName>
    <definedName name="NewConstructionBudgetIncrease">'2. L-2 Worksheet'!$G$41</definedName>
    <definedName name="NezPerceAuditorium">DistrictList!$AI$32</definedName>
    <definedName name="NezPerceCemetery">DistrictList!$AI$33:$AI$40</definedName>
    <definedName name="NezPerceCity">DistrictList!$AI$21:$AI$24</definedName>
    <definedName name="NezPerceFire">DistrictList!$AI$41:$AI$45</definedName>
    <definedName name="NezPerceHighway">DistrictList!$AI$46</definedName>
    <definedName name="NezPerceLibrary">DistrictList!$AI$47</definedName>
    <definedName name="NezPercePort">DistrictList!$AI$48</definedName>
    <definedName name="NezPerceRecreation">DistrictList!$AI$49</definedName>
    <definedName name="NezPerceSchool">DistrictList!$AI$25:$AI$31</definedName>
    <definedName name="NezPerceSewerinclRecSewer">DistrictList!$AI$50</definedName>
    <definedName name="NonExemptLevy">'3. L-2 Dollar Certification'!$H$29</definedName>
    <definedName name="OneidaCemetery">DistrictList!$AJ$24:$AJ$27</definedName>
    <definedName name="OneidaCity">DistrictList!$AJ$21</definedName>
    <definedName name="OneidaCounty">DistrictList!$AJ$20</definedName>
    <definedName name="OneidaFire">DistrictList!$AJ$28</definedName>
    <definedName name="OneidaLibrary">DistrictList!$AJ$29</definedName>
    <definedName name="OneidaRecreation">DistrictList!$AJ$30:$AJ$31</definedName>
    <definedName name="OneidaSchool">DistrictList!$AJ$22:$AJ$23</definedName>
    <definedName name="OwyheeAmbulance">DistrictList!$AK$32</definedName>
    <definedName name="OwyheeCemetery">DistrictList!$AK$33:$AK$36</definedName>
    <definedName name="OwyheeCity">DistrictList!$AK$21:$AK$23</definedName>
    <definedName name="OwyheeFire">DistrictList!$AK$37:$AK$41</definedName>
    <definedName name="OwyheeHighway">DistrictList!$AK$42:$AK$44</definedName>
    <definedName name="OwyheeLibrary">DistrictList!$AK$45:$AK$48</definedName>
    <definedName name="OwyheeSchool">DistrictList!$AK$24:$AK$31</definedName>
    <definedName name="PayetteAmbulance">DistrictList!$AL$27</definedName>
    <definedName name="PayetteCemetery">DistrictList!$AL$28:$AL$29</definedName>
    <definedName name="PayetteCity">DistrictList!$AL$21:$AL$23</definedName>
    <definedName name="PayetteExtermination">DistrictList!$AL$30</definedName>
    <definedName name="PayetteFire">DistrictList!$AL$31:$AL$33</definedName>
    <definedName name="PayetteHighway">DistrictList!$AL$34</definedName>
    <definedName name="PayetteMosquitoAbatement">DistrictList!$AL$35</definedName>
    <definedName name="PayetteRecreation">DistrictList!$AL$36</definedName>
    <definedName name="PayetteSchool">DistrictList!$AL$24:$AL$26</definedName>
    <definedName name="PowerAmbulance">DistrictList!$AM$27</definedName>
    <definedName name="PowerCemetery">DistrictList!$AM$28:$AM$29</definedName>
    <definedName name="PowerCity">DistrictList!$AM$21:$AM$23</definedName>
    <definedName name="PowerCounty">DistrictList!$AM$20</definedName>
    <definedName name="PowerFire">DistrictList!$AM$30:$AM$32</definedName>
    <definedName name="PowerHighway">DistrictList!$AM$33</definedName>
    <definedName name="PowerHospital">DistrictList!$AM$34</definedName>
    <definedName name="PowerLibrary">DistrictList!$AM$35:$AM$36</definedName>
    <definedName name="PowerMosquitoAbatement">DistrictList!$AM$37</definedName>
    <definedName name="PowerSchool">DistrictList!$AM$24:$AM$26</definedName>
    <definedName name="_xlnm.Print_Area" localSheetId="5">'1. Dashboard'!$B$2:$I$83</definedName>
    <definedName name="_xlnm.Print_Area" localSheetId="6">'2. L-2 Worksheet'!$B$2:$G$88</definedName>
    <definedName name="_xlnm.Print_Area" localSheetId="7">'3. L-2 Dollar Certification'!$B$2:$H$60</definedName>
    <definedName name="_xlnm.Print_Area" localSheetId="9">'4. Levy Rate Calculation'!$B$2:$H$52</definedName>
    <definedName name="_xlnm.Print_Area" localSheetId="10">'5. Voter Tracker'!$B$2:$I$48</definedName>
    <definedName name="_xlnm.Print_Area" localSheetId="4">Instructions!$B$2:$S$16</definedName>
    <definedName name="_xlnm.Print_Titles" localSheetId="6">'2. L-2 Worksheet'!$15:$15</definedName>
    <definedName name="RAAquestion">'4. Levy Rate Calculation'!$D$6</definedName>
    <definedName name="Recreation">DistrictList!$AC$54:$AC$58</definedName>
    <definedName name="ReductionByPercentCap">'2. L-2 Worksheet'!$G$51</definedName>
    <definedName name="SCOstatus">'1. Dashboard'!$G$14</definedName>
    <definedName name="SelectedBudgetIncrease">'2. L-2 Worksheet'!$G$19</definedName>
    <definedName name="SelectedCounty">'1. Dashboard'!$G$11</definedName>
    <definedName name="ShoshoneAmbulance">DistrictList!$AN$33</definedName>
    <definedName name="ShoshoneCity">DistrictList!$AN$21:$AN$27</definedName>
    <definedName name="ShoshoneFire">DistrictList!$AN$34:$AN$38</definedName>
    <definedName name="ShoshoneHighway">DistrictList!$AN$39</definedName>
    <definedName name="ShoshoneHospital">DistrictList!$AN$40</definedName>
    <definedName name="ShoshoneLibrary">DistrictList!$AN$41:$AN$42</definedName>
    <definedName name="ShoshoneSchool">DistrictList!$AN$28:$AN$32</definedName>
    <definedName name="ShoshoneSewerandWater">DistrictList!$AN$45</definedName>
    <definedName name="ShoshoneSewerinclRecSewer">DistrictList!$AN$44</definedName>
    <definedName name="ShoshoneWater">DistrictList!$AN$46:$AN$47</definedName>
    <definedName name="TetonCemetery">DistrictList!$AO$25:$AO$29</definedName>
    <definedName name="TetonCity">DistrictList!$AO$21:$AO$23</definedName>
    <definedName name="TetonCountyandCountywideRoadandBridge">DistrictList!$AO$20</definedName>
    <definedName name="TetonFire">DistrictList!$AO$30</definedName>
    <definedName name="TetonFloodControl">DistrictList!$AO$31</definedName>
    <definedName name="TetonLibrary">DistrictList!$AO$32</definedName>
    <definedName name="TetonMosquitoAbatement">DistrictList!$AO$33</definedName>
    <definedName name="TetonRecreation">DistrictList!$AO$34</definedName>
    <definedName name="TetonSchool">DistrictList!$AO$24</definedName>
    <definedName name="ThreePercentIncrease">'2. L-2 Worksheet'!$H$19</definedName>
    <definedName name="TwinFallsAmbulance">DistrictList!$AP$40</definedName>
    <definedName name="TwinFallsCemetery">DistrictList!$AP$41:$AP$42</definedName>
    <definedName name="TwinFallsCity">DistrictList!$AP$21:$AP$28</definedName>
    <definedName name="TwinFallsCounty">DistrictList!$AP$20</definedName>
    <definedName name="TwinFallsFire">DistrictList!$AP$43:$AP$50</definedName>
    <definedName name="TwinFallsHighway">DistrictList!$AP$51:$AP$54</definedName>
    <definedName name="TwinFallsJuniorCollege">DistrictList!$AP$55</definedName>
    <definedName name="TwinFallsLibrary">DistrictList!$AP$56</definedName>
    <definedName name="TwinFallsMosquitoAbatement">DistrictList!$AP$57</definedName>
    <definedName name="TwinFallsRecreation">DistrictList!$AP$58:$AP$59</definedName>
    <definedName name="TwinFallsSchool">DistrictList!$AP$29:$AP$39</definedName>
    <definedName name="URbudgetIncrease">'2. L-2 Worksheet'!$G$56</definedName>
    <definedName name="UserQuestion">'1. Dashboard'!$G$10</definedName>
    <definedName name="UserType">ExtraInfo!$C$6:$C$7</definedName>
    <definedName name="ValleyAmbulance">DistrictList!$AQ$26</definedName>
    <definedName name="ValleyCemetery">DistrictList!$AQ$27:$AQ$28</definedName>
    <definedName name="ValleyCity">DistrictList!$AQ$21:$AQ$23</definedName>
    <definedName name="ValleyCountyandCountywideRoadandBridge">DistrictList!$AQ$20</definedName>
    <definedName name="ValleyFire">DistrictList!$AQ$29:$AQ$32</definedName>
    <definedName name="ValleyHospital">DistrictList!$AQ$33:$AQ$34</definedName>
    <definedName name="ValleyLibrary">DistrictList!$AQ$35</definedName>
    <definedName name="ValleyMosquitoAbatement">DistrictList!$AQ$36</definedName>
    <definedName name="ValleySchool">DistrictList!$AQ$24:$AQ$25</definedName>
    <definedName name="ValleySewerandWater">DistrictList!$AQ$37:$AQ$39</definedName>
    <definedName name="ValleyWater">DistrictList!$AQ$40</definedName>
    <definedName name="WashingtonAmbulance">DistrictList!$AR$28</definedName>
    <definedName name="WashingtonCemetery">DistrictList!$AR$29:$AR$31</definedName>
    <definedName name="WashingtonCity">DistrictList!$AR$21:$AR$23</definedName>
    <definedName name="WashingtonExtermination">DistrictList!$AR$32</definedName>
    <definedName name="WashingtonFire">DistrictList!$AR$33:$AR$35</definedName>
    <definedName name="WashingtonFloodControl">DistrictList!$AR$36</definedName>
    <definedName name="WashingtonHighway">DistrictList!$AR$37</definedName>
    <definedName name="WashingtonHospital">DistrictList!$AR$38</definedName>
    <definedName name="WashingtonLibrary">DistrictList!$AR$39:$AR$40</definedName>
    <definedName name="WashingtonSchool">DistrictList!$AR$24:$AR$27</definedName>
    <definedName name="YesNo">ExtraInfo!$D$5:$D$7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7" i="13" l="1"/>
  <c r="AD367" i="13"/>
  <c r="AD1046" i="13"/>
  <c r="AD1045" i="13"/>
  <c r="AD880" i="13"/>
  <c r="AD1067" i="13"/>
  <c r="B34" i="14" l="1"/>
  <c r="B33" i="14"/>
  <c r="B38" i="14"/>
  <c r="B37" i="14"/>
  <c r="B36" i="14"/>
  <c r="B32" i="14"/>
  <c r="B31" i="14"/>
  <c r="B35" i="14"/>
  <c r="B82" i="14"/>
  <c r="B81" i="14"/>
  <c r="A544" i="13"/>
  <c r="A372" i="13"/>
  <c r="B51" i="4"/>
  <c r="B71" i="14"/>
  <c r="B73" i="14"/>
  <c r="B75" i="14"/>
  <c r="B14" i="14"/>
  <c r="B33" i="4"/>
  <c r="E65" i="4"/>
  <c r="I82" i="14" s="1"/>
  <c r="E64" i="4"/>
  <c r="I81" i="14" s="1"/>
  <c r="B76" i="14"/>
  <c r="B11" i="4"/>
  <c r="B39" i="14"/>
  <c r="I79" i="14"/>
  <c r="B70" i="14"/>
  <c r="D27" i="4"/>
  <c r="E28" i="4"/>
  <c r="D21" i="4"/>
  <c r="B23" i="14"/>
  <c r="B22" i="14"/>
  <c r="I78" i="14"/>
  <c r="H71" i="14"/>
  <c r="B80" i="14"/>
  <c r="B77" i="14"/>
  <c r="B74" i="14"/>
  <c r="C44" i="7"/>
  <c r="G44" i="7"/>
  <c r="G43" i="7"/>
  <c r="B48" i="4"/>
  <c r="B50" i="4"/>
  <c r="B62" i="4"/>
  <c r="B61" i="4"/>
  <c r="E58" i="4"/>
  <c r="B67" i="4"/>
  <c r="V2" i="17"/>
  <c r="B78" i="14"/>
  <c r="B88" i="4"/>
  <c r="B85" i="4"/>
  <c r="B83" i="4"/>
  <c r="F88" i="4"/>
  <c r="B65" i="4"/>
  <c r="B64" i="4"/>
  <c r="B60" i="4"/>
  <c r="B59" i="4"/>
  <c r="B58" i="14"/>
  <c r="AZ2" i="17"/>
  <c r="B30" i="14"/>
  <c r="E72" i="4"/>
  <c r="AB2" i="17" s="1"/>
  <c r="I21" i="19"/>
  <c r="H21" i="19"/>
  <c r="G21" i="19"/>
  <c r="F21" i="19"/>
  <c r="I20" i="19"/>
  <c r="H20" i="19"/>
  <c r="G20" i="19"/>
  <c r="F20" i="19"/>
  <c r="E21" i="19"/>
  <c r="E20" i="19"/>
  <c r="D21" i="19"/>
  <c r="B21" i="19"/>
  <c r="A21" i="19"/>
  <c r="E2" i="19"/>
  <c r="B47" i="7" l="1"/>
  <c r="G45" i="7"/>
  <c r="C45" i="7"/>
  <c r="B43" i="7"/>
  <c r="G47" i="7"/>
  <c r="E59" i="4"/>
  <c r="J11" i="19" l="1"/>
  <c r="J5" i="19"/>
  <c r="J4" i="19"/>
  <c r="A1039" i="13"/>
  <c r="A929" i="13"/>
  <c r="A635" i="13"/>
  <c r="A714" i="13"/>
  <c r="A422" i="13"/>
  <c r="A184" i="13"/>
  <c r="A19" i="19"/>
  <c r="B19" i="19"/>
  <c r="B18" i="19"/>
  <c r="A18" i="19"/>
  <c r="B17" i="19"/>
  <c r="A17" i="19"/>
  <c r="F2" i="19"/>
  <c r="G2" i="19"/>
  <c r="H2" i="19"/>
  <c r="F3" i="19"/>
  <c r="G3" i="19"/>
  <c r="H3" i="19"/>
  <c r="F4" i="19"/>
  <c r="G4" i="19"/>
  <c r="H4" i="19"/>
  <c r="I4" i="19"/>
  <c r="F5" i="19"/>
  <c r="G5" i="19"/>
  <c r="H5" i="19"/>
  <c r="I5" i="19"/>
  <c r="F6" i="19"/>
  <c r="G6" i="19"/>
  <c r="H6" i="19"/>
  <c r="I6" i="19"/>
  <c r="F7" i="19"/>
  <c r="G7" i="19"/>
  <c r="H7" i="19"/>
  <c r="I7" i="19"/>
  <c r="J7" i="19" s="1"/>
  <c r="F8" i="19"/>
  <c r="G8" i="19"/>
  <c r="H8" i="19"/>
  <c r="I8" i="19"/>
  <c r="F9" i="19"/>
  <c r="G9" i="19"/>
  <c r="H9" i="19"/>
  <c r="I9" i="19"/>
  <c r="F10" i="19"/>
  <c r="G10" i="19"/>
  <c r="H10" i="19"/>
  <c r="I10" i="19"/>
  <c r="J10" i="19" s="1"/>
  <c r="F11" i="19"/>
  <c r="G11" i="19"/>
  <c r="H11" i="19"/>
  <c r="I11" i="19"/>
  <c r="F12" i="19"/>
  <c r="G12" i="19"/>
  <c r="H12" i="19"/>
  <c r="I12" i="19"/>
  <c r="F13" i="19"/>
  <c r="G13" i="19"/>
  <c r="H13" i="19"/>
  <c r="I13" i="19"/>
  <c r="J13" i="19" s="1"/>
  <c r="F14" i="19"/>
  <c r="G14" i="19"/>
  <c r="H14" i="19"/>
  <c r="I14" i="19"/>
  <c r="J14" i="19" s="1"/>
  <c r="F15" i="19"/>
  <c r="G15" i="19"/>
  <c r="H15" i="19"/>
  <c r="I15" i="19"/>
  <c r="F16" i="19"/>
  <c r="G16" i="19"/>
  <c r="H16" i="19"/>
  <c r="I16" i="19"/>
  <c r="J16" i="19" s="1"/>
  <c r="F17" i="19"/>
  <c r="G17" i="19"/>
  <c r="H17" i="19"/>
  <c r="F18" i="19"/>
  <c r="G18" i="19"/>
  <c r="H18" i="19"/>
  <c r="F19" i="19"/>
  <c r="G19" i="19"/>
  <c r="H19" i="19"/>
  <c r="I19" i="19"/>
  <c r="J19" i="19" s="1"/>
  <c r="F22" i="19"/>
  <c r="G22" i="19"/>
  <c r="H22" i="19"/>
  <c r="F23" i="19"/>
  <c r="G23" i="19"/>
  <c r="H23" i="19"/>
  <c r="I23" i="19"/>
  <c r="J23" i="19" s="1"/>
  <c r="F24" i="19"/>
  <c r="G24" i="19"/>
  <c r="H24" i="19"/>
  <c r="I24" i="19"/>
  <c r="F25" i="19"/>
  <c r="G25" i="19"/>
  <c r="H25" i="19"/>
  <c r="I25" i="19"/>
  <c r="F26" i="19"/>
  <c r="G26" i="19"/>
  <c r="H26" i="19"/>
  <c r="I26" i="19"/>
  <c r="J26" i="19" s="1"/>
  <c r="F27" i="19"/>
  <c r="G27" i="19"/>
  <c r="H27" i="19"/>
  <c r="I27" i="19"/>
  <c r="F28" i="19"/>
  <c r="G28" i="19"/>
  <c r="H28" i="19"/>
  <c r="I28" i="19"/>
  <c r="E23" i="19"/>
  <c r="E24" i="19"/>
  <c r="E25" i="19"/>
  <c r="E26" i="19"/>
  <c r="E27" i="19"/>
  <c r="E28" i="19"/>
  <c r="E22" i="19"/>
  <c r="E3" i="19"/>
  <c r="E4" i="19"/>
  <c r="E5" i="19"/>
  <c r="E6" i="19"/>
  <c r="E7" i="19"/>
  <c r="E8" i="19"/>
  <c r="E9" i="19"/>
  <c r="E10" i="19"/>
  <c r="E11" i="19"/>
  <c r="E12" i="19"/>
  <c r="E13" i="19"/>
  <c r="E14" i="19"/>
  <c r="E15" i="19"/>
  <c r="E16" i="19"/>
  <c r="E17" i="19"/>
  <c r="E18" i="19"/>
  <c r="E19" i="19"/>
  <c r="G1" i="19"/>
  <c r="F1" i="19"/>
  <c r="D23" i="19"/>
  <c r="D24" i="19"/>
  <c r="D25" i="19"/>
  <c r="D26" i="19"/>
  <c r="D27" i="19"/>
  <c r="D28" i="19"/>
  <c r="D22" i="19"/>
  <c r="D3" i="19"/>
  <c r="D4" i="19"/>
  <c r="D5" i="19"/>
  <c r="D6" i="19"/>
  <c r="D7" i="19"/>
  <c r="D8" i="19"/>
  <c r="D9" i="19"/>
  <c r="D10" i="19"/>
  <c r="D11" i="19"/>
  <c r="D12" i="19"/>
  <c r="D13" i="19"/>
  <c r="D14" i="19"/>
  <c r="D15" i="19"/>
  <c r="D16" i="19"/>
  <c r="D2" i="19"/>
  <c r="C23" i="19"/>
  <c r="C24" i="19"/>
  <c r="C25" i="19"/>
  <c r="C26" i="19"/>
  <c r="C27" i="19"/>
  <c r="C28" i="19"/>
  <c r="C4" i="19"/>
  <c r="C5" i="19"/>
  <c r="C6" i="19"/>
  <c r="C7" i="19"/>
  <c r="C8" i="19"/>
  <c r="C9" i="19"/>
  <c r="C10" i="19"/>
  <c r="C11" i="19"/>
  <c r="C12" i="19"/>
  <c r="C13" i="19"/>
  <c r="C14" i="19"/>
  <c r="C15" i="19"/>
  <c r="C16" i="19"/>
  <c r="B23" i="19"/>
  <c r="B24" i="19"/>
  <c r="B25" i="19"/>
  <c r="B26" i="19"/>
  <c r="B27" i="19"/>
  <c r="B28" i="19"/>
  <c r="B22" i="19"/>
  <c r="A23" i="19"/>
  <c r="A24" i="19"/>
  <c r="A25" i="19"/>
  <c r="A26" i="19"/>
  <c r="A27" i="19"/>
  <c r="A28" i="19"/>
  <c r="A22" i="19"/>
  <c r="B3" i="19"/>
  <c r="B4" i="19"/>
  <c r="B5" i="19"/>
  <c r="B6" i="19"/>
  <c r="B7" i="19"/>
  <c r="B8" i="19"/>
  <c r="B9" i="19"/>
  <c r="B10" i="19"/>
  <c r="B11" i="19"/>
  <c r="B12" i="19"/>
  <c r="B13" i="19"/>
  <c r="B14" i="19"/>
  <c r="B15" i="19"/>
  <c r="B16" i="19"/>
  <c r="B2" i="19"/>
  <c r="A29" i="19"/>
  <c r="A16" i="19"/>
  <c r="A15" i="19"/>
  <c r="A14" i="19"/>
  <c r="A13" i="19"/>
  <c r="A12" i="19"/>
  <c r="A11" i="19"/>
  <c r="A10" i="19"/>
  <c r="A9" i="19"/>
  <c r="A8" i="19"/>
  <c r="A7" i="19"/>
  <c r="A6" i="19"/>
  <c r="A5" i="19"/>
  <c r="A4" i="19"/>
  <c r="A3" i="19"/>
  <c r="A2" i="19"/>
  <c r="AY2" i="17"/>
  <c r="E2" i="17"/>
  <c r="B19" i="4"/>
  <c r="B67" i="14"/>
  <c r="B43" i="14"/>
  <c r="I42" i="10"/>
  <c r="B54" i="14"/>
  <c r="B48" i="14"/>
  <c r="B26" i="14"/>
  <c r="D2" i="17"/>
  <c r="B15" i="4"/>
  <c r="B2" i="9"/>
  <c r="B2" i="10"/>
  <c r="B2" i="7"/>
  <c r="B57" i="4" l="1"/>
  <c r="B27" i="4"/>
  <c r="B26" i="4"/>
  <c r="B32" i="4"/>
  <c r="B21" i="4"/>
  <c r="B45" i="4"/>
  <c r="B46" i="4"/>
  <c r="B58" i="4"/>
  <c r="B42" i="4"/>
  <c r="B43" i="4"/>
  <c r="B35" i="4"/>
  <c r="L14" i="19"/>
  <c r="K14" i="19"/>
  <c r="M14" i="19"/>
  <c r="K11" i="19"/>
  <c r="L11" i="19"/>
  <c r="M11" i="19"/>
  <c r="K8" i="19"/>
  <c r="L8" i="19"/>
  <c r="M8" i="19"/>
  <c r="M5" i="19"/>
  <c r="K5" i="19"/>
  <c r="L5" i="19"/>
  <c r="K24" i="19"/>
  <c r="L24" i="19"/>
  <c r="M24" i="19"/>
  <c r="M15" i="19"/>
  <c r="L15" i="19"/>
  <c r="K15" i="19"/>
  <c r="M12" i="19"/>
  <c r="K12" i="19"/>
  <c r="L12" i="19"/>
  <c r="K6" i="19"/>
  <c r="M6" i="19"/>
  <c r="L6" i="19"/>
  <c r="J15" i="19"/>
  <c r="L26" i="19"/>
  <c r="K26" i="19"/>
  <c r="M26" i="19"/>
  <c r="K23" i="19"/>
  <c r="L23" i="19"/>
  <c r="M23" i="19"/>
  <c r="J6" i="19"/>
  <c r="J8" i="19"/>
  <c r="J24" i="19"/>
  <c r="L9" i="19"/>
  <c r="M9" i="19"/>
  <c r="K9" i="19"/>
  <c r="M28" i="19"/>
  <c r="K28" i="19"/>
  <c r="L28" i="19"/>
  <c r="L25" i="19"/>
  <c r="K25" i="19"/>
  <c r="M25" i="19"/>
  <c r="J9" i="19"/>
  <c r="J25" i="19"/>
  <c r="M27" i="19"/>
  <c r="K27" i="19"/>
  <c r="L27" i="19"/>
  <c r="M16" i="19"/>
  <c r="K16" i="19"/>
  <c r="L16" i="19"/>
  <c r="K13" i="19"/>
  <c r="M13" i="19"/>
  <c r="L13" i="19"/>
  <c r="L10" i="19"/>
  <c r="K10" i="19"/>
  <c r="M10" i="19"/>
  <c r="K7" i="19"/>
  <c r="L7" i="19"/>
  <c r="M7" i="19"/>
  <c r="M4" i="19"/>
  <c r="K4" i="19"/>
  <c r="L4" i="19"/>
  <c r="J27" i="19"/>
  <c r="K19" i="19"/>
  <c r="M19" i="19"/>
  <c r="L19" i="19"/>
  <c r="J12" i="19"/>
  <c r="J28" i="19"/>
  <c r="B78" i="4"/>
  <c r="G4" i="4"/>
  <c r="B52" i="4"/>
  <c r="E4" i="4"/>
  <c r="C4" i="4"/>
  <c r="C26" i="7"/>
  <c r="D19" i="19" s="1"/>
  <c r="C24" i="7"/>
  <c r="C25" i="7"/>
  <c r="E6" i="10"/>
  <c r="D22" i="10"/>
  <c r="H27" i="7"/>
  <c r="C27" i="7"/>
  <c r="AD704" i="13"/>
  <c r="AD608" i="13"/>
  <c r="AD504" i="13"/>
  <c r="AD491" i="13"/>
  <c r="AD141" i="13"/>
  <c r="AD94" i="13"/>
  <c r="AD69" i="13"/>
  <c r="AD51" i="13"/>
  <c r="X1115" i="13"/>
  <c r="D20" i="19" l="1"/>
  <c r="B20" i="19"/>
  <c r="A20" i="19"/>
  <c r="B39" i="10"/>
  <c r="D18" i="19"/>
  <c r="B38" i="10"/>
  <c r="D17" i="19"/>
  <c r="H34" i="9"/>
  <c r="I34" i="9" s="1"/>
  <c r="H33" i="9"/>
  <c r="I33" i="9" s="1"/>
  <c r="H32" i="9"/>
  <c r="I32" i="9" s="1"/>
  <c r="H31" i="9"/>
  <c r="I31" i="9" s="1"/>
  <c r="H30" i="9"/>
  <c r="I30" i="9" s="1"/>
  <c r="H29" i="9"/>
  <c r="I29" i="9" s="1"/>
  <c r="H28" i="9"/>
  <c r="I28" i="9" s="1"/>
  <c r="AC745" i="13"/>
  <c r="AC562" i="13"/>
  <c r="H12" i="7"/>
  <c r="C26" i="10" s="1"/>
  <c r="H13" i="7"/>
  <c r="C27" i="10" s="1"/>
  <c r="H14" i="7"/>
  <c r="C28" i="10" s="1"/>
  <c r="B26" i="10"/>
  <c r="B27" i="10"/>
  <c r="B28" i="10"/>
  <c r="E54" i="4"/>
  <c r="E53" i="4"/>
  <c r="E55" i="4" l="1"/>
  <c r="AQ2" i="17"/>
  <c r="F13" i="10"/>
  <c r="T2" i="17" l="1"/>
  <c r="G48" i="7"/>
  <c r="B8" i="10"/>
  <c r="F14" i="10" l="1"/>
  <c r="F15" i="10"/>
  <c r="F16" i="10"/>
  <c r="F17" i="10"/>
  <c r="F18" i="10"/>
  <c r="F19" i="10"/>
  <c r="C11" i="10"/>
  <c r="B48" i="7"/>
  <c r="AC47" i="13"/>
  <c r="AC46" i="13"/>
  <c r="AB47" i="13"/>
  <c r="AB46" i="13"/>
  <c r="A47" i="13"/>
  <c r="A46" i="13"/>
  <c r="F5" i="7" l="1"/>
  <c r="G81" i="4"/>
  <c r="E43" i="4"/>
  <c r="E44" i="4" s="1"/>
  <c r="E37" i="4"/>
  <c r="E38" i="4"/>
  <c r="E39" i="4"/>
  <c r="E36" i="4"/>
  <c r="B5" i="10"/>
  <c r="E40" i="4" l="1"/>
  <c r="B87" i="4" l="1"/>
  <c r="B82" i="4"/>
  <c r="B81" i="4"/>
  <c r="B63" i="4"/>
  <c r="B18" i="4"/>
  <c r="D16" i="4"/>
  <c r="B13" i="4"/>
  <c r="B12" i="4"/>
  <c r="B5" i="4"/>
  <c r="B16" i="4"/>
  <c r="AM1" i="17"/>
  <c r="AL1" i="17"/>
  <c r="AK1" i="17"/>
  <c r="H45" i="7" l="1"/>
  <c r="AK2" i="17" s="1"/>
  <c r="AC704" i="13"/>
  <c r="AB704" i="13"/>
  <c r="AC608" i="13"/>
  <c r="AB608" i="13"/>
  <c r="AC504" i="13"/>
  <c r="AB504" i="13"/>
  <c r="AC491" i="13"/>
  <c r="AB491" i="13"/>
  <c r="AC141" i="13"/>
  <c r="AB141" i="13"/>
  <c r="AC101" i="13"/>
  <c r="AB101" i="13"/>
  <c r="AC94" i="13"/>
  <c r="AB94" i="13"/>
  <c r="AC69" i="13"/>
  <c r="AB69" i="13"/>
  <c r="AC51" i="13"/>
  <c r="AB51" i="13"/>
  <c r="B32" i="7" l="1"/>
  <c r="AC524" i="13"/>
  <c r="AC661" i="13"/>
  <c r="AC660" i="13"/>
  <c r="AC1103" i="13"/>
  <c r="AC1102" i="13"/>
  <c r="AC110" i="13"/>
  <c r="AC109" i="13"/>
  <c r="T820" i="13"/>
  <c r="E73" i="4" l="1"/>
  <c r="Z2" i="17" s="1"/>
  <c r="E74" i="4"/>
  <c r="AA2" i="17" s="1"/>
  <c r="E77" i="4"/>
  <c r="AC2" i="17" s="1"/>
  <c r="E78" i="4"/>
  <c r="AE2" i="17"/>
  <c r="AD2" i="17"/>
  <c r="Y2" i="17" l="1"/>
  <c r="G79" i="4"/>
  <c r="B3" i="4" l="1"/>
  <c r="A896" i="13" l="1"/>
  <c r="A61" i="13"/>
  <c r="G40" i="7" l="1"/>
  <c r="F42" i="7"/>
  <c r="E5" i="7" l="1"/>
  <c r="A959" i="13"/>
  <c r="A547" i="13" l="1"/>
  <c r="A945" i="13"/>
  <c r="A584" i="13" l="1"/>
  <c r="A583" i="13"/>
  <c r="A809"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4" i="13"/>
  <c r="A35" i="13"/>
  <c r="A36" i="13"/>
  <c r="A37" i="13"/>
  <c r="A38" i="13"/>
  <c r="A39" i="13"/>
  <c r="A40" i="13"/>
  <c r="A41" i="13"/>
  <c r="A42" i="13"/>
  <c r="A43" i="13"/>
  <c r="A44" i="13"/>
  <c r="A45" i="13"/>
  <c r="A48" i="13"/>
  <c r="A49" i="13"/>
  <c r="A50" i="13"/>
  <c r="A51" i="13"/>
  <c r="A52" i="13"/>
  <c r="A53" i="13"/>
  <c r="A54" i="13"/>
  <c r="A55" i="13"/>
  <c r="A56" i="13"/>
  <c r="A57" i="13"/>
  <c r="A58" i="13"/>
  <c r="A59" i="13"/>
  <c r="A60"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91" i="13"/>
  <c r="A89" i="13"/>
  <c r="A90" i="13"/>
  <c r="A92" i="13"/>
  <c r="A95" i="13"/>
  <c r="A93" i="13"/>
  <c r="A94" i="13"/>
  <c r="A97" i="13"/>
  <c r="A98" i="13"/>
  <c r="A99" i="13"/>
  <c r="A100" i="13"/>
  <c r="A102" i="13"/>
  <c r="A103" i="13"/>
  <c r="A101"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575"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591"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3" i="13"/>
  <c r="A424" i="13"/>
  <c r="A425" i="13"/>
  <c r="A426" i="13"/>
  <c r="A427" i="13"/>
  <c r="A428" i="13"/>
  <c r="A429" i="13"/>
  <c r="A430" i="13"/>
  <c r="A431" i="13"/>
  <c r="A432" i="13"/>
  <c r="A433" i="13"/>
  <c r="A434" i="13"/>
  <c r="A435" i="13"/>
  <c r="A436" i="13"/>
  <c r="A438" i="13"/>
  <c r="A437" i="13"/>
  <c r="A439" i="13"/>
  <c r="A440" i="13"/>
  <c r="A441" i="13"/>
  <c r="A442" i="13"/>
  <c r="A443" i="13"/>
  <c r="A444" i="13"/>
  <c r="A445" i="13"/>
  <c r="A446" i="13"/>
  <c r="A447" i="13"/>
  <c r="A448" i="13"/>
  <c r="A449" i="13"/>
  <c r="A450" i="13"/>
  <c r="A451" i="13"/>
  <c r="A452" i="13"/>
  <c r="A453" i="13"/>
  <c r="A454" i="13"/>
  <c r="A455" i="13"/>
  <c r="A456" i="13"/>
  <c r="A457" i="13"/>
  <c r="A458" i="13"/>
  <c r="A459" i="13"/>
  <c r="A460" i="13"/>
  <c r="A96"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4" i="13"/>
  <c r="A492" i="13"/>
  <c r="A491" i="13"/>
  <c r="A493"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5" i="13"/>
  <c r="A546"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6" i="13"/>
  <c r="A577" i="13"/>
  <c r="A578" i="13"/>
  <c r="A579" i="13"/>
  <c r="A580" i="13"/>
  <c r="A581" i="13"/>
  <c r="A582" i="13"/>
  <c r="A585" i="13"/>
  <c r="A586" i="13"/>
  <c r="A587" i="13"/>
  <c r="A588" i="13"/>
  <c r="A589" i="13"/>
  <c r="A590" i="13"/>
  <c r="A593" i="13"/>
  <c r="A592" i="13"/>
  <c r="A594" i="13"/>
  <c r="A595" i="13"/>
  <c r="A596" i="13"/>
  <c r="A597" i="13"/>
  <c r="A598" i="13"/>
  <c r="A599" i="13"/>
  <c r="A600" i="13"/>
  <c r="A601" i="13"/>
  <c r="A602" i="13"/>
  <c r="A603" i="13"/>
  <c r="A604" i="13"/>
  <c r="A605" i="13"/>
  <c r="A606" i="13"/>
  <c r="A607" i="13"/>
  <c r="A609" i="13"/>
  <c r="A608" i="13"/>
  <c r="A610" i="13"/>
  <c r="A611" i="13"/>
  <c r="A612" i="13"/>
  <c r="A616" i="13"/>
  <c r="A613" i="13"/>
  <c r="A614" i="13"/>
  <c r="A615" i="13"/>
  <c r="A617" i="13"/>
  <c r="A618" i="13"/>
  <c r="A619" i="13"/>
  <c r="A620" i="13"/>
  <c r="A621" i="13"/>
  <c r="A622" i="13"/>
  <c r="A623" i="13"/>
  <c r="A624" i="13"/>
  <c r="A625" i="13"/>
  <c r="A626" i="13"/>
  <c r="A627" i="13"/>
  <c r="A628" i="13"/>
  <c r="A629" i="13"/>
  <c r="A630" i="13"/>
  <c r="A631" i="13"/>
  <c r="A632" i="13"/>
  <c r="A633" i="13"/>
  <c r="A634" i="13"/>
  <c r="A636" i="13"/>
  <c r="A637" i="13"/>
  <c r="A638" i="13"/>
  <c r="A639" i="13"/>
  <c r="A640" i="13"/>
  <c r="A641" i="13"/>
  <c r="A642" i="13"/>
  <c r="A643" i="13"/>
  <c r="A644" i="13"/>
  <c r="A645" i="13"/>
  <c r="A647" i="13"/>
  <c r="A646"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8" i="13"/>
  <c r="A705" i="13"/>
  <c r="A707" i="13"/>
  <c r="A704" i="13"/>
  <c r="A706" i="13"/>
  <c r="A709" i="13"/>
  <c r="A710" i="13"/>
  <c r="A711" i="13"/>
  <c r="A712" i="13"/>
  <c r="A713" i="13"/>
  <c r="A715" i="13"/>
  <c r="A716" i="13"/>
  <c r="A717" i="13"/>
  <c r="A718" i="13"/>
  <c r="A719" i="13"/>
  <c r="A720"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806" i="13"/>
  <c r="A808" i="13"/>
  <c r="A783" i="13"/>
  <c r="A784" i="13"/>
  <c r="A785" i="13"/>
  <c r="A786" i="13"/>
  <c r="A787" i="13"/>
  <c r="A788" i="13"/>
  <c r="A810" i="13"/>
  <c r="A811" i="13"/>
  <c r="A812" i="13"/>
  <c r="A789" i="13"/>
  <c r="A790" i="13"/>
  <c r="A791" i="13"/>
  <c r="A792" i="13"/>
  <c r="A793" i="13"/>
  <c r="A794" i="13"/>
  <c r="A796" i="13"/>
  <c r="A795" i="13"/>
  <c r="A797" i="13"/>
  <c r="A798" i="13"/>
  <c r="A799" i="13"/>
  <c r="A800" i="13"/>
  <c r="A801" i="13"/>
  <c r="A802" i="13"/>
  <c r="A803" i="13"/>
  <c r="A815" i="13"/>
  <c r="A804" i="13"/>
  <c r="A805" i="13"/>
  <c r="A807" i="13"/>
  <c r="A813" i="13"/>
  <c r="A814"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4" i="13"/>
  <c r="A855" i="13"/>
  <c r="A858" i="13"/>
  <c r="A853" i="13"/>
  <c r="A856" i="13"/>
  <c r="A859" i="13"/>
  <c r="A857" i="13"/>
  <c r="A860" i="13"/>
  <c r="A861" i="13"/>
  <c r="A862" i="13"/>
  <c r="A863" i="13"/>
  <c r="A864" i="13"/>
  <c r="A865" i="13"/>
  <c r="A866" i="13"/>
  <c r="A867" i="13"/>
  <c r="A868" i="13"/>
  <c r="A869" i="13"/>
  <c r="A870" i="13"/>
  <c r="A871" i="13"/>
  <c r="A872" i="13"/>
  <c r="A873" i="13"/>
  <c r="A874" i="13"/>
  <c r="A875" i="13"/>
  <c r="A876" i="13"/>
  <c r="A877" i="13"/>
  <c r="A878" i="13"/>
  <c r="A879" i="13"/>
  <c r="A880" i="13"/>
  <c r="A881" i="13"/>
  <c r="A882" i="13"/>
  <c r="A883" i="13"/>
  <c r="A884" i="13"/>
  <c r="A885" i="13"/>
  <c r="A886" i="13"/>
  <c r="A887" i="13"/>
  <c r="A888" i="13"/>
  <c r="A890" i="13"/>
  <c r="A891" i="13"/>
  <c r="A889" i="13"/>
  <c r="A893" i="13"/>
  <c r="A892" i="13"/>
  <c r="A894" i="13"/>
  <c r="A895" i="13"/>
  <c r="A897" i="13"/>
  <c r="A898" i="13"/>
  <c r="A899" i="13"/>
  <c r="A900" i="13"/>
  <c r="A901" i="13"/>
  <c r="A902" i="13"/>
  <c r="A903" i="13"/>
  <c r="A904" i="13"/>
  <c r="A905" i="13"/>
  <c r="A906" i="13"/>
  <c r="A907" i="13"/>
  <c r="A908" i="13"/>
  <c r="A909" i="13"/>
  <c r="A910" i="13"/>
  <c r="A911" i="13"/>
  <c r="A912" i="13"/>
  <c r="A913" i="13"/>
  <c r="A914" i="13"/>
  <c r="A915" i="13"/>
  <c r="A916" i="13"/>
  <c r="A917" i="13"/>
  <c r="A918" i="13"/>
  <c r="A919" i="13"/>
  <c r="A920" i="13"/>
  <c r="A921" i="13"/>
  <c r="A922" i="13"/>
  <c r="A923" i="13"/>
  <c r="A924" i="13"/>
  <c r="A925" i="13"/>
  <c r="A926" i="13"/>
  <c r="A927" i="13"/>
  <c r="A928" i="13"/>
  <c r="A930" i="13"/>
  <c r="A931" i="13"/>
  <c r="A932" i="13"/>
  <c r="A933" i="13"/>
  <c r="A934" i="13"/>
  <c r="A935" i="13"/>
  <c r="A936" i="13"/>
  <c r="A937" i="13"/>
  <c r="A938" i="13"/>
  <c r="A939" i="13"/>
  <c r="A940" i="13"/>
  <c r="A941" i="13"/>
  <c r="A942" i="13"/>
  <c r="A943" i="13"/>
  <c r="A944" i="13"/>
  <c r="A946" i="13"/>
  <c r="A947" i="13"/>
  <c r="A948" i="13"/>
  <c r="A949" i="13"/>
  <c r="A950" i="13"/>
  <c r="A951" i="13"/>
  <c r="A952" i="13"/>
  <c r="A953" i="13"/>
  <c r="A954" i="13"/>
  <c r="A955" i="13"/>
  <c r="A956" i="13"/>
  <c r="A957" i="13"/>
  <c r="A958" i="13"/>
  <c r="A960" i="13"/>
  <c r="A961" i="13"/>
  <c r="A962" i="13"/>
  <c r="A963" i="13"/>
  <c r="A964" i="13"/>
  <c r="A965" i="13"/>
  <c r="A966" i="13"/>
  <c r="A967" i="13"/>
  <c r="A968" i="13"/>
  <c r="A969" i="13"/>
  <c r="A970" i="13"/>
  <c r="A971" i="13"/>
  <c r="A972" i="13"/>
  <c r="A973" i="13"/>
  <c r="A974" i="13"/>
  <c r="A975" i="13"/>
  <c r="A976" i="13"/>
  <c r="A977" i="13"/>
  <c r="A978" i="13"/>
  <c r="A979" i="13"/>
  <c r="A980" i="13"/>
  <c r="A987" i="13"/>
  <c r="A988" i="13"/>
  <c r="A981" i="13"/>
  <c r="A982" i="13"/>
  <c r="A983" i="13"/>
  <c r="A984" i="13"/>
  <c r="A985" i="13"/>
  <c r="A986" i="13"/>
  <c r="A989" i="13"/>
  <c r="A990" i="13"/>
  <c r="A991" i="13"/>
  <c r="A992" i="13"/>
  <c r="A993" i="13"/>
  <c r="A994" i="13"/>
  <c r="A995" i="13"/>
  <c r="A996" i="13"/>
  <c r="A997" i="13"/>
  <c r="A998" i="13"/>
  <c r="A999" i="13"/>
  <c r="A1000" i="13"/>
  <c r="A1001" i="13"/>
  <c r="A1002" i="13"/>
  <c r="A1003" i="13"/>
  <c r="A1004" i="13"/>
  <c r="A1005" i="13"/>
  <c r="A1006" i="13"/>
  <c r="A1007" i="13"/>
  <c r="A1008" i="13"/>
  <c r="A1009" i="13"/>
  <c r="A1010" i="13"/>
  <c r="A1011" i="13"/>
  <c r="A1012" i="13"/>
  <c r="A1013" i="13"/>
  <c r="A1014" i="13"/>
  <c r="A1015" i="13"/>
  <c r="A1016" i="13"/>
  <c r="A1017" i="13"/>
  <c r="A1018" i="13"/>
  <c r="A1019" i="13"/>
  <c r="A1020" i="13"/>
  <c r="A1021" i="13"/>
  <c r="A1022" i="13"/>
  <c r="A1023" i="13"/>
  <c r="A1024" i="13"/>
  <c r="A1025" i="13"/>
  <c r="A1026" i="13"/>
  <c r="A1027" i="13"/>
  <c r="A1028" i="13"/>
  <c r="A1029" i="13"/>
  <c r="A1030" i="13"/>
  <c r="A1031" i="13"/>
  <c r="A1034" i="13"/>
  <c r="A1032" i="13"/>
  <c r="A1033" i="13"/>
  <c r="A1035" i="13"/>
  <c r="A1036" i="13"/>
  <c r="A1037" i="13"/>
  <c r="A1038" i="13"/>
  <c r="A1040" i="13"/>
  <c r="A1041" i="13"/>
  <c r="A1042" i="13"/>
  <c r="A1043" i="13"/>
  <c r="A1044" i="13"/>
  <c r="A1045" i="13"/>
  <c r="A1046" i="13"/>
  <c r="A1047" i="13"/>
  <c r="A1048" i="13"/>
  <c r="A1049" i="13"/>
  <c r="A1050" i="13"/>
  <c r="A1051" i="13"/>
  <c r="A1052" i="13"/>
  <c r="A1055" i="13"/>
  <c r="A1053" i="13"/>
  <c r="A1054" i="13"/>
  <c r="A1056" i="13"/>
  <c r="A1057" i="13"/>
  <c r="A1058" i="13"/>
  <c r="A1059" i="13"/>
  <c r="A1060" i="13"/>
  <c r="A1061" i="13"/>
  <c r="A1062" i="13"/>
  <c r="A1063" i="13"/>
  <c r="A1064" i="13"/>
  <c r="A1067" i="13"/>
  <c r="A1066" i="13"/>
  <c r="A1065" i="13"/>
  <c r="A1068" i="13"/>
  <c r="A1069" i="13"/>
  <c r="A1070" i="13"/>
  <c r="A1071" i="13"/>
  <c r="A1072" i="13"/>
  <c r="A1073" i="13"/>
  <c r="A1074" i="13"/>
  <c r="A1075" i="13"/>
  <c r="A1076" i="13"/>
  <c r="A1077" i="13"/>
  <c r="A1078" i="13"/>
  <c r="A1079" i="13"/>
  <c r="A1080" i="13"/>
  <c r="A1081" i="13"/>
  <c r="A1111" i="13"/>
  <c r="A1082" i="13"/>
  <c r="A1083" i="13"/>
  <c r="A1084" i="13"/>
  <c r="A1085" i="13"/>
  <c r="A1086" i="13"/>
  <c r="A1087" i="13"/>
  <c r="A1088" i="13"/>
  <c r="A1089" i="13"/>
  <c r="A1090" i="13"/>
  <c r="A1091" i="13"/>
  <c r="A1092" i="13"/>
  <c r="A1093" i="13"/>
  <c r="A1094" i="13"/>
  <c r="A1095" i="13"/>
  <c r="A1096" i="13"/>
  <c r="A1097" i="13"/>
  <c r="A1098" i="13"/>
  <c r="A1099" i="13"/>
  <c r="A1100" i="13"/>
  <c r="A1101" i="13"/>
  <c r="A1102" i="13"/>
  <c r="A1103" i="13"/>
  <c r="A1104" i="13"/>
  <c r="A1105" i="13"/>
  <c r="A1107" i="13"/>
  <c r="A1106" i="13"/>
  <c r="A1108" i="13"/>
  <c r="A1109" i="13"/>
  <c r="A1110" i="13"/>
  <c r="A1112" i="13"/>
  <c r="A1113" i="13"/>
  <c r="A1114" i="13"/>
  <c r="A1115" i="13"/>
  <c r="A1116" i="13"/>
  <c r="A1117" i="13"/>
  <c r="A1118" i="13"/>
  <c r="A1119" i="13"/>
  <c r="A1120" i="13"/>
  <c r="A1121" i="13"/>
  <c r="A1122" i="13"/>
  <c r="A1123" i="13"/>
  <c r="A1124" i="13"/>
  <c r="A1125" i="13"/>
  <c r="A1126" i="13"/>
  <c r="A1127" i="13"/>
  <c r="A1128" i="13"/>
  <c r="A1129" i="13"/>
  <c r="A1130" i="13"/>
  <c r="A1131" i="13"/>
  <c r="A1132" i="13"/>
  <c r="A1133" i="13"/>
  <c r="A1134" i="13"/>
  <c r="A1135" i="13"/>
  <c r="A1136" i="13"/>
  <c r="A1137" i="13"/>
  <c r="A1138" i="13"/>
  <c r="A1139" i="13"/>
  <c r="A1140" i="13"/>
  <c r="A1141" i="13"/>
  <c r="A2" i="13"/>
  <c r="C30" i="7" l="1"/>
  <c r="AP2" i="17"/>
  <c r="AO2" i="17"/>
  <c r="AN2" i="17"/>
  <c r="B42" i="7" l="1"/>
  <c r="D4" i="7"/>
  <c r="I80" i="14"/>
  <c r="B80" i="4"/>
  <c r="B42" i="14" l="1"/>
  <c r="C4" i="10" l="1"/>
  <c r="C4" i="9"/>
  <c r="B60" i="14"/>
  <c r="AM2" i="17"/>
  <c r="S2" i="17"/>
  <c r="M2" i="17"/>
  <c r="J2" i="17"/>
  <c r="F2" i="17"/>
  <c r="B2" i="17"/>
  <c r="B22" i="9" l="1"/>
  <c r="B21" i="9"/>
  <c r="B20" i="9"/>
  <c r="B19" i="9"/>
  <c r="B18" i="9"/>
  <c r="B17" i="9"/>
  <c r="B14" i="9"/>
  <c r="B12" i="9"/>
  <c r="B11" i="9"/>
  <c r="B10" i="9"/>
  <c r="B9" i="9"/>
  <c r="B62" i="7"/>
  <c r="B61" i="7"/>
  <c r="E40" i="7" l="1"/>
  <c r="F40" i="7"/>
  <c r="D40" i="7"/>
  <c r="E29" i="7"/>
  <c r="F29" i="7"/>
  <c r="G29" i="7"/>
  <c r="G41" i="7" s="1"/>
  <c r="D29" i="7"/>
  <c r="H34" i="7"/>
  <c r="H35" i="7"/>
  <c r="H36" i="7"/>
  <c r="H37" i="7"/>
  <c r="H38" i="7"/>
  <c r="H39" i="7"/>
  <c r="H33" i="7"/>
  <c r="I22" i="19" s="1"/>
  <c r="H24" i="7"/>
  <c r="I17" i="19" s="1"/>
  <c r="H25" i="7"/>
  <c r="I18" i="19" s="1"/>
  <c r="H26" i="7"/>
  <c r="H28" i="7"/>
  <c r="H10" i="7"/>
  <c r="I3" i="19" s="1"/>
  <c r="H11" i="7"/>
  <c r="H15" i="7"/>
  <c r="H16" i="7"/>
  <c r="H17" i="7"/>
  <c r="H18" i="7"/>
  <c r="H19" i="7"/>
  <c r="H20" i="7"/>
  <c r="H21" i="7"/>
  <c r="H22" i="7"/>
  <c r="H23" i="7"/>
  <c r="H9" i="7"/>
  <c r="I2" i="19" s="1"/>
  <c r="M18" i="19" l="1"/>
  <c r="K18" i="19"/>
  <c r="L18" i="19"/>
  <c r="J18" i="19"/>
  <c r="M3" i="19"/>
  <c r="K3" i="19"/>
  <c r="M22" i="19"/>
  <c r="K22" i="19"/>
  <c r="J22" i="19"/>
  <c r="K17" i="19"/>
  <c r="M17" i="19"/>
  <c r="J17" i="19"/>
  <c r="K2" i="19"/>
  <c r="M2" i="19"/>
  <c r="J2" i="19"/>
  <c r="F41" i="7"/>
  <c r="AI2" i="17" s="1"/>
  <c r="H29" i="7"/>
  <c r="AJ2" i="17"/>
  <c r="D41" i="7"/>
  <c r="E41" i="7"/>
  <c r="H40" i="7"/>
  <c r="AG2" i="17" l="1"/>
  <c r="H41" i="7"/>
  <c r="AH2" i="17"/>
  <c r="F19" i="14" l="1"/>
  <c r="F18" i="14"/>
  <c r="F17" i="14"/>
  <c r="E31" i="4" l="1"/>
  <c r="C5" i="17" a="1"/>
  <c r="E25" i="4" a="1"/>
  <c r="G25" i="14" a="1"/>
  <c r="E30" i="4"/>
  <c r="C4" i="17" a="1"/>
  <c r="G24" i="14" a="1"/>
  <c r="E24" i="4" s="1" a="1"/>
  <c r="E29" i="4"/>
  <c r="G23" i="14" a="1"/>
  <c r="E23" i="4" s="1" a="1"/>
  <c r="G22" i="14"/>
  <c r="G38" i="14" a="1"/>
  <c r="V5" i="17"/>
  <c r="W5" i="17"/>
  <c r="G37" i="14" a="1"/>
  <c r="V4" i="17"/>
  <c r="V3" i="17"/>
  <c r="G36" i="14" a="1"/>
  <c r="G35" i="14"/>
  <c r="AB5" i="17"/>
  <c r="AZ5" i="17"/>
  <c r="AB4" i="17"/>
  <c r="AZ4" i="17"/>
  <c r="AB3" i="17"/>
  <c r="AZ3" i="17"/>
  <c r="AY3" i="17"/>
  <c r="F3" i="17"/>
  <c r="D3" i="17"/>
  <c r="E3" i="17"/>
  <c r="AN3" i="17"/>
  <c r="AO3" i="17"/>
  <c r="AP3" i="17"/>
  <c r="J3" i="17"/>
  <c r="M3" i="17"/>
  <c r="AG3" i="17"/>
  <c r="D4" i="17"/>
  <c r="E4" i="17"/>
  <c r="D5" i="17"/>
  <c r="E5" i="17"/>
  <c r="F4" i="17"/>
  <c r="F5" i="17"/>
  <c r="G33" i="14" a="1"/>
  <c r="G28" i="14" a="1"/>
  <c r="G32" i="14" a="1"/>
  <c r="G31" i="14"/>
  <c r="G27" i="14" a="1"/>
  <c r="B37" i="4" s="1"/>
  <c r="G26" i="14"/>
  <c r="B36" i="4" s="1"/>
  <c r="G29" i="14" a="1"/>
  <c r="G34" i="14" a="1"/>
  <c r="G16" i="14"/>
  <c r="G17" i="14" a="1"/>
  <c r="AQ4" i="17"/>
  <c r="G18" i="14" a="1"/>
  <c r="AQ5" i="17"/>
  <c r="G19" i="14" a="1"/>
  <c r="B18" i="10" s="1"/>
  <c r="AQ3" i="17"/>
  <c r="T3" i="17"/>
  <c r="T4" i="17"/>
  <c r="T5" i="17"/>
  <c r="AC5" i="17"/>
  <c r="AA5" i="17"/>
  <c r="Z5" i="17"/>
  <c r="Y5" i="17"/>
  <c r="S5" i="17"/>
  <c r="AA4" i="17"/>
  <c r="AC4" i="17"/>
  <c r="Y4" i="17"/>
  <c r="Z4" i="17"/>
  <c r="S4" i="17"/>
  <c r="AA3" i="17"/>
  <c r="AC3" i="17"/>
  <c r="Y3" i="17"/>
  <c r="Z3" i="17"/>
  <c r="S3" i="17"/>
  <c r="AN4" i="17"/>
  <c r="AP4" i="17"/>
  <c r="AO4" i="17"/>
  <c r="AP5" i="17"/>
  <c r="AO5" i="17"/>
  <c r="AN5" i="17"/>
  <c r="J4" i="17"/>
  <c r="J5" i="17"/>
  <c r="AE5" i="17"/>
  <c r="AH5" i="17"/>
  <c r="AM5" i="17"/>
  <c r="AI5" i="17"/>
  <c r="AJ5" i="17"/>
  <c r="AG5" i="17"/>
  <c r="AD5" i="17"/>
  <c r="AE3" i="17"/>
  <c r="AM3" i="17"/>
  <c r="AD3" i="17"/>
  <c r="AH3" i="17"/>
  <c r="AI3" i="17"/>
  <c r="AJ3" i="17"/>
  <c r="AJ4" i="17"/>
  <c r="AI4" i="17"/>
  <c r="AD4" i="17"/>
  <c r="AG4" i="17"/>
  <c r="AE4" i="17"/>
  <c r="AH4" i="17"/>
  <c r="AM4" i="17"/>
  <c r="M5" i="17"/>
  <c r="B5" i="17"/>
  <c r="B4" i="17"/>
  <c r="M4" i="17"/>
  <c r="A4" i="17" l="1"/>
  <c r="B38" i="4"/>
  <c r="A5" i="17"/>
  <c r="B39" i="4"/>
  <c r="E32" i="4"/>
  <c r="A2" i="17"/>
  <c r="A3" i="17" s="1"/>
  <c r="C3" i="17" s="1" a="1"/>
  <c r="H61" i="14" a="1"/>
  <c r="B62" i="14" s="1"/>
  <c r="C2" i="17" a="1"/>
  <c r="C3" i="19" s="1"/>
  <c r="G8" i="4" a="1"/>
  <c r="E22" i="4" a="1"/>
  <c r="E26" i="4" s="1"/>
  <c r="E71" i="4" a="1"/>
  <c r="E70" i="4" a="1"/>
  <c r="E69" i="4" a="1"/>
  <c r="C9" i="4" a="1"/>
  <c r="G10" i="4" a="1"/>
  <c r="E10" i="4" a="1"/>
  <c r="C6" i="4" a="1"/>
  <c r="E12" i="4" a="1"/>
  <c r="G9" i="4" a="1"/>
  <c r="G6" i="4" a="1"/>
  <c r="E6" i="4" a="1"/>
  <c r="C10" i="4" a="1"/>
  <c r="C7" i="4" a="1"/>
  <c r="G12" i="4" a="1"/>
  <c r="C8" i="4" a="1"/>
  <c r="E9" i="4" a="1"/>
  <c r="G7" i="4" a="1"/>
  <c r="G11" i="4" a="1"/>
  <c r="E7" i="4" a="1"/>
  <c r="E11" i="4" a="1"/>
  <c r="C11" i="4" a="1"/>
  <c r="E8" i="4" a="1"/>
  <c r="C12" i="4" a="1"/>
  <c r="B31" i="4"/>
  <c r="B25" i="4"/>
  <c r="B28" i="4"/>
  <c r="B22" i="4"/>
  <c r="B23" i="4"/>
  <c r="B29" i="4"/>
  <c r="B30" i="4"/>
  <c r="B24" i="4"/>
  <c r="C19" i="14"/>
  <c r="B17" i="10"/>
  <c r="C18" i="14"/>
  <c r="B16" i="10"/>
  <c r="C17" i="14"/>
  <c r="B15" i="10"/>
  <c r="C21" i="19" l="1"/>
  <c r="C20" i="19"/>
  <c r="C19" i="19"/>
  <c r="C22" i="19"/>
  <c r="C2" i="19"/>
  <c r="C18" i="19"/>
  <c r="C17" i="19"/>
  <c r="B3" i="17" a="1"/>
  <c r="C5" i="4" a="1"/>
  <c r="E5" i="4" a="1"/>
  <c r="G5" i="4" a="1"/>
  <c r="E45" i="4"/>
  <c r="B40" i="10"/>
  <c r="C13" i="4" l="1"/>
  <c r="G75" i="4"/>
  <c r="E13" i="4"/>
  <c r="G13" i="4"/>
  <c r="G42" i="7" l="1"/>
  <c r="AV2" i="17"/>
  <c r="AV3" i="17" s="1"/>
  <c r="I77" i="14"/>
  <c r="E66" i="4"/>
  <c r="G2" i="17"/>
  <c r="G3" i="17" s="1"/>
  <c r="G18" i="4"/>
  <c r="AV5" i="17"/>
  <c r="B46" i="10"/>
  <c r="B47" i="10"/>
  <c r="B48" i="10"/>
  <c r="B49" i="10"/>
  <c r="C46" i="10"/>
  <c r="C47" i="10"/>
  <c r="C48" i="10"/>
  <c r="C49" i="10"/>
  <c r="E50" i="4" l="1"/>
  <c r="G19" i="4"/>
  <c r="H79" i="14"/>
  <c r="H78" i="14"/>
  <c r="H80" i="14"/>
  <c r="H19" i="4"/>
  <c r="H2" i="17"/>
  <c r="H3" i="17" s="1"/>
  <c r="G5" i="17"/>
  <c r="G4" i="17"/>
  <c r="AV4" i="17"/>
  <c r="B44" i="10"/>
  <c r="B45" i="10"/>
  <c r="B43" i="10"/>
  <c r="E34" i="4" l="1"/>
  <c r="H34" i="4" s="1"/>
  <c r="I71" i="14"/>
  <c r="E46" i="4"/>
  <c r="H46" i="4" s="1"/>
  <c r="H47" i="4" s="1"/>
  <c r="B34" i="4"/>
  <c r="P2" i="17"/>
  <c r="H4" i="17"/>
  <c r="H5" i="17"/>
  <c r="C45" i="10"/>
  <c r="C44" i="10"/>
  <c r="H60" i="4" l="1"/>
  <c r="H56" i="4"/>
  <c r="H41" i="4"/>
  <c r="B30" i="10"/>
  <c r="B31" i="10"/>
  <c r="B32" i="10"/>
  <c r="B33" i="10"/>
  <c r="B34" i="10"/>
  <c r="B35" i="10"/>
  <c r="B36" i="10"/>
  <c r="B37" i="10"/>
  <c r="H49" i="4" l="1"/>
  <c r="H51" i="4" s="1"/>
  <c r="B24" i="10"/>
  <c r="B25" i="10"/>
  <c r="B29" i="10"/>
  <c r="B23" i="10" l="1"/>
  <c r="E19" i="10" l="1"/>
  <c r="D19" i="10"/>
  <c r="C19" i="10"/>
  <c r="J3" i="19" s="1"/>
  <c r="G35" i="9"/>
  <c r="AX2" i="17" l="1"/>
  <c r="AX3" i="17"/>
  <c r="I45" i="10"/>
  <c r="I49" i="10"/>
  <c r="I47" i="10"/>
  <c r="I46" i="10"/>
  <c r="I48" i="10"/>
  <c r="I44" i="10"/>
  <c r="F46" i="10"/>
  <c r="F49" i="10"/>
  <c r="H49" i="10" s="1"/>
  <c r="F47" i="10"/>
  <c r="F48" i="10"/>
  <c r="H48" i="10" s="1"/>
  <c r="F44" i="10"/>
  <c r="F45" i="10"/>
  <c r="H47" i="10" l="1"/>
  <c r="H44" i="10"/>
  <c r="H45" i="10"/>
  <c r="H46" i="10"/>
  <c r="C38" i="10" l="1"/>
  <c r="F38" i="10" s="1"/>
  <c r="L17" i="19" s="1"/>
  <c r="H38" i="10" l="1"/>
  <c r="C39" i="10"/>
  <c r="F39" i="10" s="1"/>
  <c r="C24" i="10"/>
  <c r="F24" i="10" s="1"/>
  <c r="L3" i="19" s="1"/>
  <c r="C23" i="10"/>
  <c r="F23" i="10" s="1"/>
  <c r="L2" i="19" s="1"/>
  <c r="H24" i="10" l="1"/>
  <c r="H39" i="10"/>
  <c r="C40" i="10"/>
  <c r="F40" i="10" s="1"/>
  <c r="C25" i="10"/>
  <c r="F25" i="10" s="1"/>
  <c r="H25" i="10" l="1"/>
  <c r="H40" i="10"/>
  <c r="H23" i="10"/>
  <c r="F27" i="10" l="1"/>
  <c r="F26" i="10"/>
  <c r="H27" i="10" l="1"/>
  <c r="C29" i="10"/>
  <c r="F29" i="10" s="1"/>
  <c r="H26" i="10"/>
  <c r="F28" i="10"/>
  <c r="H29" i="10" l="1"/>
  <c r="C43" i="10"/>
  <c r="F43" i="10" l="1"/>
  <c r="I43" i="10"/>
  <c r="C30" i="10"/>
  <c r="F30" i="10" s="1"/>
  <c r="C31" i="10"/>
  <c r="F31" i="10" s="1"/>
  <c r="H31" i="10" s="1"/>
  <c r="H28" i="10"/>
  <c r="C50" i="10"/>
  <c r="L22" i="19" l="1"/>
  <c r="I50" i="10"/>
  <c r="C32" i="10"/>
  <c r="F32" i="10" s="1"/>
  <c r="H43" i="10"/>
  <c r="F50" i="10"/>
  <c r="AS2" i="17" s="1"/>
  <c r="AX5" i="17" l="1"/>
  <c r="AX4" i="17"/>
  <c r="H32" i="10"/>
  <c r="AS3" i="17"/>
  <c r="AS4" i="17"/>
  <c r="AS5" i="17"/>
  <c r="H30" i="10"/>
  <c r="C33" i="10"/>
  <c r="F33" i="10" s="1"/>
  <c r="C34" i="10" l="1"/>
  <c r="F34" i="10" s="1"/>
  <c r="H34" i="10" l="1"/>
  <c r="H33" i="10"/>
  <c r="C35" i="10"/>
  <c r="F35" i="10" s="1"/>
  <c r="H35" i="10" l="1"/>
  <c r="C36" i="10" l="1"/>
  <c r="F36" i="10" s="1"/>
  <c r="H36" i="10" l="1"/>
  <c r="C37" i="10"/>
  <c r="F37" i="10" s="1"/>
  <c r="AW2" i="17" s="1"/>
  <c r="AW3" i="17" s="1"/>
  <c r="C41" i="10" l="1"/>
  <c r="C51" i="10" s="1"/>
  <c r="H37" i="10" l="1"/>
  <c r="F41" i="10"/>
  <c r="I51" i="10" l="1"/>
  <c r="AU2" i="17" s="1"/>
  <c r="AU4" i="17" s="1"/>
  <c r="AR2" i="17"/>
  <c r="AW5" i="17"/>
  <c r="AW4" i="17"/>
  <c r="AY5" i="17"/>
  <c r="AY4" i="17"/>
  <c r="F51" i="10"/>
  <c r="AT2" i="17" s="1"/>
  <c r="AT3" i="17" s="1"/>
  <c r="AR3" i="17" l="1"/>
  <c r="AR5" i="17"/>
  <c r="AU3" i="17"/>
  <c r="AU5" i="17"/>
  <c r="AR4" i="17"/>
  <c r="AT5" i="17"/>
  <c r="AT4" i="17"/>
  <c r="H77" i="14" l="1"/>
  <c r="I2" i="17" l="1"/>
  <c r="H61" i="4" l="1"/>
  <c r="H67" i="4" s="1"/>
  <c r="H88" i="4" s="1"/>
  <c r="I84" i="14"/>
  <c r="G47" i="4"/>
  <c r="I73" i="14" s="1"/>
  <c r="H73" i="14" s="1"/>
  <c r="G60" i="4"/>
  <c r="I76" i="14" s="1"/>
  <c r="H76" i="14" s="1"/>
  <c r="G41" i="4"/>
  <c r="I72" i="14" s="1"/>
  <c r="G56" i="4"/>
  <c r="I75" i="14" s="1"/>
  <c r="H75" i="14" s="1"/>
  <c r="N2" i="17"/>
  <c r="N3" i="17" s="1"/>
  <c r="I3" i="17"/>
  <c r="I5" i="17"/>
  <c r="I4" i="17"/>
  <c r="K2" i="17"/>
  <c r="K3" i="17" s="1"/>
  <c r="W2" i="17" l="1"/>
  <c r="E49" i="4"/>
  <c r="G51" i="4" s="1"/>
  <c r="I74" i="14" s="1"/>
  <c r="L2" i="17"/>
  <c r="L3" i="17" s="1"/>
  <c r="O2" i="17"/>
  <c r="O3" i="17" s="1"/>
  <c r="N4" i="17"/>
  <c r="N5" i="17"/>
  <c r="H72" i="14"/>
  <c r="K4" i="17"/>
  <c r="K5" i="17"/>
  <c r="U2" i="17"/>
  <c r="W4" i="17" l="1"/>
  <c r="W3" i="17"/>
  <c r="H84" i="14"/>
  <c r="X2" i="17"/>
  <c r="L5" i="17"/>
  <c r="L4" i="17"/>
  <c r="O4" i="17"/>
  <c r="O5" i="17"/>
  <c r="P3" i="17"/>
  <c r="U3" i="17"/>
  <c r="U4" i="17"/>
  <c r="U5" i="17"/>
  <c r="Q2" i="17"/>
  <c r="H74" i="14" l="1"/>
  <c r="G61" i="4"/>
  <c r="X3" i="17"/>
  <c r="X5" i="17"/>
  <c r="X4" i="17"/>
  <c r="P5" i="17"/>
  <c r="P4" i="17"/>
  <c r="R2" i="17"/>
  <c r="Q4" i="17"/>
  <c r="Q5" i="17"/>
  <c r="Q3" i="17"/>
  <c r="H65" i="14" l="1"/>
  <c r="H82" i="14"/>
  <c r="H81" i="14"/>
  <c r="H63" i="14"/>
  <c r="G67" i="4"/>
  <c r="R3" i="17"/>
  <c r="R5" i="17"/>
  <c r="R4" i="17"/>
  <c r="I83" i="14"/>
  <c r="G88" i="4" l="1"/>
  <c r="H43" i="7" s="1"/>
  <c r="G85" i="4"/>
  <c r="G83" i="4"/>
  <c r="H83" i="14"/>
  <c r="AF2" i="17" l="1"/>
  <c r="AF3" i="17" s="1"/>
  <c r="AL2" i="17"/>
  <c r="AK3" i="17"/>
  <c r="AK5" i="17"/>
  <c r="AK4" i="17"/>
  <c r="AF4" i="17"/>
  <c r="AF5" i="17"/>
  <c r="H30" i="7"/>
  <c r="AL3" i="17" l="1"/>
  <c r="AL4" i="17"/>
  <c r="AL5" i="17"/>
  <c r="E63" i="4" l="1"/>
  <c r="K13" i="14"/>
  <c r="K1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tc={4B3CFCC2-5D43-42FC-8231-6DFCF7FEB07E}</author>
    <author>tc={887874F3-6649-4294-83E8-26D277E7E1B8}</author>
    <author>tc={5DCE5089-F8CF-4D3B-A705-DF6872294F2C}</author>
    <author>tc={7C9AFFE6-DC8B-4172-AB23-59C4024B00F0}</author>
    <author>tc={3BADC231-5B49-4916-8691-0528ED11FDF1}</author>
    <author>tc={E014D4E8-CB9C-4858-9321-10EC44C13153}</author>
    <author>tc={D6EF1712-32C7-4921-B913-675342351775}</author>
    <author>tc={4CE82337-8A7C-4381-AB3B-30F49D0EB0D2}</author>
    <author>tc={F89E203A-1A07-4154-A13B-3561BA9B53FB}</author>
    <author>tc={C9254262-0590-4C65-B883-102681CCC3F7}</author>
    <author>tc={52FF3A91-BD9D-4131-88D0-FD3B324BDAF0}</author>
    <author>tc={12EA3D8C-DB55-4EF8-9207-CE2A368953DA}</author>
    <author>tc={FD1A43F5-CE21-4708-B31B-7296A1CDE0FB}</author>
    <author>tc={CA122BF3-EB67-411E-A7F6-71D7F28D6A5E}</author>
    <author>tc={EE76200F-5F65-4D3F-BA4F-473EA90042FE}</author>
    <author>tc={68D0F1CE-55D5-4BF9-91CE-E8FCEA15194D}</author>
    <author>tc={68265230-9ED2-4162-A63F-C6CD64C5B026}</author>
    <author>tc={475BFBD2-BA3B-4F7C-9881-4B91244423AC}</author>
    <author>tc={068FCDC1-21C3-4975-9F81-9A161E4450CB}</author>
    <author>tc={47586830-3C4B-4D63-94AE-20D458AF0243}</author>
    <author>tc={AB9E3240-34D9-468B-86D8-CB47056F242F}</author>
    <author>tc={8F7D9713-7D87-402A-9C3B-580243BC5AAE}</author>
    <author>tc={8AB046E5-1182-4A55-B89F-9DD73470A012}</author>
    <author>tc={D79F0838-7650-4F3E-8A6B-F817E5FCB633}</author>
    <author>tc={BCB58AB6-8F7F-4646-B9D0-15BDD0C4B3AF}</author>
    <author>tc={9C5AF2AB-4E45-4768-A970-A396EE12CCD3}</author>
    <author>tc={56D41A7A-BE15-41C3-B171-63781CEB32D5}</author>
    <author>tc={D90B2FA0-C9EE-4C00-A294-E5F6D6C04BBF}</author>
    <author>tc={DF859D85-440F-4B1F-8AB4-7668E87A8D20}</author>
    <author>tc={7766BE7E-3539-4728-9110-29707E6CFAD5}</author>
    <author>tc={67D95A45-0818-46E0-BC60-77686A12B62D}</author>
    <author>tc={15126004-63D7-4096-9E82-32DC46E2A7D2}</author>
  </authors>
  <commentList>
    <comment ref="F1" authorId="0" shapeId="0" xr:uid="{4B3CFCC2-5D43-42FC-8231-6DFCF7FEB07E}">
      <text>
        <t>[Threaded comment]
Your version of Excel allows you to read this threaded comment; however, any edits to it will get removed if the file is opened in a newer version of Excel. Learn more: https://go.microsoft.com/fwlink/?linkid=870924
Comment:
    DistNums have been reviewed and fixed to match datasource file - 2/21/24</t>
      </text>
    </comment>
    <comment ref="G1" authorId="1" shapeId="0" xr:uid="{887874F3-6649-4294-83E8-26D277E7E1B8}">
      <text>
        <t>[Threaded comment]
Your version of Excel allows you to read this threaded comment; however, any edits to it will get removed if the file is opened in a newer version of Excel. Learn more: https://go.microsoft.com/fwlink/?linkid=870924
Comment:
    For the L-2 to fill data correctly, this tab must remain sorted alphabetically by DistName.</t>
      </text>
    </comment>
    <comment ref="I1" authorId="2" shapeId="0" xr:uid="{5DCE5089-F8CF-4D3B-A705-DF6872294F2C}">
      <text>
        <t>[Threaded comment]
Your version of Excel allows you to read this threaded comment; however, any edits to it will get removed if the file is opened in a newer version of Excel. Learn more: https://go.microsoft.com/fwlink/?linkid=870924
Comment:
    Forgone amounts updated - 1/2/2026</t>
      </text>
    </comment>
    <comment ref="J1" authorId="3" shapeId="0" xr:uid="{7C9AFFE6-DC8B-4172-AB23-59C4024B00F0}">
      <text>
        <t>[Threaded comment]
Your version of Excel allows you to read this threaded comment; however, any edits to it will get removed if the file is opened in a newer version of Excel. Learn more: https://go.microsoft.com/fwlink/?linkid=870924
Comment:
    Updated to 2025 OP values on 12/16/25.</t>
      </text>
    </comment>
    <comment ref="L1" authorId="4" shapeId="0" xr:uid="{3BADC231-5B49-4916-8691-0528ED11FDF1}">
      <text>
        <t>[Threaded comment]
Your version of Excel allows you to read this threaded comment; however, any edits to it will get removed if the file is opened in a newer version of Excel. Learn more: https://go.microsoft.com/fwlink/?linkid=870924
Comment:
    All replacements updated 1/21/24 after DistNum corrections</t>
      </text>
    </comment>
    <comment ref="P1" authorId="5" shapeId="0" xr:uid="{E014D4E8-CB9C-4858-9321-10EC44C13153}">
      <text>
        <t>[Threaded comment]
Your version of Excel allows you to read this threaded comment; however, any edits to it will get removed if the file is opened in a newer version of Excel. Learn more: https://go.microsoft.com/fwlink/?linkid=870924
Comment:
    Updated on 2/21/24</t>
      </text>
    </comment>
    <comment ref="W1" authorId="6" shapeId="0" xr:uid="{D6EF1712-32C7-4921-B913-675342351775}">
      <text>
        <t>[Threaded comment]
Your version of Excel allows you to read this threaded comment; however, any edits to it will get removed if the file is opened in a newer version of Excel. Learn more: https://go.microsoft.com/fwlink/?linkid=870924
Comment:
    Highlighted cells are reductions that were determined should NOT be treated as replacements for ongoing budget calculations.
Reply:
    For the formulas in the L-2 worksheet to work correctly, we can’t have those that are treated as replacements and those that aren’t both have values in this column. We have to remove the values in the column if they’re not being treated as replacements. 
Reply:
    If the error was determined to be a budget error where the budget grew incorrectly and was corrected with a reduction in the following year, those reductions are NOT treated as replacements. 
If the error was a valuation error that resulted in too much revenue for the district (but budget was set correctly), then the reduction in the following year would be treated as replacements.</t>
      </text>
    </comment>
    <comment ref="AA1" authorId="7" shapeId="0" xr:uid="{4CE82337-8A7C-4381-AB3B-30F49D0EB0D2}">
      <text>
        <t>[Threaded comment]
Your version of Excel allows you to read this threaded comment; however, any edits to it will get removed if the file is opened in a newer version of Excel. Learn more: https://go.microsoft.com/fwlink/?linkid=870924
Comment:
    These columns aren’t being used in 2026 but will be necessary for 2027+ so they can be added onto the table at the top of the L-2 Worksheet (like solar).
Reply:
    Will also need to update the table on the Dashboard to correctly calculate change once it’s been added to the L-2 Worksheet table.</t>
      </text>
    </comment>
    <comment ref="AD1" authorId="8" shapeId="0" xr:uid="{F89E203A-1A07-4154-A13B-3561BA9B53FB}">
      <text>
        <t>[Threaded comment]
Your version of Excel allows you to read this threaded comment; however, any edits to it will get removed if the file is opened in a newer version of Excel. Learn more: https://go.microsoft.com/fwlink/?linkid=870924
Comment:
    Includes road &amp; bridge for counties whose R&amp;B is countywide and might use this form.
For schools, it includes replacements (not solar) that reduced the tort levy.</t>
      </text>
    </comment>
    <comment ref="AD17" authorId="9" shapeId="0" xr:uid="{C9254262-0590-4C65-B883-102681CCC3F7}">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AI17" authorId="10" shapeId="0" xr:uid="{52FF3A91-BD9D-4131-88D0-FD3B324BDAF0}">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AD18" authorId="11" shapeId="0" xr:uid="{12EA3D8C-DB55-4EF8-9207-CE2A368953DA}">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G40" authorId="12" shapeId="0" xr:uid="{FD1A43F5-CE21-4708-B31B-7296A1CDE0FB}">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57" authorId="13" shapeId="0" xr:uid="{CA122BF3-EB67-411E-A7F6-71D7F28D6A5E}">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89" authorId="14" shapeId="0" xr:uid="{EE76200F-5F65-4D3F-BA4F-473EA90042FE}">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145" authorId="15" shapeId="0" xr:uid="{68D0F1CE-55D5-4BF9-91CE-E8FCEA15194D}">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AD367" authorId="16" shapeId="0" xr:uid="{68265230-9ED2-4162-A63F-C6CD64C5B026}">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AI367" authorId="17" shapeId="0" xr:uid="{475BFBD2-BA3B-4F7C-9881-4B91244423AC}">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G484" authorId="18" shapeId="0" xr:uid="{068FCDC1-21C3-4975-9F81-9A161E4450CB}">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592" authorId="19" shapeId="0" xr:uid="{47586830-3C4B-4D63-94AE-20D458AF0243}">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795" authorId="20" shapeId="0" xr:uid="{AB9E3240-34D9-468B-86D8-CB47056F242F}">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843" authorId="21" shapeId="0" xr:uid="{8F7D9713-7D87-402A-9C3B-580243BC5AAE}">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G853" authorId="22" shapeId="0" xr:uid="{8AB046E5-1182-4A55-B89F-9DD73470A012}">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AD880" authorId="23" shapeId="0" xr:uid="{D79F0838-7650-4F3E-8A6B-F817E5FCB633}">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AI880" authorId="24" shapeId="0" xr:uid="{BCB58AB6-8F7F-4646-B9D0-15BDD0C4B3AF}">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G969" authorId="25" shapeId="0" xr:uid="{9C5AF2AB-4E45-4768-A970-A396EE12CCD3}">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 ref="AD1045" authorId="26" shapeId="0" xr:uid="{56D41A7A-BE15-41C3-B171-63781CEB32D5}">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AI1045" authorId="27" shapeId="0" xr:uid="{D90B2FA0-C9EE-4C00-A294-E5F6D6C04BBF}">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AI1046" authorId="28" shapeId="0" xr:uid="{DF859D85-440F-4B1F-8AB4-7668E87A8D20}">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AD1067" authorId="29" shapeId="0" xr:uid="{7766BE7E-3539-4728-9110-29707E6CFAD5}">
      <text>
        <t>[Threaded comment]
Your version of Excel allows you to read this threaded comment; however, any edits to it will get removed if the file is opened in a newer version of Excel. Learn more: https://go.microsoft.com/fwlink/?linkid=870924
Comment:
    Permanent override included</t>
      </text>
    </comment>
    <comment ref="AI1067" authorId="30" shapeId="0" xr:uid="{67D95A45-0818-46E0-BC60-77686A12B62D}">
      <text>
        <t>[Threaded comment]
Your version of Excel allows you to read this threaded comment; however, any edits to it will get removed if the file is opened in a newer version of Excel. Learn more: https://go.microsoft.com/fwlink/?linkid=870924
Comment:
    Includes permanent override</t>
      </text>
    </comment>
    <comment ref="G1087" authorId="31" shapeId="0" xr:uid="{15126004-63D7-4096-9E82-32DC46E2A7D2}">
      <text>
        <t>[Threaded comment]
Your version of Excel allows you to read this threaded comment; however, any edits to it will get removed if the file is opened in a newer version of Excel. Learn more: https://go.microsoft.com/fwlink/?linkid=870924
Comment:
    Has a county R&amp;B that is NOT county-wide.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tc={A4FD59C1-2187-4B16-9053-4383C7A8A331}</author>
    <author>tc={6DFD9BE5-835D-41E1-AD7B-BEE19DA72B8C}</author>
    <author>tc={3B70EDAB-92BF-4057-8D65-6AF74E3BB0A8}</author>
    <author>tc={BD0E45B3-77FD-40A9-9EF8-2F579CAA2EDB}</author>
  </authors>
  <commentList>
    <comment ref="H21" authorId="0" shapeId="0" xr:uid="{A4FD59C1-2187-4B16-9053-4383C7A8A331}">
      <text>
        <t>[Threaded comment]
Your version of Excel allows you to read this threaded comment; however, any edits to it will get removed if the file is opened in a newer version of Excel. Learn more: https://go.microsoft.com/fwlink/?linkid=870924
Comment:
    Change this value if you would like to calculate a maximum using less than 3% base budget growth.
The default is set to 3% because this form’s purpose is to calculate the legal maximum.</t>
      </text>
    </comment>
    <comment ref="B62" authorId="1" shapeId="0" xr:uid="{6DFD9BE5-835D-41E1-AD7B-BEE19DA72B8C}">
      <text>
        <t>[Threaded comment]
Your version of Excel allows you to read this threaded comment; however, any edits to it will get removed if the file is opened in a newer version of Excel. Learn more: https://go.microsoft.com/fwlink/?linkid=870924
Comment:
    Once all the above boxes are completed, you can look at the L-2 Worksheet tab to review what the maximum property tax budget would be without using forgone amounts. This information can be used to guide your decision in this box.</t>
      </text>
    </comment>
    <comment ref="I78" authorId="2" shapeId="0" xr:uid="{3B70EDAB-92BF-4057-8D65-6AF74E3BB0A8}">
      <text>
        <t>[Threaded comment]
Your version of Excel allows you to read this threaded comment; however, any edits to it will get removed if the file is opened in a newer version of Excel. Learn more: https://go.microsoft.com/fwlink/?linkid=870924
Comment:
    In 2026, the new kWh/therms tax will reduce property tax revenue for all taxing districts. 
In subsequent years, increases in kWh/therms tax will result in decreasing property tax (and vice versa).</t>
      </text>
    </comment>
    <comment ref="H83" authorId="3" shapeId="0" xr:uid="{BD0E45B3-77FD-40A9-9EF8-2F579CAA2EDB}">
      <text>
        <t>[Threaded comment]
Your version of Excel allows you to read this threaded comment; however, any edits to it will get removed if the file is opened in a newer version of Excel. Learn more: https://go.microsoft.com/fwlink/?linkid=870924
Comment:
    If forgone amounts have been recovered into the budget, then this figure will not equal the sum of the above percentages because forgone recovery percentages (1% &amp; 3%) are based on the budget after the initial increases have been allowed.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tc={690176EA-5F06-4F30-B8A6-206AB8A10730}</author>
    <author>tc={A4425859-192B-478C-A2AA-BFB58207FFC6}</author>
  </authors>
  <commentList>
    <comment ref="H43" authorId="0" shapeId="0" xr:uid="{690176EA-5F06-4F30-B8A6-206AB8A10730}">
      <text>
        <t>[Threaded comment]
Your version of Excel allows you to read this threaded comment; however, any edits to it will get removed if the file is opened in a newer version of Excel. Learn more: https://go.microsoft.com/fwlink/?linkid=870924
Comment:
    This amount should be the sum of the 3% base growth, new construction, annexations, and expiring urban renewal growth minus the amount of growth being taken.
Reply:
    If the district is increasing their maximum budget by recovering forgone this year but not requesting the maximum allowable budget, this box will highlight red. The maximum should not be increased unless that is necessary for the budget request.</t>
      </text>
    </comment>
    <comment ref="H44" authorId="1" shapeId="0" xr:uid="{A4425859-192B-478C-A2AA-BFB58207FFC6}">
      <text>
        <t>[Threaded comment]
Your version of Excel allows you to read this threaded comment; however, any edits to it will get removed if the file is opened in a newer version of Excel. Learn more: https://go.microsoft.com/fwlink/?linkid=870924
Comment:
    If there is an amount in the box below, this box should be blank (the box below expands your budget growth this year and this amount reserves excess growth for the future; there should not be excess growth to reserve for the future if extra budget growth is needed via recovering forgone).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tc={70B03B8F-B9E6-403B-81ED-2A9F24E5BCFA}</author>
  </authors>
  <commentList>
    <comment ref="C1" authorId="0" shapeId="0" xr:uid="{70B03B8F-B9E6-403B-81ED-2A9F24E5BCFA}">
      <text>
        <t>[Threaded comment]
Your version of Excel allows you to read this threaded comment; however, any edits to it will get removed if the file is opened in a newer version of Excel. Learn more: https://go.microsoft.com/fwlink/?linkid=870924
Comment:
    CommonKey without the county indicator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tc={5DC5CC06-DB44-44B8-80CC-269767E7920A}</author>
  </authors>
  <commentList>
    <comment ref="C11" authorId="0" shapeId="0" xr:uid="{5DC5CC06-DB44-44B8-80CC-269767E7920A}">
      <text>
        <t>[Threaded comment]
Your version of Excel allows you to read this threaded comment; however, any edits to it will get removed if the file is opened in a newer version of Excel. Learn more: https://go.microsoft.com/fwlink/?linkid=870924
Comment:
    This needs to include Operating Property Value from current year (if applicable).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tc={76645000-23E0-4AC3-B75A-9B50D7216AE2}</author>
  </authors>
  <commentList>
    <comment ref="B46" authorId="0" shapeId="0" xr:uid="{76645000-23E0-4AC3-B75A-9B50D7216AE2}">
      <text>
        <t>[Threaded comment]
Your version of Excel allows you to read this threaded comment; however, any edits to it will get removed if the file is opened in a newer version of Excel. Learn more: https://go.microsoft.com/fwlink/?linkid=870924
Comment:
    KwH/Therm taxes are apportioned based on 2025 property tax levies and these apportionments are required to be adjusted for expiring bonds.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<sst xmlns="http://schemas.openxmlformats.org/spreadsheetml/2006/main" count="6876" uniqueCount="1392">
  <si>
    <t>Value</t>
  </si>
  <si>
    <t>District Name:</t>
  </si>
  <si>
    <t>(21)</t>
  </si>
  <si>
    <t>(20)</t>
  </si>
  <si>
    <t>(19)</t>
  </si>
  <si>
    <t>(18)</t>
  </si>
  <si>
    <t>(17)</t>
  </si>
  <si>
    <t>(16)</t>
  </si>
  <si>
    <t>(15)</t>
  </si>
  <si>
    <t>(14)</t>
  </si>
  <si>
    <t>(12)</t>
  </si>
  <si>
    <t>(11)</t>
  </si>
  <si>
    <t>(10)</t>
  </si>
  <si>
    <t>(9)</t>
  </si>
  <si>
    <t>(8)</t>
  </si>
  <si>
    <t>(7)</t>
  </si>
  <si>
    <t>(6)</t>
  </si>
  <si>
    <t>(5)</t>
  </si>
  <si>
    <t>(4)</t>
  </si>
  <si>
    <t>(3)</t>
  </si>
  <si>
    <t>(2)</t>
  </si>
  <si>
    <t>(1)</t>
  </si>
  <si>
    <t>(4a)</t>
  </si>
  <si>
    <t>(4b)</t>
  </si>
  <si>
    <t>(4c)</t>
  </si>
  <si>
    <t>(4d)</t>
  </si>
  <si>
    <t>1st Calendar Year Levied</t>
  </si>
  <si>
    <t>Date</t>
  </si>
  <si>
    <t>Title</t>
  </si>
  <si>
    <t>Signature of District Representative</t>
  </si>
  <si>
    <t>Column Total:</t>
  </si>
  <si>
    <t>Fund</t>
  </si>
  <si>
    <t>Contact Name and Mailing Address</t>
  </si>
  <si>
    <t>Email Address</t>
  </si>
  <si>
    <t>Phone Number (###) ###-### EXT ###</t>
  </si>
  <si>
    <t>Fax Number (###) ###-###</t>
  </si>
  <si>
    <t>I certify that the amounts shown above accurately reflect the budget being certified in accordance with the provisions of I.C. §63-803.
To the best of my knowledge, this district has established and adopted this budget in accordance with all provisions of Idaho Law.</t>
  </si>
  <si>
    <t>Fund Name</t>
  </si>
  <si>
    <t>Term of Initiative</t>
  </si>
  <si>
    <t>Annual Amount Authorized by Voters</t>
  </si>
  <si>
    <t>Plant Facilities (Maximum of 10 yrs)</t>
  </si>
  <si>
    <t>If voters approved an increase in the annual amount but did not change the term enter the amount of increase here:</t>
  </si>
  <si>
    <t>District Bond Initiative (Voter Approved Bonds)</t>
  </si>
  <si>
    <t>Amount Authorized by Voters</t>
  </si>
  <si>
    <t>Prior Year 
P-Tax $</t>
  </si>
  <si>
    <t>Current Year
P-Tax $</t>
  </si>
  <si>
    <t xml:space="preserve">Current Year's Total Bond Fund (Reported on L-2 Col. 6):  </t>
  </si>
  <si>
    <t>Explanation (If Required):</t>
  </si>
  <si>
    <t>Date of Election
(If current year attach copy of Ballot)</t>
  </si>
  <si>
    <t>Date of Election</t>
  </si>
  <si>
    <t>(If current year, attach copy of Ballot)</t>
  </si>
  <si>
    <t>% Change
(+/- 20% Explan-
ation Required)</t>
  </si>
  <si>
    <t>"YES" = Explanation 
Required</t>
  </si>
  <si>
    <t>County</t>
  </si>
  <si>
    <t>Total Value:</t>
  </si>
  <si>
    <t>Levy Calculation Area</t>
  </si>
  <si>
    <t>Levy Rate</t>
  </si>
  <si>
    <t>Maximum Levy Rate</t>
  </si>
  <si>
    <t>"Over Max"</t>
  </si>
  <si>
    <t>(the "L-2 Worksheet" and applicable "Voter Approved Fund Tracker" and budget publication must be attached)</t>
  </si>
  <si>
    <t>Balance to be levied
Col. 2 minus (Cols. 3+4+5)</t>
  </si>
  <si>
    <t>Total Approved
Budget*</t>
  </si>
  <si>
    <t>*Do not include revenue allocated to urban renewal agencies</t>
  </si>
  <si>
    <t>::</t>
  </si>
  <si>
    <t>(22)</t>
  </si>
  <si>
    <t>(23)</t>
  </si>
  <si>
    <t>School</t>
  </si>
  <si>
    <t>City</t>
  </si>
  <si>
    <t>County Road &amp; Bridge</t>
  </si>
  <si>
    <t>General</t>
  </si>
  <si>
    <t>Highway</t>
  </si>
  <si>
    <t>Hospital</t>
  </si>
  <si>
    <t>County Name:</t>
  </si>
  <si>
    <t>District's Name:</t>
  </si>
  <si>
    <t>Column Subtotal:</t>
  </si>
  <si>
    <t>Exempt Funds</t>
  </si>
  <si>
    <t>Total</t>
  </si>
  <si>
    <t>County w/ Countywide Road &amp; Bridge</t>
  </si>
  <si>
    <t>Subtotal</t>
  </si>
  <si>
    <t>Power</t>
  </si>
  <si>
    <t>Ada County</t>
  </si>
  <si>
    <t>West Ada School #2</t>
  </si>
  <si>
    <t>Ada County Ambulance</t>
  </si>
  <si>
    <t>Dry Creek Cemetery</t>
  </si>
  <si>
    <t>Joplin Cemetery</t>
  </si>
  <si>
    <t>Kuna Cemetery</t>
  </si>
  <si>
    <t>Melba Cemetery</t>
  </si>
  <si>
    <t>Meridian Cemetery</t>
  </si>
  <si>
    <t>Star Cemetery</t>
  </si>
  <si>
    <t>Flood Control #10</t>
  </si>
  <si>
    <t>Ada County Library</t>
  </si>
  <si>
    <t>Kuna Library</t>
  </si>
  <si>
    <t>Meridian Library</t>
  </si>
  <si>
    <t>Western Ada Recreation</t>
  </si>
  <si>
    <t>Adams County</t>
  </si>
  <si>
    <t>Bear Creek Cemetery</t>
  </si>
  <si>
    <t>Flood Control #3</t>
  </si>
  <si>
    <t>Council Valley Library</t>
  </si>
  <si>
    <t>Bannock County</t>
  </si>
  <si>
    <t>City of Arimo</t>
  </si>
  <si>
    <t>City of Chubbuck</t>
  </si>
  <si>
    <t>City of Downey</t>
  </si>
  <si>
    <t>City of Inkom</t>
  </si>
  <si>
    <t>City of Lava Hot Springs</t>
  </si>
  <si>
    <t>City of McCammon</t>
  </si>
  <si>
    <t>City of Pocatello</t>
  </si>
  <si>
    <t>Arimo Cemetery</t>
  </si>
  <si>
    <t>Inkom Cemetery</t>
  </si>
  <si>
    <t>Lava Cemetery</t>
  </si>
  <si>
    <t>Marsh Valley Cemetery</t>
  </si>
  <si>
    <t>McCammon Cemetery</t>
  </si>
  <si>
    <t>Swan Lake Cemetery</t>
  </si>
  <si>
    <t>Portneuf Library</t>
  </si>
  <si>
    <t>Bear Lake County</t>
  </si>
  <si>
    <t>City of Bloomington</t>
  </si>
  <si>
    <t>City of Georgetown</t>
  </si>
  <si>
    <t>City of Montpelier</t>
  </si>
  <si>
    <t>City of Paris</t>
  </si>
  <si>
    <t>Bennington Cemetery</t>
  </si>
  <si>
    <t>Bern Cemetery</t>
  </si>
  <si>
    <t>Bloomington Cemetery</t>
  </si>
  <si>
    <t>Dingle Cemetery</t>
  </si>
  <si>
    <t>Fish Haven Cemetery</t>
  </si>
  <si>
    <t>Geneva Cemetery</t>
  </si>
  <si>
    <t>Lanark Cemetery</t>
  </si>
  <si>
    <t>Liberty Cemetery</t>
  </si>
  <si>
    <t>Ovid Cemetery</t>
  </si>
  <si>
    <t>St. Charles Cemetery</t>
  </si>
  <si>
    <t>Wardboro Cemetery</t>
  </si>
  <si>
    <t>Bear River Abatement</t>
  </si>
  <si>
    <t>Benewah County</t>
  </si>
  <si>
    <t>City of Plummer</t>
  </si>
  <si>
    <t>City of Tensed</t>
  </si>
  <si>
    <t>Bingham County</t>
  </si>
  <si>
    <t>City of Aberdeen</t>
  </si>
  <si>
    <t>City of Basalt</t>
  </si>
  <si>
    <t>City of Blackfoot</t>
  </si>
  <si>
    <t>City of Firth</t>
  </si>
  <si>
    <t>City of Shelley</t>
  </si>
  <si>
    <t>Aberdeen Cemetery</t>
  </si>
  <si>
    <t>Basalt-Goshen-Firth Cemetery</t>
  </si>
  <si>
    <t>Groveland Cemetery</t>
  </si>
  <si>
    <t>Moreland Cemetery</t>
  </si>
  <si>
    <t>Riverside-Thomas Cemetery</t>
  </si>
  <si>
    <t>Shelley Cemetery</t>
  </si>
  <si>
    <t>Springfield-Sterling Cemetery</t>
  </si>
  <si>
    <t>Taylor Cemetery</t>
  </si>
  <si>
    <t>Woodville Cemetery</t>
  </si>
  <si>
    <t>Flood Control #1</t>
  </si>
  <si>
    <t>Flood Control #7</t>
  </si>
  <si>
    <t>Aberdeen Library</t>
  </si>
  <si>
    <t>Snake River Library</t>
  </si>
  <si>
    <t>Mosquito Abatement</t>
  </si>
  <si>
    <t>Sewer &amp; Water</t>
  </si>
  <si>
    <t>Blaine County</t>
  </si>
  <si>
    <t>City of Bellevue</t>
  </si>
  <si>
    <t>City of Carey</t>
  </si>
  <si>
    <t>City of Hailey</t>
  </si>
  <si>
    <t>City of Ketchum</t>
  </si>
  <si>
    <t>City of Sun Valley</t>
  </si>
  <si>
    <t>Blaine County Ambulance</t>
  </si>
  <si>
    <t>Bellevue Cemetery</t>
  </si>
  <si>
    <t>Carey Cemetery</t>
  </si>
  <si>
    <t>Hailey Cemetery</t>
  </si>
  <si>
    <t>Ketchum Cemetery</t>
  </si>
  <si>
    <t>Picabo Cemetery</t>
  </si>
  <si>
    <t>Big Wood Flood Control #9</t>
  </si>
  <si>
    <t>Boise County</t>
  </si>
  <si>
    <t>City of Horseshoe Bend</t>
  </si>
  <si>
    <t>City of Idaho City</t>
  </si>
  <si>
    <t>City of Placerville</t>
  </si>
  <si>
    <t>Pioneer Cemetery</t>
  </si>
  <si>
    <t>Garden Valley Hospital</t>
  </si>
  <si>
    <t>Horseshoe Bend Hospital</t>
  </si>
  <si>
    <t>Boise Basin Library</t>
  </si>
  <si>
    <t>Garden Valley Library</t>
  </si>
  <si>
    <t>Horseshoe Bend Library</t>
  </si>
  <si>
    <t>Bonner County</t>
  </si>
  <si>
    <t>City of Clark Fork</t>
  </si>
  <si>
    <t>City of Dover</t>
  </si>
  <si>
    <t>City of East Hope</t>
  </si>
  <si>
    <t>City of Hope</t>
  </si>
  <si>
    <t>City of Kootenai</t>
  </si>
  <si>
    <t>City of Oldtown</t>
  </si>
  <si>
    <t>City of Ponderay</t>
  </si>
  <si>
    <t>City of Priest River</t>
  </si>
  <si>
    <t>City of Sandpoint</t>
  </si>
  <si>
    <t>West Bonner Cemetery</t>
  </si>
  <si>
    <t>Pend Oreille Hospital</t>
  </si>
  <si>
    <t>East Bonner Library</t>
  </si>
  <si>
    <t>Priest Lake Library</t>
  </si>
  <si>
    <t>West Bonner Library</t>
  </si>
  <si>
    <t>Selkirk Recreation</t>
  </si>
  <si>
    <t>Bonneville County</t>
  </si>
  <si>
    <t>City of Ammon</t>
  </si>
  <si>
    <t>City of Idaho Falls</t>
  </si>
  <si>
    <t>City of Iona</t>
  </si>
  <si>
    <t>City of Ririe</t>
  </si>
  <si>
    <t>City of Swan Valley</t>
  </si>
  <si>
    <t>City of Ucon</t>
  </si>
  <si>
    <t>Ambulance</t>
  </si>
  <si>
    <t>Ammon Cemetery</t>
  </si>
  <si>
    <t>Freedom Cemetery</t>
  </si>
  <si>
    <t>Iona Cemetery</t>
  </si>
  <si>
    <t>Milo Cemetery</t>
  </si>
  <si>
    <t>New Sweden Cemetery</t>
  </si>
  <si>
    <t>Shelton Cemetery #4</t>
  </si>
  <si>
    <t>Swan Valley Cemetery</t>
  </si>
  <si>
    <t>Ucon Cemetery</t>
  </si>
  <si>
    <t>Junior College</t>
  </si>
  <si>
    <t>Boundary County</t>
  </si>
  <si>
    <t>Butte County</t>
  </si>
  <si>
    <t>City of Arco</t>
  </si>
  <si>
    <t>City of Moore</t>
  </si>
  <si>
    <t>Little Lost River Watershed</t>
  </si>
  <si>
    <t>Camas County</t>
  </si>
  <si>
    <t>City of Fairfield</t>
  </si>
  <si>
    <t>Canyon County</t>
  </si>
  <si>
    <t>City of Caldwell</t>
  </si>
  <si>
    <t>City of Greenleaf</t>
  </si>
  <si>
    <t>City of Melba</t>
  </si>
  <si>
    <t>City of Middleton</t>
  </si>
  <si>
    <t>City of Nampa</t>
  </si>
  <si>
    <t>City of Notus</t>
  </si>
  <si>
    <t>City of Parma</t>
  </si>
  <si>
    <t>City of Star</t>
  </si>
  <si>
    <t>City of Wilder</t>
  </si>
  <si>
    <t>Canyon County Ambulance</t>
  </si>
  <si>
    <t>Greenleaf Cemetery</t>
  </si>
  <si>
    <t>Lower Boise Cemetery</t>
  </si>
  <si>
    <t>Middleton Cemetery</t>
  </si>
  <si>
    <t>Parma Cemetery</t>
  </si>
  <si>
    <t>Pleasant Ridge Cemetery</t>
  </si>
  <si>
    <t>Roswell Cemetery</t>
  </si>
  <si>
    <t>Wilder Cemetery</t>
  </si>
  <si>
    <t>Caldwell Fire</t>
  </si>
  <si>
    <t>Homedale Fire</t>
  </si>
  <si>
    <t>Marsing Fire</t>
  </si>
  <si>
    <t>Melba Fire</t>
  </si>
  <si>
    <t>Middleton Fire</t>
  </si>
  <si>
    <t>Parma Fire</t>
  </si>
  <si>
    <t>Star Fire</t>
  </si>
  <si>
    <t>Upper Deer Flat Fire</t>
  </si>
  <si>
    <t>Wilder Fire</t>
  </si>
  <si>
    <t>Flood Control #11</t>
  </si>
  <si>
    <t>Golden Gate Highway #3</t>
  </si>
  <si>
    <t>Nampa Highway #1</t>
  </si>
  <si>
    <t>Notus Parma Highway #2</t>
  </si>
  <si>
    <t>Lizard Butte Library</t>
  </si>
  <si>
    <t>Canyon County Pest Control</t>
  </si>
  <si>
    <t>Melba Gopher</t>
  </si>
  <si>
    <t>Ten Davis Recreation</t>
  </si>
  <si>
    <t>Caribou County</t>
  </si>
  <si>
    <t>City of Bancroft</t>
  </si>
  <si>
    <t>City of Grace</t>
  </si>
  <si>
    <t>City of Soda Springs</t>
  </si>
  <si>
    <t>Bancroft Cemetery</t>
  </si>
  <si>
    <t>Central Cemetery</t>
  </si>
  <si>
    <t>Grace Cemetery</t>
  </si>
  <si>
    <t>Lago Cemetery</t>
  </si>
  <si>
    <t>Lund Cemetery</t>
  </si>
  <si>
    <t>Thatcher Cemetery</t>
  </si>
  <si>
    <t>Turner Cemetery</t>
  </si>
  <si>
    <t>Grace Library</t>
  </si>
  <si>
    <t>Cassia County</t>
  </si>
  <si>
    <t>City of Albion</t>
  </si>
  <si>
    <t>City of Burley</t>
  </si>
  <si>
    <t>City of Declo</t>
  </si>
  <si>
    <t>City of Malta</t>
  </si>
  <si>
    <t>City of Oakley</t>
  </si>
  <si>
    <t>Albion Cemetery</t>
  </si>
  <si>
    <t>Declo Cemetery</t>
  </si>
  <si>
    <t>Pella Cemetery</t>
  </si>
  <si>
    <t>Sublett Cemetery</t>
  </si>
  <si>
    <t>View Cemetery</t>
  </si>
  <si>
    <t>Raft River Flood Control #15</t>
  </si>
  <si>
    <t>Goose Creek Flood Control #16</t>
  </si>
  <si>
    <t>Almo Recreation</t>
  </si>
  <si>
    <t>Oakley Recreation</t>
  </si>
  <si>
    <t>Clark County</t>
  </si>
  <si>
    <t>City of Dubois</t>
  </si>
  <si>
    <t>City of Spencer</t>
  </si>
  <si>
    <t>Clark County Cemetery</t>
  </si>
  <si>
    <t>Clark County Library</t>
  </si>
  <si>
    <t>Clearwater County</t>
  </si>
  <si>
    <t>City of Elk River</t>
  </si>
  <si>
    <t>City of Orofino</t>
  </si>
  <si>
    <t>City of Pierce</t>
  </si>
  <si>
    <t>City of Weippe</t>
  </si>
  <si>
    <t>Fraser Community Center</t>
  </si>
  <si>
    <t>Fraser Cemetery</t>
  </si>
  <si>
    <t>Gilbert Cemetery</t>
  </si>
  <si>
    <t>Pierce Cemetery</t>
  </si>
  <si>
    <t>Sanders Cemetery</t>
  </si>
  <si>
    <t>Southwick Cemetery</t>
  </si>
  <si>
    <t>Weippe Cemetery</t>
  </si>
  <si>
    <t>Elk River Library</t>
  </si>
  <si>
    <t>Pierce Library</t>
  </si>
  <si>
    <t>Custer County</t>
  </si>
  <si>
    <t>City of Challis</t>
  </si>
  <si>
    <t>City of Mackay</t>
  </si>
  <si>
    <t>City of Stanley</t>
  </si>
  <si>
    <t>Big Lost River Cemetery</t>
  </si>
  <si>
    <t>Challis Cemetery</t>
  </si>
  <si>
    <t>Salmon River Clinic</t>
  </si>
  <si>
    <t>Stanley Community Library</t>
  </si>
  <si>
    <t>Elmore County</t>
  </si>
  <si>
    <t>City of Glenns Ferry</t>
  </si>
  <si>
    <t>City of Mountain Home</t>
  </si>
  <si>
    <t>Elmore County Ambulance</t>
  </si>
  <si>
    <t>Atlanta Highway</t>
  </si>
  <si>
    <t>Elmore Medical Center</t>
  </si>
  <si>
    <t>Prairie Library</t>
  </si>
  <si>
    <t>Franklin County</t>
  </si>
  <si>
    <t>City of Clifton</t>
  </si>
  <si>
    <t>City of Dayton</t>
  </si>
  <si>
    <t>City of Franklin</t>
  </si>
  <si>
    <t>City of Preston</t>
  </si>
  <si>
    <t>City of Weston</t>
  </si>
  <si>
    <t>Cleveland Cemetery</t>
  </si>
  <si>
    <t>Clifton Cemetery</t>
  </si>
  <si>
    <t>Dayton Cemetery</t>
  </si>
  <si>
    <t>Franklin Cemetery</t>
  </si>
  <si>
    <t>Mapleton Cemetery</t>
  </si>
  <si>
    <t>Mink Creek Cemetery</t>
  </si>
  <si>
    <t>Preston Cemetery</t>
  </si>
  <si>
    <t>Riverdale Cemetery</t>
  </si>
  <si>
    <t>Treasureton Cemetery</t>
  </si>
  <si>
    <t>Weston Cemetery</t>
  </si>
  <si>
    <t>Whitney Cemetery</t>
  </si>
  <si>
    <t>Fremont County</t>
  </si>
  <si>
    <t>City of Ashton</t>
  </si>
  <si>
    <t>City of Drummond</t>
  </si>
  <si>
    <t>City of Island Park</t>
  </si>
  <si>
    <t>City of Newdale</t>
  </si>
  <si>
    <t>City of Parker</t>
  </si>
  <si>
    <t>City of St Anthony</t>
  </si>
  <si>
    <t>City of Teton</t>
  </si>
  <si>
    <t>Gem County</t>
  </si>
  <si>
    <t>City of Emmett</t>
  </si>
  <si>
    <t>Ola Cemetery</t>
  </si>
  <si>
    <t>Sweet-Montour Cemetery</t>
  </si>
  <si>
    <t>Eagle Fire</t>
  </si>
  <si>
    <t>Ola Library</t>
  </si>
  <si>
    <t>Gooding County</t>
  </si>
  <si>
    <t>City of Bliss</t>
  </si>
  <si>
    <t>City of Gooding</t>
  </si>
  <si>
    <t>City of Hagerman</t>
  </si>
  <si>
    <t>City of Wendell</t>
  </si>
  <si>
    <t>Gooding County Ambulance</t>
  </si>
  <si>
    <t>Gooding Cemetery</t>
  </si>
  <si>
    <t>Hagerman Cemetery</t>
  </si>
  <si>
    <t>Wendell Cemetery</t>
  </si>
  <si>
    <t>Bliss Highway #2</t>
  </si>
  <si>
    <t>Gooding Highway #1</t>
  </si>
  <si>
    <t>Hagerman Highway #3</t>
  </si>
  <si>
    <t>Wendell Highway #6</t>
  </si>
  <si>
    <t>West Point Highway #4</t>
  </si>
  <si>
    <t>Gooding Public Library</t>
  </si>
  <si>
    <t>Gooding Recreation</t>
  </si>
  <si>
    <t>Wendell Recreation</t>
  </si>
  <si>
    <t>Idaho County</t>
  </si>
  <si>
    <t>City of Cottonwood</t>
  </si>
  <si>
    <t>City of Ferdinand</t>
  </si>
  <si>
    <t>City of Grangeville</t>
  </si>
  <si>
    <t>City of Kooskia</t>
  </si>
  <si>
    <t>City of Riggins</t>
  </si>
  <si>
    <t>City of Stites</t>
  </si>
  <si>
    <t>Clearwater Cemetery</t>
  </si>
  <si>
    <t>Cottonwood Cemetery</t>
  </si>
  <si>
    <t>Ferdinand Cemetery</t>
  </si>
  <si>
    <t>Grangeville Cemetery</t>
  </si>
  <si>
    <t>Kamiah Cemetery</t>
  </si>
  <si>
    <t>Keuterville Cemetery</t>
  </si>
  <si>
    <t>Pine Grove Cemetery</t>
  </si>
  <si>
    <t>Riggins Cemetery</t>
  </si>
  <si>
    <t>Whitebird Cemetery</t>
  </si>
  <si>
    <t>Winona Cemetery</t>
  </si>
  <si>
    <t>Woodland Cemetery</t>
  </si>
  <si>
    <t>Cottonwood Fire</t>
  </si>
  <si>
    <t>Grangeville Fire</t>
  </si>
  <si>
    <t>Harpster Fire</t>
  </si>
  <si>
    <t>Kamiah Fire</t>
  </si>
  <si>
    <t>Flood Control #6</t>
  </si>
  <si>
    <t>Cottonwood Highway</t>
  </si>
  <si>
    <t>Ferdinand Highway</t>
  </si>
  <si>
    <t>Grangeville Highway</t>
  </si>
  <si>
    <t>Greencreek Highway</t>
  </si>
  <si>
    <t>Syringa Hospital</t>
  </si>
  <si>
    <t>Jefferson County</t>
  </si>
  <si>
    <t>City of Lewisville</t>
  </si>
  <si>
    <t>City of Menan</t>
  </si>
  <si>
    <t>City of Mud Lake</t>
  </si>
  <si>
    <t>City of Rigby</t>
  </si>
  <si>
    <t>City of Roberts</t>
  </si>
  <si>
    <t>Central Cemetery #2</t>
  </si>
  <si>
    <t>Flood Control #5</t>
  </si>
  <si>
    <t>Jerome County</t>
  </si>
  <si>
    <t>City of Eden</t>
  </si>
  <si>
    <t>City of Hazelton</t>
  </si>
  <si>
    <t>City of Jerome</t>
  </si>
  <si>
    <t>Lifeline Ambulance</t>
  </si>
  <si>
    <t>Hazelton Cemetery</t>
  </si>
  <si>
    <t>Valley Recreation</t>
  </si>
  <si>
    <t>Kootenai County</t>
  </si>
  <si>
    <t>City of Athol</t>
  </si>
  <si>
    <t>City of Coeur d'Alene</t>
  </si>
  <si>
    <t>City of Dalton Gardens</t>
  </si>
  <si>
    <t>City of Fernan Lake</t>
  </si>
  <si>
    <t>City of Harrison</t>
  </si>
  <si>
    <t>City of Hauser Lake</t>
  </si>
  <si>
    <t>City of Hayden</t>
  </si>
  <si>
    <t>City of Hayden Lake</t>
  </si>
  <si>
    <t>City of Huetter</t>
  </si>
  <si>
    <t>City of Post Falls</t>
  </si>
  <si>
    <t>City of Rathdrum</t>
  </si>
  <si>
    <t>City of Spirit Lake</t>
  </si>
  <si>
    <t>City of Worley</t>
  </si>
  <si>
    <t>Eastside Fire</t>
  </si>
  <si>
    <t>Hauser Lake Fire</t>
  </si>
  <si>
    <t>Northern Lakes Fire</t>
  </si>
  <si>
    <t>Spirit Lake Fire</t>
  </si>
  <si>
    <t>St. Maries Fire</t>
  </si>
  <si>
    <t>Timberlake Fire</t>
  </si>
  <si>
    <t>Worley Fire</t>
  </si>
  <si>
    <t>Post Falls Highway #1</t>
  </si>
  <si>
    <t>Lakes Highway #2</t>
  </si>
  <si>
    <t>Worley Highway #4</t>
  </si>
  <si>
    <t>Community Library Network Bond</t>
  </si>
  <si>
    <t>Cleland Bay Sewer</t>
  </si>
  <si>
    <t>Kingston Cataldo Sewer</t>
  </si>
  <si>
    <t>Cataldo Water</t>
  </si>
  <si>
    <t>Kootenai Water #1</t>
  </si>
  <si>
    <t>Latah County</t>
  </si>
  <si>
    <t>City of Bovill</t>
  </si>
  <si>
    <t>City of Deary</t>
  </si>
  <si>
    <t>City of Genesee</t>
  </si>
  <si>
    <t>City of Juliaetta</t>
  </si>
  <si>
    <t>City of Kendrick</t>
  </si>
  <si>
    <t>City of Moscow</t>
  </si>
  <si>
    <t>City of Potlatch</t>
  </si>
  <si>
    <t>City of Troy</t>
  </si>
  <si>
    <t>Freeze Cemetery</t>
  </si>
  <si>
    <t>Genesee Cemetery</t>
  </si>
  <si>
    <t>Moscow Cemetery</t>
  </si>
  <si>
    <t>Mountain View Cemetery</t>
  </si>
  <si>
    <t>Nez-Tah Cemetery</t>
  </si>
  <si>
    <t>Troy Cemetery</t>
  </si>
  <si>
    <t>Deary Recreation</t>
  </si>
  <si>
    <t>Genesee Recreation</t>
  </si>
  <si>
    <t>Potlatch Recreation</t>
  </si>
  <si>
    <t>Troy Recreation</t>
  </si>
  <si>
    <t>Lemhi County</t>
  </si>
  <si>
    <t>City of Leadore</t>
  </si>
  <si>
    <t>City of Salmon</t>
  </si>
  <si>
    <t>Elk Bend Sewer</t>
  </si>
  <si>
    <t>Williams Lake S/W</t>
  </si>
  <si>
    <t>Arrowhead Water</t>
  </si>
  <si>
    <t>Lewis County</t>
  </si>
  <si>
    <t>City of Craigmont</t>
  </si>
  <si>
    <t>City of Kamiah</t>
  </si>
  <si>
    <t>City of Reubens</t>
  </si>
  <si>
    <t>City of Winchester</t>
  </si>
  <si>
    <t>Reubens Cemetery</t>
  </si>
  <si>
    <t>Winchester Fire</t>
  </si>
  <si>
    <t>Lincoln County</t>
  </si>
  <si>
    <t>City of Dietrich</t>
  </si>
  <si>
    <t>City of Richfield</t>
  </si>
  <si>
    <t>City of Shoshone</t>
  </si>
  <si>
    <t>Lincoln County Ambulance</t>
  </si>
  <si>
    <t>Dietrich Cemetery</t>
  </si>
  <si>
    <t>Richfield Cemetery</t>
  </si>
  <si>
    <t>Dietrich Highway #5</t>
  </si>
  <si>
    <t>Kimama Highway #6</t>
  </si>
  <si>
    <t>Richfield Highway #3</t>
  </si>
  <si>
    <t>Shoshone Highway #2</t>
  </si>
  <si>
    <t>Richfield Library</t>
  </si>
  <si>
    <t>Madison County</t>
  </si>
  <si>
    <t>City of Rexburg</t>
  </si>
  <si>
    <t>City of Sugar City</t>
  </si>
  <si>
    <t>Madison Ambulance</t>
  </si>
  <si>
    <t>Burton Cemetery</t>
  </si>
  <si>
    <t>Plano Cemetery</t>
  </si>
  <si>
    <t>Rexburg Cemetery</t>
  </si>
  <si>
    <t>Sugar City Cemetery</t>
  </si>
  <si>
    <t>Sutton Cemetery</t>
  </si>
  <si>
    <t>Teton-Newdale Cemetery</t>
  </si>
  <si>
    <t>Minidoka County</t>
  </si>
  <si>
    <t>City of Acequia</t>
  </si>
  <si>
    <t>City of Heyburn</t>
  </si>
  <si>
    <t>City of Minidoka</t>
  </si>
  <si>
    <t>City of Paul</t>
  </si>
  <si>
    <t>City of Rupert</t>
  </si>
  <si>
    <t>Nez Perce County</t>
  </si>
  <si>
    <t>City of Culdesac</t>
  </si>
  <si>
    <t>City of Lapwai</t>
  </si>
  <si>
    <t>City of Lewiston</t>
  </si>
  <si>
    <t>City of Peck</t>
  </si>
  <si>
    <t>Gifford Cemetery</t>
  </si>
  <si>
    <t>Melrose Cemetery</t>
  </si>
  <si>
    <t>Potlatch Cemetery</t>
  </si>
  <si>
    <t>Arrow Junction Fire</t>
  </si>
  <si>
    <t>Oneida County</t>
  </si>
  <si>
    <t>City of Malad</t>
  </si>
  <si>
    <t>Holbrook Cemetery</t>
  </si>
  <si>
    <t>Samaria Cemetery</t>
  </si>
  <si>
    <t>St. John Cemetery</t>
  </si>
  <si>
    <t>Holbrook Recreation</t>
  </si>
  <si>
    <t>Samaria Recreation</t>
  </si>
  <si>
    <t>Owyhee County</t>
  </si>
  <si>
    <t>City of Grandview</t>
  </si>
  <si>
    <t>City of Homedale</t>
  </si>
  <si>
    <t>City of Marsing</t>
  </si>
  <si>
    <t>Bruneau Cemetery</t>
  </si>
  <si>
    <t>Marsing-Homedale Cemetery</t>
  </si>
  <si>
    <t>Owyhee-Pioneer Cemetery</t>
  </si>
  <si>
    <t>Bruneau Valley Library</t>
  </si>
  <si>
    <t>Eastern Owyhee Library</t>
  </si>
  <si>
    <t>Payette County</t>
  </si>
  <si>
    <t>City of Fruitland</t>
  </si>
  <si>
    <t>City of New Plymouth</t>
  </si>
  <si>
    <t>City of Payette</t>
  </si>
  <si>
    <t>Parkview Cemetery</t>
  </si>
  <si>
    <t>New Plymouth Fire</t>
  </si>
  <si>
    <t>Sand Hollow Fire</t>
  </si>
  <si>
    <t>Power County</t>
  </si>
  <si>
    <t>City of American Falls</t>
  </si>
  <si>
    <t>City of Rockland</t>
  </si>
  <si>
    <t>Falls View Cemetery</t>
  </si>
  <si>
    <t>American Falls Library</t>
  </si>
  <si>
    <t>Rockland Library</t>
  </si>
  <si>
    <t>Shoshone County</t>
  </si>
  <si>
    <t>City of Kellogg</t>
  </si>
  <si>
    <t>City of Mullan</t>
  </si>
  <si>
    <t>City of Osburn</t>
  </si>
  <si>
    <t>City of Pinehurst</t>
  </si>
  <si>
    <t>City of Smelterville</t>
  </si>
  <si>
    <t>City of Wallace</t>
  </si>
  <si>
    <t>City of Wardner</t>
  </si>
  <si>
    <t>Fernwood Fire</t>
  </si>
  <si>
    <t>Shoshone Fire #1</t>
  </si>
  <si>
    <t>West Shoshone Hospital</t>
  </si>
  <si>
    <t>Teton County</t>
  </si>
  <si>
    <t>City of Driggs</t>
  </si>
  <si>
    <t>City of Tetonia</t>
  </si>
  <si>
    <t>City of Victor</t>
  </si>
  <si>
    <t>Bates Cemetery</t>
  </si>
  <si>
    <t>Haden Cemetery</t>
  </si>
  <si>
    <t>Victor-Cedron Cemetery</t>
  </si>
  <si>
    <t>Teton Creek F/C #18</t>
  </si>
  <si>
    <t>Twin Falls County</t>
  </si>
  <si>
    <t>City of Buhl</t>
  </si>
  <si>
    <t>City of Castleford</t>
  </si>
  <si>
    <t>City of Filer</t>
  </si>
  <si>
    <t>City of Hansen</t>
  </si>
  <si>
    <t>City of Hollister</t>
  </si>
  <si>
    <t>City of Kimberly</t>
  </si>
  <si>
    <t>City of Murtaugh</t>
  </si>
  <si>
    <t>City of Twin Falls</t>
  </si>
  <si>
    <t>West End Cemetery</t>
  </si>
  <si>
    <t>Bliss Fire</t>
  </si>
  <si>
    <t>Hansen Library</t>
  </si>
  <si>
    <t>Filer Recreation</t>
  </si>
  <si>
    <t>Castleford Recreation</t>
  </si>
  <si>
    <t>Valley County</t>
  </si>
  <si>
    <t>City of Cascade</t>
  </si>
  <si>
    <t>City of Donnelly</t>
  </si>
  <si>
    <t>City of McCall</t>
  </si>
  <si>
    <t>McCall Cemetery</t>
  </si>
  <si>
    <t>Valley Center Cemetery</t>
  </si>
  <si>
    <t>Yellow Pine Fire</t>
  </si>
  <si>
    <t>Library</t>
  </si>
  <si>
    <t>Donnelly Public Library</t>
  </si>
  <si>
    <t>Edwards Mosquito Abatement</t>
  </si>
  <si>
    <t>Washington County</t>
  </si>
  <si>
    <t>City of Cambridge</t>
  </si>
  <si>
    <t>City of Midvale</t>
  </si>
  <si>
    <t>City of Weiser</t>
  </si>
  <si>
    <t>Weiser Ambulance</t>
  </si>
  <si>
    <t>Hillcrest Cemetery</t>
  </si>
  <si>
    <t>Midvale Cemetery</t>
  </si>
  <si>
    <t>Salubria Cemetery</t>
  </si>
  <si>
    <t>Midvale Fire</t>
  </si>
  <si>
    <t>Weiser Valley Hospital</t>
  </si>
  <si>
    <t>Midvale Library</t>
  </si>
  <si>
    <t>Select County From Drop Down Menu:</t>
  </si>
  <si>
    <t>Cemetery</t>
  </si>
  <si>
    <t>Extermination</t>
  </si>
  <si>
    <t>Fire</t>
  </si>
  <si>
    <t>Flood Control</t>
  </si>
  <si>
    <t>Community Infrastructure</t>
  </si>
  <si>
    <t>Port</t>
  </si>
  <si>
    <t>Auditorium</t>
  </si>
  <si>
    <t>Recreation</t>
  </si>
  <si>
    <t>Water</t>
  </si>
  <si>
    <t>Watershed</t>
  </si>
  <si>
    <t>DistName</t>
  </si>
  <si>
    <t>Category</t>
  </si>
  <si>
    <t>Category:</t>
  </si>
  <si>
    <t>City of Boise</t>
  </si>
  <si>
    <t>City of Eagle</t>
  </si>
  <si>
    <t>City of Garden City</t>
  </si>
  <si>
    <t>City of Kuna</t>
  </si>
  <si>
    <t>City of Meridian</t>
  </si>
  <si>
    <t>Boise School #1</t>
  </si>
  <si>
    <t>Kuna School #3</t>
  </si>
  <si>
    <t>Melba School #136</t>
  </si>
  <si>
    <t>Fairview Cemetery (Ada/Canyon)</t>
  </si>
  <si>
    <t>Ada County Pest Control</t>
  </si>
  <si>
    <t>North Ada Fire &amp; Rescue</t>
  </si>
  <si>
    <t>Kuna Fire</t>
  </si>
  <si>
    <t>Meridian Fire</t>
  </si>
  <si>
    <t>Whitney Fire</t>
  </si>
  <si>
    <t>Sunset Fire</t>
  </si>
  <si>
    <t>Ada Highway</t>
  </si>
  <si>
    <t>College of Western Idaho</t>
  </si>
  <si>
    <t>S. W. Ada Abatement</t>
  </si>
  <si>
    <t>Eagle Sewer</t>
  </si>
  <si>
    <t>Star S/W</t>
  </si>
  <si>
    <t>Harris Ranch 1</t>
  </si>
  <si>
    <t>Spring Valley CID #1</t>
  </si>
  <si>
    <t>Avimor Community</t>
  </si>
  <si>
    <t>City of Council</t>
  </si>
  <si>
    <t>City of New Meadows</t>
  </si>
  <si>
    <t>Meadows Valley School #11</t>
  </si>
  <si>
    <t>Council School #13</t>
  </si>
  <si>
    <t>McCall-Donnelly School #421</t>
  </si>
  <si>
    <t>Cambridge School #432</t>
  </si>
  <si>
    <t>Salmon River School #243</t>
  </si>
  <si>
    <t>Council Valley Ambulance</t>
  </si>
  <si>
    <t>Meadows Valley Ambulance</t>
  </si>
  <si>
    <t>Council Valley Cemetery</t>
  </si>
  <si>
    <t>Indian Valley Cemetery</t>
  </si>
  <si>
    <t>Meadows Valley Cemetery</t>
  </si>
  <si>
    <t>Council Valley Fire</t>
  </si>
  <si>
    <t>Meadow Valley Fire</t>
  </si>
  <si>
    <t>Indian Valley Fire</t>
  </si>
  <si>
    <t>Meadows Valley Library</t>
  </si>
  <si>
    <t>Marsh Valley School #21</t>
  </si>
  <si>
    <t>Pocatello School #25</t>
  </si>
  <si>
    <t>Grace School #148</t>
  </si>
  <si>
    <t>Preston School #201</t>
  </si>
  <si>
    <t>Westside School #202</t>
  </si>
  <si>
    <t>Bannock Ambulance</t>
  </si>
  <si>
    <t>North Bannock Fire</t>
  </si>
  <si>
    <t>Pocatello Valley Fire</t>
  </si>
  <si>
    <t>McCammon Fire</t>
  </si>
  <si>
    <t>Downey Fire</t>
  </si>
  <si>
    <t>Jackson Creek Fire</t>
  </si>
  <si>
    <t>Lava Fire</t>
  </si>
  <si>
    <t>Arimo Fire</t>
  </si>
  <si>
    <t>Downey Swan Lake Hwy</t>
  </si>
  <si>
    <t>Bannock Cnty Rd</t>
  </si>
  <si>
    <t>S. Bannock Library</t>
  </si>
  <si>
    <t>Bannock Abatement</t>
  </si>
  <si>
    <t>City of St Charles</t>
  </si>
  <si>
    <t>Bear Lake School #33</t>
  </si>
  <si>
    <t>Soda Springs School #150</t>
  </si>
  <si>
    <t>Bailey Creek Fire</t>
  </si>
  <si>
    <t>Bear Lake Cnty Fire</t>
  </si>
  <si>
    <t>Bear Lake Cnty Rd</t>
  </si>
  <si>
    <t>Bear Lake Library</t>
  </si>
  <si>
    <t>Fish Haven Abatement</t>
  </si>
  <si>
    <t>Fish Haven Rec. Swr</t>
  </si>
  <si>
    <t>City of St Maries</t>
  </si>
  <si>
    <t>St Maries School #41</t>
  </si>
  <si>
    <t>Kootenai School #274</t>
  </si>
  <si>
    <t>Plummer/Worley School #44</t>
  </si>
  <si>
    <t>Gateway Fire</t>
  </si>
  <si>
    <t>Tensed Fire</t>
  </si>
  <si>
    <t>Emida Fire</t>
  </si>
  <si>
    <t>Plummer - Gateway Hwy</t>
  </si>
  <si>
    <t>Benewah Cnty Rd</t>
  </si>
  <si>
    <t>Benewah Library</t>
  </si>
  <si>
    <t>Fernwood S&amp;W</t>
  </si>
  <si>
    <t>Snake River School #52</t>
  </si>
  <si>
    <t>Blackfoot School #55</t>
  </si>
  <si>
    <t>Aberdeen School #58</t>
  </si>
  <si>
    <t>Firth School #59</t>
  </si>
  <si>
    <t>Shelley School #60</t>
  </si>
  <si>
    <t>Bonneville School #93</t>
  </si>
  <si>
    <t>Bingham Ambulance</t>
  </si>
  <si>
    <t>Riverview Cemetery (Bingham)</t>
  </si>
  <si>
    <t>Aberdeen Springfield Fire</t>
  </si>
  <si>
    <t>Blackfoot Snake River Fire</t>
  </si>
  <si>
    <t>Shelley Firth Fire</t>
  </si>
  <si>
    <t>Bingham Cnty Rd</t>
  </si>
  <si>
    <t>Blackfoot Library</t>
  </si>
  <si>
    <t>Bingham Abatement</t>
  </si>
  <si>
    <t>Moreland S/W</t>
  </si>
  <si>
    <t>Blaine School #61</t>
  </si>
  <si>
    <t>Carey Fire</t>
  </si>
  <si>
    <t>Minidoka County Fire</t>
  </si>
  <si>
    <t>Smiley Creek Fire</t>
  </si>
  <si>
    <t>Carey Flood #2</t>
  </si>
  <si>
    <t>Little Wood Riv. Library</t>
  </si>
  <si>
    <t>Blaine Recreation</t>
  </si>
  <si>
    <t>Sun Valley S/W</t>
  </si>
  <si>
    <t>Garden Valley School #71</t>
  </si>
  <si>
    <t>Basin School #72</t>
  </si>
  <si>
    <t>Horseshoe Bend School #73</t>
  </si>
  <si>
    <t>Emmett School #221</t>
  </si>
  <si>
    <t>Placerville Fire</t>
  </si>
  <si>
    <t>Horseshoebend Fire</t>
  </si>
  <si>
    <t>Garden Valley Fire</t>
  </si>
  <si>
    <t>Wilderness Ranch Fire</t>
  </si>
  <si>
    <t>Boise Cnty Rd</t>
  </si>
  <si>
    <t>Lakeland School #272</t>
  </si>
  <si>
    <t>Lake Pend Oreille School #84</t>
  </si>
  <si>
    <t>West Bonner School #83</t>
  </si>
  <si>
    <t>Bonner County Ambulance</t>
  </si>
  <si>
    <t>North Side Fire</t>
  </si>
  <si>
    <t>West Side Fire</t>
  </si>
  <si>
    <t>West Priest Lake Fire</t>
  </si>
  <si>
    <t>Coolin-Cav. Bay Fire</t>
  </si>
  <si>
    <t>Schweitzer Fire</t>
  </si>
  <si>
    <t>Sagle Fire</t>
  </si>
  <si>
    <t>North Of The Narrows Fire</t>
  </si>
  <si>
    <t>Sam Owen Fire District</t>
  </si>
  <si>
    <t>East Priest Lake Fire</t>
  </si>
  <si>
    <t>Sandpoint Highway</t>
  </si>
  <si>
    <t>Bay Drive Recreation</t>
  </si>
  <si>
    <t>Kootenai Ponderay Swr</t>
  </si>
  <si>
    <t>Granite Reeder S/W</t>
  </si>
  <si>
    <t>Bottle Bay S/W</t>
  </si>
  <si>
    <t>Idaho Falls School #91</t>
  </si>
  <si>
    <t>Swan Valley School #92</t>
  </si>
  <si>
    <t>Ririe School #252</t>
  </si>
  <si>
    <t>Bonneville Co. Ambulance</t>
  </si>
  <si>
    <t>Lincoln Cemetery (Bonneville)</t>
  </si>
  <si>
    <t>Greater Swan Valley Fire</t>
  </si>
  <si>
    <t>Jefferson Central Fire</t>
  </si>
  <si>
    <t>Bonneville Alpine Fire</t>
  </si>
  <si>
    <t>College of Eastern Idaho</t>
  </si>
  <si>
    <t>Jefferson Abatement (Bonvl-Jeff)</t>
  </si>
  <si>
    <t>City of Bonners Ferry</t>
  </si>
  <si>
    <t>City of Moyie Springs</t>
  </si>
  <si>
    <t>Boundary School #101</t>
  </si>
  <si>
    <t>Boundary Ambulance</t>
  </si>
  <si>
    <t>South Boundary Fire</t>
  </si>
  <si>
    <t>Paradise Valley Fire</t>
  </si>
  <si>
    <t>Butte School #111</t>
  </si>
  <si>
    <t>Mackay School #182</t>
  </si>
  <si>
    <t>Butte Co. Cemetery</t>
  </si>
  <si>
    <t>Lost River Fire</t>
  </si>
  <si>
    <t>Lost River Community Library</t>
  </si>
  <si>
    <t>Camas School #121</t>
  </si>
  <si>
    <t>Camas Co. Cemetery</t>
  </si>
  <si>
    <t>Camas Cnty Library</t>
  </si>
  <si>
    <t>Camas County Abatement</t>
  </si>
  <si>
    <t>Nampa School #131</t>
  </si>
  <si>
    <t>Caldwell School #132</t>
  </si>
  <si>
    <t>Wilder School #133</t>
  </si>
  <si>
    <t>Middleton School #134</t>
  </si>
  <si>
    <t>Notus School #135</t>
  </si>
  <si>
    <t>Parma School #137</t>
  </si>
  <si>
    <t>Vallivue School #139</t>
  </si>
  <si>
    <t>Marsing School #363</t>
  </si>
  <si>
    <t>Homedale School #370</t>
  </si>
  <si>
    <t>Nampa Fire</t>
  </si>
  <si>
    <t>Canyon County Abatement</t>
  </si>
  <si>
    <t>Middleton Recreation</t>
  </si>
  <si>
    <t>North Gem School #149</t>
  </si>
  <si>
    <t>Fairview Cemetery (Caribou)</t>
  </si>
  <si>
    <t>Freedom Fire</t>
  </si>
  <si>
    <t>Caribou Cnty Rd</t>
  </si>
  <si>
    <t>Cassia School #151</t>
  </si>
  <si>
    <t>Minidoka School #331</t>
  </si>
  <si>
    <t>American Falls School #381</t>
  </si>
  <si>
    <t>Murtaugh School #418</t>
  </si>
  <si>
    <t>Oakley Valley Cemetery</t>
  </si>
  <si>
    <t>Valley Vu Cemetery</t>
  </si>
  <si>
    <t>Albion Fire</t>
  </si>
  <si>
    <t>Oakley Fire</t>
  </si>
  <si>
    <t>Raft River Fire</t>
  </si>
  <si>
    <t>Rock Creek Fire</t>
  </si>
  <si>
    <t>Ace Fire</t>
  </si>
  <si>
    <t>Albion Hwy</t>
  </si>
  <si>
    <t>Burley Hwy</t>
  </si>
  <si>
    <t>Elba-Almo (County Road)</t>
  </si>
  <si>
    <t>Murtaugh Hwy</t>
  </si>
  <si>
    <t>Oakley Hwy</t>
  </si>
  <si>
    <t>Raft River Hwy</t>
  </si>
  <si>
    <t>Oakley Free Library</t>
  </si>
  <si>
    <t>Clark School #161</t>
  </si>
  <si>
    <t>Orofino School #171</t>
  </si>
  <si>
    <t>Kendrick School #283</t>
  </si>
  <si>
    <t>Nez Perce School #302</t>
  </si>
  <si>
    <t>E. Whitepine School #288</t>
  </si>
  <si>
    <t>Clearwater Ambulance</t>
  </si>
  <si>
    <t>Elk River Cemetery</t>
  </si>
  <si>
    <t>N. Clearwater Cemetery</t>
  </si>
  <si>
    <t>Weseman Cemetery</t>
  </si>
  <si>
    <t>Orofino (Riverside) Cemetery</t>
  </si>
  <si>
    <t>Orofino Rural Fire</t>
  </si>
  <si>
    <t>Evergreen Fire</t>
  </si>
  <si>
    <t>Big Canyon Fire</t>
  </si>
  <si>
    <t>Grangemont Fire</t>
  </si>
  <si>
    <t>Weippe Fire</t>
  </si>
  <si>
    <t>Sunnyside Fire</t>
  </si>
  <si>
    <t>Twin Ridge Fire</t>
  </si>
  <si>
    <t>Greer Fire</t>
  </si>
  <si>
    <t>Upper Fords Creek Fire</t>
  </si>
  <si>
    <t>Clearwater Hwy.</t>
  </si>
  <si>
    <t>Clearwater Free Library</t>
  </si>
  <si>
    <t>Dworshak Rec</t>
  </si>
  <si>
    <t>Clearwater West Rec</t>
  </si>
  <si>
    <t>Elk River Rec</t>
  </si>
  <si>
    <t>Weippe Fraser Rec</t>
  </si>
  <si>
    <t>Pierce Rec</t>
  </si>
  <si>
    <t>Judgetown S/W</t>
  </si>
  <si>
    <t>Challis School #181</t>
  </si>
  <si>
    <t>S. Custer Ambulance</t>
  </si>
  <si>
    <t>N. Custer Fire</t>
  </si>
  <si>
    <t>S. Custer Fire</t>
  </si>
  <si>
    <t>Sawtooth Valley Fire</t>
  </si>
  <si>
    <t>Lost River Hwy</t>
  </si>
  <si>
    <t>N. Custer Hospital</t>
  </si>
  <si>
    <t>Mackay Free Library</t>
  </si>
  <si>
    <t>Battle Grnd Abatement</t>
  </si>
  <si>
    <t>Mackay Abatement</t>
  </si>
  <si>
    <t>Glenns Ferry School #192</t>
  </si>
  <si>
    <t>Mountain Home School #193</t>
  </si>
  <si>
    <t>Bliss School #234</t>
  </si>
  <si>
    <t>Bruneau-Grandview School #365</t>
  </si>
  <si>
    <t>Grandview Fire</t>
  </si>
  <si>
    <t>Mountain Home Fire</t>
  </si>
  <si>
    <t>King Hill Fire</t>
  </si>
  <si>
    <t>Atlanta Fire</t>
  </si>
  <si>
    <t>Oasis Fire</t>
  </si>
  <si>
    <t>Glenns Ferry Hwy</t>
  </si>
  <si>
    <t>Eastern Elmore Rec</t>
  </si>
  <si>
    <t>Fairview Cemetery (Franklin)</t>
  </si>
  <si>
    <t>Franklin Co. Fire District</t>
  </si>
  <si>
    <t>Franklin Cnty Rd</t>
  </si>
  <si>
    <t>Franklin Co. Library</t>
  </si>
  <si>
    <t>Franklin Abatement</t>
  </si>
  <si>
    <t>Fremont School #215</t>
  </si>
  <si>
    <t>Sugar-Salem School #322</t>
  </si>
  <si>
    <t>Parker Cemetery</t>
  </si>
  <si>
    <t>Riverview Cemetery (Fremont)</t>
  </si>
  <si>
    <t>Squirrel Cemetery</t>
  </si>
  <si>
    <t>Wilford Cemetery</t>
  </si>
  <si>
    <t>Hamer Fire</t>
  </si>
  <si>
    <t>S. Fremont Fire</t>
  </si>
  <si>
    <t>Island Park Fire</t>
  </si>
  <si>
    <t>Sugar-Salem Library</t>
  </si>
  <si>
    <t>Fort Henry Abatement</t>
  </si>
  <si>
    <t>Gem County Fire #1</t>
  </si>
  <si>
    <t>Gem County Fire #2</t>
  </si>
  <si>
    <t>Gem Cnty Rd</t>
  </si>
  <si>
    <t>Gem County Abatement</t>
  </si>
  <si>
    <t>Gooding School #231</t>
  </si>
  <si>
    <t>Wendell School #232</t>
  </si>
  <si>
    <t>Hagerman School #233</t>
  </si>
  <si>
    <t>Jerome School #261</t>
  </si>
  <si>
    <t>Buhl School #412</t>
  </si>
  <si>
    <t>Gooding Fire</t>
  </si>
  <si>
    <t>Hagerman Fire</t>
  </si>
  <si>
    <t>Wendell Fire</t>
  </si>
  <si>
    <t>Cottonwood School #242</t>
  </si>
  <si>
    <t>Kamiah School #304</t>
  </si>
  <si>
    <t>Highland School #305</t>
  </si>
  <si>
    <t>Mountain View School #244</t>
  </si>
  <si>
    <t>Keuterville Hwy</t>
  </si>
  <si>
    <t>Kidder-Harris Hwy</t>
  </si>
  <si>
    <t>Prairie-River Library</t>
  </si>
  <si>
    <t>Whitebird Area Recreation</t>
  </si>
  <si>
    <t>Jefferson School #251</t>
  </si>
  <si>
    <t>W. Jefferson School #253</t>
  </si>
  <si>
    <t>W. Jefferson Ambulance</t>
  </si>
  <si>
    <t>Lewisville #5 Cemetery</t>
  </si>
  <si>
    <t>Little Butte #3 Cemetery</t>
  </si>
  <si>
    <t>Pioneer #1 Cemetery</t>
  </si>
  <si>
    <t>Roberts #6 Cemetery</t>
  </si>
  <si>
    <t>W. Jefferson Memorial Cemetery</t>
  </si>
  <si>
    <t>W. Jefferson Fire</t>
  </si>
  <si>
    <t>Roberts Fire</t>
  </si>
  <si>
    <t>W. Jefferson Library</t>
  </si>
  <si>
    <t>Roberts Abatement</t>
  </si>
  <si>
    <t>Midway Abatement</t>
  </si>
  <si>
    <t>Valley School #262</t>
  </si>
  <si>
    <t>Shoshone School #312</t>
  </si>
  <si>
    <t>Jerome County Cemetery</t>
  </si>
  <si>
    <t>Jerome #1 Fire</t>
  </si>
  <si>
    <t>West End Fire</t>
  </si>
  <si>
    <t>Hillsdale Hwy</t>
  </si>
  <si>
    <t>Coeur d'Alene School #271</t>
  </si>
  <si>
    <t>Post Falls School #273</t>
  </si>
  <si>
    <t>Kellogg School #391</t>
  </si>
  <si>
    <t>Shoshone County #2 Fire</t>
  </si>
  <si>
    <t>Mica Kidd Island Fire</t>
  </si>
  <si>
    <t>Kootenai Fire &amp; Rescue</t>
  </si>
  <si>
    <t>Twin Lakes Rathdrum F/C #17</t>
  </si>
  <si>
    <t>East Side Highway #3</t>
  </si>
  <si>
    <t>Community Library Network</t>
  </si>
  <si>
    <t>Kidd Island Bay Lots Swr</t>
  </si>
  <si>
    <t>Hayden Lake Watershed</t>
  </si>
  <si>
    <t>Moscow School #281</t>
  </si>
  <si>
    <t>Genesee School #282</t>
  </si>
  <si>
    <t>Potlatch School #285</t>
  </si>
  <si>
    <t>Troy School #287</t>
  </si>
  <si>
    <t>Deary-Bovill Cemetery</t>
  </si>
  <si>
    <t>Viola-Rock Creek Cemetery</t>
  </si>
  <si>
    <t>Woodfell-Mendenhall Cemetery</t>
  </si>
  <si>
    <t>Deary Fire</t>
  </si>
  <si>
    <t>Genesee Fire</t>
  </si>
  <si>
    <t>Moscow Fire</t>
  </si>
  <si>
    <t>North Latah Fire</t>
  </si>
  <si>
    <t>Potlatch Fire</t>
  </si>
  <si>
    <t>Troy Fire</t>
  </si>
  <si>
    <t>Bovill Fire</t>
  </si>
  <si>
    <t>North Latah Hwy</t>
  </si>
  <si>
    <t>South Latah Hwy</t>
  </si>
  <si>
    <t>J. K. Recreation</t>
  </si>
  <si>
    <t>Salmon School #291</t>
  </si>
  <si>
    <t>S. Lemhi School #292</t>
  </si>
  <si>
    <t>Elk Bend Fire</t>
  </si>
  <si>
    <t>Lemhi Fire</t>
  </si>
  <si>
    <t>N. Fork Fire</t>
  </si>
  <si>
    <t>Lemhi Library</t>
  </si>
  <si>
    <t>City of Nez Perce</t>
  </si>
  <si>
    <t>Culdesac School #342</t>
  </si>
  <si>
    <t>Reubens Comm. Ctr.</t>
  </si>
  <si>
    <t>Nezperce-Russell Cemetery</t>
  </si>
  <si>
    <t>Nez Perce Rural Fire</t>
  </si>
  <si>
    <t>Central Hwy</t>
  </si>
  <si>
    <t>Evergreen Hwy</t>
  </si>
  <si>
    <t>Kamiah Hwy</t>
  </si>
  <si>
    <t>North Hwy</t>
  </si>
  <si>
    <t>Prairie Hwy</t>
  </si>
  <si>
    <t>Dietrich School #314</t>
  </si>
  <si>
    <t>Richfield School #316</t>
  </si>
  <si>
    <t>Lincoln Cnty Cemetery</t>
  </si>
  <si>
    <t>Shoshone City &amp; Rural Fire</t>
  </si>
  <si>
    <t>Richfield Fire</t>
  </si>
  <si>
    <t>Dietrich Fire</t>
  </si>
  <si>
    <t>Lincoln Cnty Recreation</t>
  </si>
  <si>
    <t>Madison School #321</t>
  </si>
  <si>
    <t>Heyburn #3 Cemetery</t>
  </si>
  <si>
    <t>Paul #2 Cemetery</t>
  </si>
  <si>
    <t>Rupert-Acequia #1 Cemetery</t>
  </si>
  <si>
    <t>Lewiston School #340</t>
  </si>
  <si>
    <t>Lapwai School #341</t>
  </si>
  <si>
    <t>Wheatland Fire</t>
  </si>
  <si>
    <t>Port Of Lewiston</t>
  </si>
  <si>
    <t>Central Orchards Swr</t>
  </si>
  <si>
    <t>Oneida School #351</t>
  </si>
  <si>
    <t>Pleasant View Cemetery</t>
  </si>
  <si>
    <t>Oneida Cnty Fire</t>
  </si>
  <si>
    <t>Oneida Co Library</t>
  </si>
  <si>
    <t>Pleasant Valley School #364</t>
  </si>
  <si>
    <t>Three Creek School #416</t>
  </si>
  <si>
    <t>Castleford School #417</t>
  </si>
  <si>
    <t>Riverside-Owyhee Cemetery</t>
  </si>
  <si>
    <t>Bruneau Fire</t>
  </si>
  <si>
    <t>Murphy-Reynolds-Wilson Fire</t>
  </si>
  <si>
    <t>Gem Hwy</t>
  </si>
  <si>
    <t>Homedale Hwy</t>
  </si>
  <si>
    <t>Three Creek Hwy</t>
  </si>
  <si>
    <t>Owyhee Cnty Rd</t>
  </si>
  <si>
    <t>Payette School #371</t>
  </si>
  <si>
    <t>New Plymouth School #372</t>
  </si>
  <si>
    <t>Fruitland School #373</t>
  </si>
  <si>
    <t>Riverside (Payette) Cemetery</t>
  </si>
  <si>
    <t>Rockland School #382</t>
  </si>
  <si>
    <t>Arbon School #383</t>
  </si>
  <si>
    <t>Valleyview (Rockland) Cemetery</t>
  </si>
  <si>
    <t>American Falls Fire</t>
  </si>
  <si>
    <t>Eastern Power Cnty Fire</t>
  </si>
  <si>
    <t>Rockland Fire</t>
  </si>
  <si>
    <t>Power County Hospital</t>
  </si>
  <si>
    <t>Mullan School #392</t>
  </si>
  <si>
    <t>Wallace School #393</t>
  </si>
  <si>
    <t>Avery School #394</t>
  </si>
  <si>
    <t>Shoshone Fire #3</t>
  </si>
  <si>
    <t>St. Joe Valley Fire</t>
  </si>
  <si>
    <t>Clarkia Hwy</t>
  </si>
  <si>
    <t>Clarkia Free Library</t>
  </si>
  <si>
    <t>Kingston Wtr</t>
  </si>
  <si>
    <t>Teton School #401</t>
  </si>
  <si>
    <t>Cache Clawson Cemetery</t>
  </si>
  <si>
    <t>Driggs Darby Cemetery</t>
  </si>
  <si>
    <t>Teton County Fire</t>
  </si>
  <si>
    <t>Valley Of Tetons Library</t>
  </si>
  <si>
    <t>Teton Abatement</t>
  </si>
  <si>
    <t>Twin Falls School #411</t>
  </si>
  <si>
    <t>Filer School #413</t>
  </si>
  <si>
    <t>Kimberly School #414</t>
  </si>
  <si>
    <t>Hansen School #415</t>
  </si>
  <si>
    <t>Twin Falls Ambulance</t>
  </si>
  <si>
    <t>Filer Cemetery</t>
  </si>
  <si>
    <t>Twin Falls Rural Fire</t>
  </si>
  <si>
    <t>Castleford Fire</t>
  </si>
  <si>
    <t>Buhl Fire</t>
  </si>
  <si>
    <t>Salmon Tract Fire</t>
  </si>
  <si>
    <t>Filer Rural Fire</t>
  </si>
  <si>
    <t>Buhl Hwy</t>
  </si>
  <si>
    <t>Filer Hwy</t>
  </si>
  <si>
    <t>Twin Falls Hwy</t>
  </si>
  <si>
    <t>Cascade School #422</t>
  </si>
  <si>
    <t>Cascade Rural Fire</t>
  </si>
  <si>
    <t>McCall Fire</t>
  </si>
  <si>
    <t>Donnelly Fire</t>
  </si>
  <si>
    <t>Payette Lakes Rec. S/W</t>
  </si>
  <si>
    <t>North Lake S/W</t>
  </si>
  <si>
    <t>S. Lake Rec. S/W</t>
  </si>
  <si>
    <t>Warm Lake Rec. Wtr</t>
  </si>
  <si>
    <t>Weiser School #431</t>
  </si>
  <si>
    <t>Midvale School #433</t>
  </si>
  <si>
    <t>Washington Co. Rodent Control</t>
  </si>
  <si>
    <t>Cambridge Rural Fire</t>
  </si>
  <si>
    <t>Weiser Area Fire #1</t>
  </si>
  <si>
    <t>Weiser Valley Hwy</t>
  </si>
  <si>
    <t>Washington Cnty Rd</t>
  </si>
  <si>
    <t>Cambridge Comm. Library</t>
  </si>
  <si>
    <t>Ada</t>
  </si>
  <si>
    <t>Adams</t>
  </si>
  <si>
    <t>Bannock</t>
  </si>
  <si>
    <t>Benewah</t>
  </si>
  <si>
    <t>Bingham</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</si>
  <si>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</si>
  <si>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</si>
  <si>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</si>
  <si>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</si>
  <si>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</si>
  <si>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</si>
  <si>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</si>
  <si>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</si>
  <si>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</si>
  <si>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</si>
  <si>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</si>
  <si>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</si>
  <si>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</si>
  <si>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</si>
  <si>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</si>
  <si>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</si>
  <si>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</si>
  <si>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</si>
  <si>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</si>
  <si>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</si>
  <si>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</si>
  <si>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</si>
  <si>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</si>
  <si>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</si>
  <si>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</si>
  <si>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</si>
  <si>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</si>
  <si>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Oneida</t>
  </si>
  <si>
    <t>Owyhee</t>
  </si>
  <si>
    <t>Payette</t>
  </si>
  <si>
    <t>Shoshone</t>
  </si>
  <si>
    <t>Teton</t>
  </si>
  <si>
    <t>Valley</t>
  </si>
  <si>
    <t>Washington</t>
  </si>
  <si>
    <t>JointDistricts</t>
  </si>
  <si>
    <t>JointCounties</t>
  </si>
  <si>
    <t>Blaine</t>
  </si>
  <si>
    <t>CoName</t>
  </si>
  <si>
    <t>CatName</t>
  </si>
  <si>
    <t>joint_FLAG</t>
  </si>
  <si>
    <t>.</t>
  </si>
  <si>
    <t>Roads &amp; Highways</t>
  </si>
  <si>
    <t>Sewer Incl Rec Sewer</t>
  </si>
  <si>
    <t>Ag Equipment Replacement</t>
  </si>
  <si>
    <t>Yes/No</t>
  </si>
  <si>
    <t>Yes</t>
  </si>
  <si>
    <t>No</t>
  </si>
  <si>
    <t>District's Existing Forgone Balance:</t>
  </si>
  <si>
    <t>Name of County or Counties This District Resides In:</t>
  </si>
  <si>
    <t>Green cells require you to enter information</t>
  </si>
  <si>
    <t>White cells have values calculated/filled automatically</t>
  </si>
  <si>
    <t>Enter Amount of Forgone to be Recovered for Capital Projects:</t>
  </si>
  <si>
    <t>NON-LEVIED FUNDS (must net zero)</t>
  </si>
  <si>
    <t>(24)</t>
  </si>
  <si>
    <t>(25)</t>
  </si>
  <si>
    <t>(26)</t>
  </si>
  <si>
    <t>(27)</t>
  </si>
  <si>
    <t>(28)</t>
  </si>
  <si>
    <t>Percent Base Budget Growth Requested (max 3%)</t>
  </si>
  <si>
    <t>User Type</t>
  </si>
  <si>
    <t>Enter values or select text in the fields that are this color:</t>
  </si>
  <si>
    <t>If prompted by a yellow banner near the top, select "Enable editing" or "Enable content"</t>
  </si>
  <si>
    <t>"Recovered/Recaptured Property Tax and Refund List" form data</t>
  </si>
  <si>
    <t>Fields that turn red are above their cap or conflict with another field:</t>
  </si>
  <si>
    <t>Incorrect values</t>
  </si>
  <si>
    <t>If prompted: click "Enable Editing" or "Enable Content" on Excel Workbook</t>
  </si>
  <si>
    <t>Max Forgone Allowed to Recover for Capital Projects (up to 3%):</t>
  </si>
  <si>
    <t>Hayden Lake Sewer</t>
  </si>
  <si>
    <t>Highway District #1 (Payette)</t>
  </si>
  <si>
    <t>North Blaine County Fire</t>
  </si>
  <si>
    <t>First Segregation Fire</t>
  </si>
  <si>
    <t>Wilder Public Library</t>
  </si>
  <si>
    <t xml:space="preserve">     (reported by County Assessor at 90%)</t>
  </si>
  <si>
    <t>New Construction, Annexation, &amp; Expiring Urban Renewal Allowable Budget Increases Calculation:</t>
  </si>
  <si>
    <t>(29)</t>
  </si>
  <si>
    <t>(30)</t>
  </si>
  <si>
    <t>(31)</t>
  </si>
  <si>
    <t>2013Personal Property Replacement</t>
  </si>
  <si>
    <t>2022Personal Property Replacement</t>
  </si>
  <si>
    <t>Southside S/W</t>
  </si>
  <si>
    <t>Ellisport Bay Sewer</t>
  </si>
  <si>
    <t>Taylor Mountain S/W</t>
  </si>
  <si>
    <t>Kootenai Hospital</t>
  </si>
  <si>
    <t>Shoshone County Road &amp; Bridge</t>
  </si>
  <si>
    <t>CoNum</t>
  </si>
  <si>
    <t>CatNum</t>
  </si>
  <si>
    <t>DistNum</t>
  </si>
  <si>
    <t>(32)</t>
  </si>
  <si>
    <t>SolarTaxCurrentYear</t>
  </si>
  <si>
    <t>RecHE</t>
  </si>
  <si>
    <t>OtherReductions</t>
  </si>
  <si>
    <t>ForgoneRecovered_general</t>
  </si>
  <si>
    <t>ForgoneRecovered_capitalprojects</t>
  </si>
  <si>
    <t>NewConstructionBudgetIncrease</t>
  </si>
  <si>
    <t>MaxNonExemptLevy</t>
  </si>
  <si>
    <t>ExemptLeviedAmount</t>
  </si>
  <si>
    <t>Non-ExemptLeviedAmount</t>
  </si>
  <si>
    <t>Instructions &amp; Notes</t>
  </si>
  <si>
    <t>Other Revenue/HB292 Funds for Schools</t>
  </si>
  <si>
    <t>Replacements Listed</t>
  </si>
  <si>
    <t>Must use special County with County Road &amp; Bridge form</t>
  </si>
  <si>
    <t>3% Budget Increase</t>
  </si>
  <si>
    <t>NCPrelimLevyRate</t>
  </si>
  <si>
    <t>AnnexPrelimLevyRate</t>
  </si>
  <si>
    <t xml:space="preserve">If a district is levying this year but does not appear in the district list, contact Ben Seloske for assistance at (208) 334-7541 or ben.seloske@tax.idaho.gov </t>
  </si>
  <si>
    <t>Printed Name</t>
  </si>
  <si>
    <t>NetTaxableValueForLevyRateCalculation</t>
  </si>
  <si>
    <t>IncrementValue</t>
  </si>
  <si>
    <t>Post2007IncrementValue</t>
  </si>
  <si>
    <t>NonExemptLevyRate</t>
  </si>
  <si>
    <t>ExemptLevyRate</t>
  </si>
  <si>
    <t>TotalLevyRate</t>
  </si>
  <si>
    <t>(3a)</t>
  </si>
  <si>
    <t>(3b)</t>
  </si>
  <si>
    <t>(3c)</t>
  </si>
  <si>
    <t>(3d)</t>
  </si>
  <si>
    <t>(6a)</t>
  </si>
  <si>
    <t>(6b)</t>
  </si>
  <si>
    <t>(6c)</t>
  </si>
  <si>
    <t>(6d)</t>
  </si>
  <si>
    <t>Total New Construction Roll (NOT including expiring Urban Renewal) (total of lines 6a thru 6d)</t>
  </si>
  <si>
    <t>(33)</t>
  </si>
  <si>
    <t>(34)</t>
  </si>
  <si>
    <t>Non-Exempt Budget Increase Calculation Summary</t>
  </si>
  <si>
    <t>New construction budget increase</t>
  </si>
  <si>
    <t>commonkey</t>
  </si>
  <si>
    <t>North End Recreation</t>
  </si>
  <si>
    <t>Homedale Library</t>
  </si>
  <si>
    <t>Salmon River Ambulance</t>
  </si>
  <si>
    <t>N. Kootenai Water</t>
  </si>
  <si>
    <t>Green Ferry Sewer &amp; Water</t>
  </si>
  <si>
    <t>Max Forgone Allowed to Recover for Maintenance &amp; Operations (up to 1%):</t>
  </si>
  <si>
    <t>Enter Amount of Forgone to be Recovered for Maintenance &amp; Operations:</t>
  </si>
  <si>
    <t>Recovered Homeowner's Exemption property tax</t>
  </si>
  <si>
    <t>Yearly amount of the agricultural equipment replacement money</t>
  </si>
  <si>
    <t>Yearly amount of the 2013 personal property replacement money</t>
  </si>
  <si>
    <t>Yearly amount of the 2022 personal property replacement money</t>
  </si>
  <si>
    <t>McCall Memorial Hospital</t>
  </si>
  <si>
    <t>Cascade Medical Center</t>
  </si>
  <si>
    <t>Allowable Base Budget Calculation:</t>
  </si>
  <si>
    <t>LevyRateWoutSDFF</t>
  </si>
  <si>
    <t>Property Tax Replacements:</t>
  </si>
  <si>
    <t>2023 Solar Farm Tax Rev</t>
  </si>
  <si>
    <t>Total non-exempt budget increase</t>
  </si>
  <si>
    <t>Other reductions to levying authority</t>
  </si>
  <si>
    <t>Idaho City Fire</t>
  </si>
  <si>
    <r>
      <rPr>
        <b/>
        <sz val="12"/>
        <color theme="1"/>
        <rFont val="Calibri"/>
        <family val="2"/>
        <scheme val="minor"/>
      </rPr>
      <t>L-2 Worksheet</t>
    </r>
    <r>
      <rPr>
        <sz val="12"/>
        <color theme="1"/>
        <rFont val="Calibri"/>
        <family val="2"/>
        <scheme val="minor"/>
      </rPr>
      <t xml:space="preserve"> - review the calculation of the maximum allowable non-exempt property tax budget</t>
    </r>
  </si>
  <si>
    <t>8-30-3</t>
  </si>
  <si>
    <t>23-30-3</t>
  </si>
  <si>
    <t>8-3-50</t>
  </si>
  <si>
    <t>23-3-50</t>
  </si>
  <si>
    <t>Valley Countywide EMS</t>
  </si>
  <si>
    <t>Bern Comm. Recreation Dist.</t>
  </si>
  <si>
    <t>Prairie School #191</t>
  </si>
  <si>
    <t>Avery Sewer &amp; Water</t>
  </si>
  <si>
    <t>2024 Solar Farm Tax Rev</t>
  </si>
  <si>
    <t>2022PP Rep. after 2024 corrections</t>
  </si>
  <si>
    <t>2023 Recovered HOE</t>
  </si>
  <si>
    <t>2024 Recovered HOE</t>
  </si>
  <si>
    <t>Agricultural Equipment Replacement Money (+)</t>
  </si>
  <si>
    <t>2013 Personal Property Replacement Money (+)</t>
  </si>
  <si>
    <t>2022 Personal Property Replacement Money (+)</t>
  </si>
  <si>
    <t>Recovered Homeowner's Exemptions (+)</t>
  </si>
  <si>
    <t>Other Reductions (+)</t>
  </si>
  <si>
    <t>2023 Non-Exempt Budget</t>
  </si>
  <si>
    <t>2024 Non-Exempt Budget</t>
  </si>
  <si>
    <t>2023 Forgone_CapitalProjects</t>
  </si>
  <si>
    <t>2024 Forgone_CapitalProjects</t>
  </si>
  <si>
    <t>2024 Other reductions</t>
  </si>
  <si>
    <t>2023 Other reductions</t>
  </si>
  <si>
    <t>Amounts from 'Maximum Budget &amp; Forgone Amounts Worksheet':</t>
  </si>
  <si>
    <t>Previous Three Years' Property Tax Budget Data</t>
  </si>
  <si>
    <t>Must use special County with County Road &amp; Bridge form (removed from DistrictList to force them to use special form)</t>
  </si>
  <si>
    <t>Bear Lake</t>
  </si>
  <si>
    <t>Nez Perce</t>
  </si>
  <si>
    <t>Twin Falls</t>
  </si>
  <si>
    <t>Sewer and Water</t>
  </si>
  <si>
    <t>Sewer incl Rec Sewer</t>
  </si>
  <si>
    <t>County and Countywide Road and Bridge</t>
  </si>
  <si>
    <t>&lt;-hasn't levied for theirs for years so their calcs are the same as if they didn't have it (unless they decide to start levying for it again)</t>
  </si>
  <si>
    <t>In this workbook, Forgone Amounts are calculated based on the new constr., annexation, &amp; UR increases that result from the selected base budget increase BUT also adds the full 3% regardless of what % was selected (3% is always an "allowable increase").</t>
  </si>
  <si>
    <t>*Preliminary levy rates will vary based on the selected base budget growth, so districts will get less money for new constr., annexation, &amp; UR if they choose less than 3% base budget increase.</t>
  </si>
  <si>
    <t>(35)</t>
  </si>
  <si>
    <t>Other Subtractions from Levying Authority:</t>
  </si>
  <si>
    <t>Does the "Recovered/Recaptured Property Tax and Refund List" form have any amounts in column 3 for this district? (Recaptured QIE)</t>
  </si>
  <si>
    <t>Does the "Recovered/Recaptured Property Tax and Refund List" form have any amounts in column 4 for this district? (Other reductions)</t>
  </si>
  <si>
    <t>Did this district receive income from recovered homeowner's exemptions?
(Column 2 of the "Recovered/Recaptured Property Tax and Refund List")</t>
  </si>
  <si>
    <t>Enter the amount received from recovered homeowner's exemptions:</t>
  </si>
  <si>
    <t>Enter the amount received from recaptured QIE:</t>
  </si>
  <si>
    <t>Recaptured QIE</t>
  </si>
  <si>
    <t>Other reductions reported in column 4 of the Recovered/Recaptured Property Tax list</t>
  </si>
  <si>
    <t>Select District Type From Drop Down Menu:</t>
  </si>
  <si>
    <t>Select District Name From Drop Down Menu:</t>
  </si>
  <si>
    <t>User Type:  Taxing District Rep or County Clerk</t>
  </si>
  <si>
    <t>County Clerk</t>
  </si>
  <si>
    <t>Taxing District Rep</t>
  </si>
  <si>
    <t>Red cells exceed a cap or conflict with other data</t>
  </si>
  <si>
    <r>
      <rPr>
        <b/>
        <sz val="12"/>
        <color theme="1"/>
        <rFont val="Calibri"/>
        <family val="2"/>
        <scheme val="minor"/>
      </rPr>
      <t>Dashboard tab</t>
    </r>
    <r>
      <rPr>
        <sz val="12"/>
        <color theme="1"/>
        <rFont val="Calibri"/>
        <family val="2"/>
        <scheme val="minor"/>
      </rPr>
      <t xml:space="preserve"> - input values necessary to calculate the maximum allowable non-exempt property tax budget and appropriate budget reductions</t>
    </r>
  </si>
  <si>
    <r>
      <rPr>
        <b/>
        <sz val="12"/>
        <color theme="1"/>
        <rFont val="Calibri"/>
        <family val="2"/>
        <scheme val="minor"/>
      </rPr>
      <t>L-2 Dollar Certification</t>
    </r>
    <r>
      <rPr>
        <sz val="12"/>
        <color theme="1"/>
        <rFont val="Calibri"/>
        <family val="2"/>
        <scheme val="minor"/>
      </rPr>
      <t xml:space="preserve"> - input budget figures for the current year's property tax budget request certification</t>
    </r>
  </si>
  <si>
    <t>Non-exempt budget plus rep. except solar and "other reductions"</t>
  </si>
  <si>
    <t>RecQIE</t>
  </si>
  <si>
    <t>Highest Budget year of last 3 yrs</t>
  </si>
  <si>
    <t>Highest Budget of last 3 yrs plus rep.</t>
  </si>
  <si>
    <t>County w/Countywide Road and Bridge</t>
  </si>
  <si>
    <t>levy rate paying to pre-2008 RAAs</t>
  </si>
  <si>
    <t>BC South Fire</t>
  </si>
  <si>
    <t>Bonner County Road &amp; Bridge</t>
  </si>
  <si>
    <t>Bonneville County Road &amp; Bridge</t>
  </si>
  <si>
    <t>Boundary County Library</t>
  </si>
  <si>
    <t>Boundary County Road &amp; Bridge</t>
  </si>
  <si>
    <t>Elmore County Abatement</t>
  </si>
  <si>
    <t>Bonneville Fire District #1</t>
  </si>
  <si>
    <t>Fremont County Road &amp; Bridge</t>
  </si>
  <si>
    <t>Fremont County Ambulance</t>
  </si>
  <si>
    <t>Fremont County Library</t>
  </si>
  <si>
    <t>Idaho County Road &amp; Bridge</t>
  </si>
  <si>
    <t>Jefferson County Road &amp; Bridge</t>
  </si>
  <si>
    <t>Jerome Highway #7</t>
  </si>
  <si>
    <t>Jerome County Recreation</t>
  </si>
  <si>
    <t>Kootenai County Ambulance</t>
  </si>
  <si>
    <t>Latah County Library</t>
  </si>
  <si>
    <t>Madison Mosquito Abatement</t>
  </si>
  <si>
    <t>Madison County Fire</t>
  </si>
  <si>
    <t>Madison County Road &amp; Bridge</t>
  </si>
  <si>
    <t>Madison County Library</t>
  </si>
  <si>
    <t>Minidoka Highway</t>
  </si>
  <si>
    <t>Mountain Home Highway</t>
  </si>
  <si>
    <t>North Bingham Free Library</t>
  </si>
  <si>
    <t>North Cassia Fire</t>
  </si>
  <si>
    <t>North Fremont Cemetery #1</t>
  </si>
  <si>
    <t>North Fremont Fire</t>
  </si>
  <si>
    <t>North Fremont Hospital</t>
  </si>
  <si>
    <t>Nez Perce County Road &amp; Bridge</t>
  </si>
  <si>
    <t>North Idaho Junior College</t>
  </si>
  <si>
    <t>Payette County Road &amp; Bridge</t>
  </si>
  <si>
    <t>Teton County Road &amp; Bridge</t>
  </si>
  <si>
    <t>Valley County Road &amp; Bridge</t>
  </si>
  <si>
    <t>Payette County Abatement</t>
  </si>
  <si>
    <t>Payette County Ambulance</t>
  </si>
  <si>
    <t>Payette County Gopher Control</t>
  </si>
  <si>
    <t>Payette County Recreation</t>
  </si>
  <si>
    <t>Power County Abatement</t>
  </si>
  <si>
    <t>Power County Ambulance</t>
  </si>
  <si>
    <t>Power County Highway #1</t>
  </si>
  <si>
    <t>SC Ambulance Service District</t>
  </si>
  <si>
    <t>Southern Idaho Jr. College</t>
  </si>
  <si>
    <t>Twin Falls County Abatement</t>
  </si>
  <si>
    <t>West Pend Oreille Fire</t>
  </si>
  <si>
    <t>West Bonner Sewer &amp; Water</t>
  </si>
  <si>
    <t>Western Elmore Recreation</t>
  </si>
  <si>
    <t>Highway District #4</t>
  </si>
  <si>
    <t>Total Net Increment Value</t>
  </si>
  <si>
    <t>AmbulanceNoURFunds</t>
  </si>
  <si>
    <t>AuditoriumNoURFunds</t>
  </si>
  <si>
    <t>CemeteryNoURFunds</t>
  </si>
  <si>
    <t>CityNoURFunds</t>
  </si>
  <si>
    <t>Community InfrastructureNoURFunds</t>
  </si>
  <si>
    <t>CountyNoURFunds</t>
  </si>
  <si>
    <t>ExterminationNoURFunds</t>
  </si>
  <si>
    <t>FireNoURFunds</t>
  </si>
  <si>
    <t>Flood ControlNoURFunds</t>
  </si>
  <si>
    <t>HighwayNoURFunds</t>
  </si>
  <si>
    <t>HospitalNoURFunds</t>
  </si>
  <si>
    <t>Junior CollegeNoURFunds</t>
  </si>
  <si>
    <t>LibraryNoURFunds</t>
  </si>
  <si>
    <t>Mosquito AbatementNoURFunds</t>
  </si>
  <si>
    <t>PortNoURFunds</t>
  </si>
  <si>
    <t>RecreationNoURFunds</t>
  </si>
  <si>
    <t>SchoolNoURFunds</t>
  </si>
  <si>
    <t>Sewer and WaterNoURFunds</t>
  </si>
  <si>
    <t>Sewer incl Rec SewerNoURFunds</t>
  </si>
  <si>
    <t>WaterNoURFunds</t>
  </si>
  <si>
    <t>WatershedNoURFunds</t>
  </si>
  <si>
    <t>Does this District Overlap any Urban Renewal RAAs?</t>
  </si>
  <si>
    <t>*Leave blank if the fund should generate revenue for all Urban Renewal, add increment value for all RAAs that should NOT get revenue from the specific fund.</t>
  </si>
  <si>
    <t>- I.C.§63-1305 Judgments</t>
  </si>
  <si>
    <t>- M&amp;O (if RAA created/modified after 7/1/2025)</t>
  </si>
  <si>
    <t>- Bonds passed after 2007</t>
  </si>
  <si>
    <t>- M&amp;O (if district opted out)</t>
  </si>
  <si>
    <t>- Plant Facilities</t>
  </si>
  <si>
    <t>- I.C.§33-802 Judgment Obligations</t>
  </si>
  <si>
    <t>- Emergency Fund</t>
  </si>
  <si>
    <t>Balance to be Levied</t>
  </si>
  <si>
    <t>- Temporary Overrides</t>
  </si>
  <si>
    <t>- Temporary Supplementals</t>
  </si>
  <si>
    <t>County w/Countywide Road and BridgeNoURFunds</t>
  </si>
  <si>
    <t>Increment Value of Post-2007 RAAs or Annexations</t>
  </si>
  <si>
    <t>- Bonds passed before 2008 &amp; RAA created/modified after 2007</t>
  </si>
  <si>
    <t>Enter the increment value of the expiring UR to be reduced to 90%:</t>
  </si>
  <si>
    <t>Enter the increment value of the expiring UR to be reduced to 80%:</t>
  </si>
  <si>
    <t>Expiring Urban Renewal Increment Value to be Reduced to 80%</t>
  </si>
  <si>
    <t>Expiring Urban Renewal Increment Value to be Reduced to 90%</t>
  </si>
  <si>
    <t>levy rate paying to all RAAs</t>
  </si>
  <si>
    <t>levy rate paying to NO RAAs</t>
  </si>
  <si>
    <t>ExpiringURbefore80%</t>
  </si>
  <si>
    <t>ExpiringURbefore90%</t>
  </si>
  <si>
    <t>TotalExpiringUR_BudgetIncrease</t>
  </si>
  <si>
    <t>IncrementAdded?</t>
  </si>
  <si>
    <t>2-9-135</t>
  </si>
  <si>
    <t>City of White Bird</t>
  </si>
  <si>
    <t>TaxYear</t>
  </si>
  <si>
    <t>2026 L-2 DASHBOARD</t>
  </si>
  <si>
    <t>2025 Solar Farm Tax Rev</t>
  </si>
  <si>
    <t>2025 Recovered HOE</t>
  </si>
  <si>
    <t>2025 Other reductions</t>
  </si>
  <si>
    <t>2025 Non-Exempt Budget</t>
  </si>
  <si>
    <t>2025 Forgone_CapitalProjects</t>
  </si>
  <si>
    <t>(13)</t>
  </si>
  <si>
    <t>2025_OperatingProperty</t>
  </si>
  <si>
    <t>2026 Net Taxable Value+Sub-roll</t>
  </si>
  <si>
    <t>NewConstructionValue</t>
  </si>
  <si>
    <t>Funds for this type of district that should NOT 
generate revenue for Urban Renewal RAAs include:</t>
  </si>
  <si>
    <t>Budget increases disallowed for non-compliance with SCO</t>
  </si>
  <si>
    <t>SCOcompliancestatus</t>
  </si>
  <si>
    <t>Road&amp;BridgeFlag</t>
  </si>
  <si>
    <t>DistID</t>
  </si>
  <si>
    <t>FundName</t>
  </si>
  <si>
    <t>TotalApprovedBudget</t>
  </si>
  <si>
    <t>ReplacementsSolarSubtractions</t>
  </si>
  <si>
    <t>LeviedAmount</t>
  </si>
  <si>
    <t>In an effort to simplify the L-2 process, we have given the L-2 form a "Dashboard" tab that populates the proper fields of the L-2 Worksheet.</t>
  </si>
  <si>
    <t>City of Butte City</t>
  </si>
  <si>
    <t>East Boise County EMS</t>
  </si>
  <si>
    <t>Marsing Ambulance EMS</t>
  </si>
  <si>
    <t>Ketchum Fire</t>
  </si>
  <si>
    <t>Robie Creek Fire</t>
  </si>
  <si>
    <t>Teton Valley Parks &amp; Rec</t>
  </si>
  <si>
    <t>NetValue</t>
  </si>
  <si>
    <t>LevyRate</t>
  </si>
  <si>
    <t>URadded</t>
  </si>
  <si>
    <t>MaxRate</t>
  </si>
  <si>
    <t>2026 Forgone</t>
  </si>
  <si>
    <t>Did this district receive Solar Farm Tax?
(Column 1 of "Recovered/Recaptured Property Tax and Refund List")</t>
  </si>
  <si>
    <t>Estimated tax for the current tax year from rate-regulated electric &amp; gas companies</t>
  </si>
  <si>
    <t>(36)</t>
  </si>
  <si>
    <t>Did this district levy for a bond in 2025 (prior year) that has now expired?</t>
  </si>
  <si>
    <t>Please list the amount levied in 2025 for the bond(s) which is(are) now expired:</t>
  </si>
  <si>
    <t>ExpiredBondsforKwH-thermTaxAdjustment</t>
  </si>
  <si>
    <t>Lost Rivers Medical Center</t>
  </si>
  <si>
    <t>Rate-Regulated Electric &amp; Gas Utility Taxes (kWh/therms tax)</t>
  </si>
  <si>
    <t>(37)</t>
  </si>
  <si>
    <t>(38)</t>
  </si>
  <si>
    <t>(39)</t>
  </si>
  <si>
    <t>90% of Annexation Value in line 8</t>
  </si>
  <si>
    <t>Allowable Budget Increase for Annexations Subject to 8% Cap (multiply line 9 by line 11)</t>
  </si>
  <si>
    <t>(40)</t>
  </si>
  <si>
    <t>Solar Farm Tax received in the highest budget of the last 3 years (added back in after all growth calculations)</t>
  </si>
  <si>
    <t>Total Property Tax Replacements (Add lines 28 thru 33)</t>
  </si>
  <si>
    <t>Total additional revenues to be subtracted from levying authority (Add lines 35 &amp; 36)</t>
  </si>
  <si>
    <t>Property Tax Replacements 
and Other Subtractions
(Line 34 + Line 37 
of 'L-2 Worksheet'")</t>
  </si>
  <si>
    <t>Total Expiring Urban Renewal Increment Value after Reductions (line 16 * 80%) + (line 17 * 90%)</t>
  </si>
  <si>
    <t>Allowable Budget Increase for Expiring Urban Renewal (line 18 multiplied by line 5)</t>
  </si>
  <si>
    <t>Allowable Budget Increase for New Construction Roll (multiply line 5 by line 6)</t>
  </si>
  <si>
    <t>Total of Budget Increases Listed Above (line 2 + line 7 + line 12)</t>
  </si>
  <si>
    <t>SCObudgetpenalty</t>
  </si>
  <si>
    <t>hypothetical calculations using 3% base budget increase for comparison</t>
  </si>
  <si>
    <t>2025-NonExemptLevyRate-FireAmbulanceOnly</t>
  </si>
  <si>
    <t>2023 kWh/therms tax</t>
  </si>
  <si>
    <t>2024 kWh/therms tax</t>
  </si>
  <si>
    <t>2025 kWh/therms tax</t>
  </si>
  <si>
    <t>AnnexationValueUnderPercentCap</t>
  </si>
  <si>
    <t>AnnexBudgetIncreaseUnderPercentCap</t>
  </si>
  <si>
    <t>PercentCap</t>
  </si>
  <si>
    <t>Percent Capped?</t>
  </si>
  <si>
    <t>GrowthLostToPercentCap</t>
  </si>
  <si>
    <t>AnnexationValueOutsidePercentCap</t>
  </si>
  <si>
    <t>AnnexBudgetIncreaseOutsidePercentCap</t>
  </si>
  <si>
    <t>If applicable, please fill out this page and return to your County Clerk with the L-2 form.</t>
  </si>
  <si>
    <t>Clearwater Valley School #245</t>
  </si>
  <si>
    <t>Grangeville School #246</t>
  </si>
  <si>
    <t>kWh-thermTaxRevenue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</si>
</sst>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 #,##0_);_(* \(#,##0\);_(* &quot;-&quot;??_);_(@_)"/>
    <numFmt numFmtId="166" formatCode="&quot;District Name:&quot;\ #"/>
    <numFmt numFmtId="167" formatCode="0.000000000"/>
    <numFmt numFmtId="168" formatCode="_(&quot;$&quot;* #,##0_);_(&quot;$&quot;* \(#,##0\);_(&quot;$&quot;* &quot;-&quot;??_);_(@_)"/>
    <numFmt numFmtId="169" formatCode="yyyy"/>
    <numFmt numFmtId="170" formatCode="m/d/yyyy;@"/>
    <numFmt numFmtId="171" formatCode="0.000%"/>
    <numFmt numFmtId="172" formatCode="#,##0.000000000_);\(#,##0.000000000\)"/>
    <numFmt numFmtId="173" formatCode="&quot;This value is over the limit&quot;\ #"/>
    <numFmt numFmtId="174" formatCode="_(* #,##0.000000000_);_(* \(#,##0.000000000\);_(* &quot;-&quot;??_);_(@_)"/>
    <numFmt numFmtId="175" formatCode="0.0000"/>
  </numFmts>
  <fonts count="36"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font>
    <font>
      <b/>
      <sz val="12"/>
      <color theme="1"/>
      <name val="Calibri"/>
      <family val="2"/>
    </font>
    <font>
      <sz val="12"/>
      <name val="Times New Roman"/>
      <family val="1"/>
    </font>
    <font>
      <sz val="10"/>
      <name val="Calibri"/>
      <family val="2"/>
    </font>
    <font>
      <sz val="12"/>
      <name val="Calibri"/>
      <family val="2"/>
    </font>
    <font>
      <sz val="10"/>
      <color theme="1"/>
      <name val="Calibri"/>
      <family val="2"/>
    </font>
    <font>
      <sz val="12"/>
      <color theme="1"/>
      <name val="Calibri"/>
      <family val="2"/>
      <scheme val="minor"/>
    </font>
    <font>
      <b/>
      <sz val="12"/>
      <name val="Calibri"/>
      <family val="2"/>
    </font>
    <font>
      <b/>
      <sz val="28"/>
      <name val="Calibri"/>
      <family val="2"/>
    </font>
    <font>
      <u/>
      <sz val="12"/>
      <name val="Calibri"/>
      <family val="2"/>
    </font>
    <font>
      <sz val="10"/>
      <color theme="0"/>
      <name val="Calibri"/>
      <family val="2"/>
    </font>
    <font>
      <b/>
      <u/>
      <sz val="16"/>
      <color theme="0"/>
      <name val="Calibri"/>
      <family val="2"/>
    </font>
    <font>
      <sz val="12"/>
      <color theme="1"/>
      <name val="Times New Roman"/>
      <family val="1"/>
    </font>
    <font>
      <b/>
      <u/>
      <sz val="10"/>
      <name val="Calibri"/>
      <family val="2"/>
    </font>
    <font>
      <b/>
      <sz val="18"/>
      <color theme="1"/>
      <name val="Calibri"/>
      <family val="2"/>
      <scheme val="minor"/>
    </font>
    <font>
      <sz val="12"/>
      <color theme="9" tint="0.39997558519241921"/>
      <name val="Calibri"/>
      <family val="2"/>
    </font>
    <font>
      <b/>
      <sz val="14"/>
      <color theme="1"/>
      <name val="Calibri"/>
      <family val="2"/>
      <scheme val="minor"/>
    </font>
    <font>
      <b/>
      <sz val="12"/>
      <color theme="1"/>
      <name val="Calibri"/>
      <family val="2"/>
      <scheme val="minor"/>
    </font>
    <font>
      <b/>
      <sz val="14"/>
      <name val="Calibri"/>
      <family val="2"/>
    </font>
    <font>
      <b/>
      <sz val="18"/>
      <name val="Calibri"/>
      <family val="2"/>
    </font>
    <font>
      <b/>
      <sz val="20"/>
      <color theme="1"/>
      <name val="Calibri"/>
      <family val="2"/>
    </font>
    <font>
      <b/>
      <sz val="16"/>
      <name val="Calibri"/>
      <family val="2"/>
    </font>
    <font>
      <b/>
      <sz val="20"/>
      <color theme="1"/>
      <name val="Calibri"/>
      <family val="2"/>
      <scheme val="minor"/>
    </font>
    <font>
      <sz val="8"/>
      <name val="Calibri"/>
      <family val="2"/>
      <scheme val="minor"/>
    </font>
    <font>
      <sz val="12"/>
      <color theme="0"/>
      <name val="Calibri"/>
      <family val="2"/>
      <scheme val="minor"/>
    </font>
    <font>
      <sz val="12"/>
      <color theme="0"/>
      <name val="Times New Roman"/>
      <family val="1"/>
    </font>
    <font>
      <sz val="10"/>
      <color theme="1"/>
      <name val="Calibri"/>
      <family val="2"/>
      <scheme val="minor"/>
    </font>
    <font>
      <b/>
      <u/>
      <sz val="16"/>
      <name val="Calibri"/>
      <family val="2"/>
    </font>
    <font>
      <b/>
      <sz val="24"/>
      <name val="Calibri"/>
      <family val="2"/>
    </font>
    <font>
      <b/>
      <sz val="12"/>
      <color rgb="FFFF0000"/>
      <name val="Calibri"/>
      <family val="2"/>
    </font>
    <font>
      <b/>
      <sz val="14"/>
      <color theme="1"/>
      <name val="Calibri"/>
      <family val="2"/>
    </font>
    <font>
      <sz val="14"/>
      <color theme="1"/>
      <name val="Calibri"/>
      <family val="2"/>
    </font>
    <font>
      <b/>
      <sz val="20"/>
      <name val="Calibri"/>
      <family val="2"/>
    </font>
  </fonts>
  <fills count="14">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EFBAC0"/>
        <bgColor indexed="64"/>
      </patternFill>
    </fill>
    <fill>
      <patternFill patternType="solid">
        <fgColor theme="0"/>
        <bgColor theme="0"/>
      </patternFill>
    </fill>
    <fill>
      <patternFill patternType="solid">
        <fgColor rgb="FFFCE4D6"/>
        <bgColor indexed="64"/>
      </patternFill>
    </fill>
    <fill>
      <patternFill patternType="solid">
        <fgColor theme="9" tint="0.59999389629810485"/>
        <bgColor theme="0"/>
      </patternFill>
    </fill>
  </fills>
  <borders count="86">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indexed="64"/>
      </left>
      <right style="thin">
        <color auto="1"/>
      </right>
      <top/>
      <bottom style="thin">
        <color auto="1"/>
      </bottom>
      <diagonal/>
    </border>
    <border>
      <left style="thin">
        <color indexed="64"/>
      </left>
      <right/>
      <top/>
      <bottom style="medium">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auto="1"/>
      </right>
      <top/>
      <bottom/>
      <diagonal/>
    </border>
    <border>
      <left style="thin">
        <color auto="1"/>
      </left>
      <right style="medium">
        <color auto="1"/>
      </right>
      <top/>
      <bottom/>
      <diagonal/>
    </border>
    <border>
      <left style="thin">
        <color indexed="64"/>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indexed="64"/>
      </bottom>
      <diagonal/>
    </border>
    <border>
      <left style="medium">
        <color auto="1"/>
      </left>
      <right style="thin">
        <color indexed="64"/>
      </right>
      <top/>
      <bottom style="thin">
        <color auto="1"/>
      </bottom>
      <diagonal/>
    </border>
    <border>
      <left style="medium">
        <color auto="1"/>
      </left>
      <right style="thin">
        <color indexed="64"/>
      </right>
      <top/>
      <bottom style="medium">
        <color auto="1"/>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auto="1"/>
      </right>
      <top style="thin">
        <color auto="1"/>
      </top>
      <bottom/>
      <diagonal/>
    </border>
    <border>
      <left style="thin">
        <color indexed="64"/>
      </left>
      <right style="thin">
        <color indexed="64"/>
      </right>
      <top style="medium">
        <color auto="1"/>
      </top>
      <bottom style="medium">
        <color auto="1"/>
      </bottom>
      <diagonal/>
    </border>
    <border>
      <left/>
      <right style="thin">
        <color indexed="64"/>
      </right>
      <top style="medium">
        <color auto="1"/>
      </top>
      <bottom style="medium">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right style="thin">
        <color auto="1"/>
      </right>
      <top style="thin">
        <color auto="1"/>
      </top>
      <bottom style="double">
        <color indexed="64"/>
      </bottom>
      <diagonal/>
    </border>
    <border>
      <left style="thin">
        <color auto="1"/>
      </left>
      <right/>
      <top style="double">
        <color indexed="64"/>
      </top>
      <bottom style="medium">
        <color indexed="64"/>
      </bottom>
      <diagonal/>
    </border>
    <border>
      <left/>
      <right style="thin">
        <color auto="1"/>
      </right>
      <top style="medium">
        <color auto="1"/>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auto="1"/>
      </top>
      <bottom style="thin">
        <color auto="1"/>
      </bottom>
      <diagonal/>
    </border>
    <border>
      <left/>
      <right style="medium">
        <color indexed="64"/>
      </right>
      <top style="double">
        <color indexed="64"/>
      </top>
      <bottom style="medium">
        <color indexed="64"/>
      </bottom>
      <diagonal/>
    </border>
    <border>
      <left style="medium">
        <color auto="1"/>
      </left>
      <right/>
      <top style="thin">
        <color auto="1"/>
      </top>
      <bottom style="double">
        <color indexed="64"/>
      </bottom>
      <diagonal/>
    </border>
    <border>
      <left style="medium">
        <color auto="1"/>
      </left>
      <right style="thin">
        <color auto="1"/>
      </right>
      <top/>
      <bottom style="double">
        <color indexed="64"/>
      </bottom>
      <diagonal/>
    </border>
    <border>
      <left style="thin">
        <color auto="1"/>
      </left>
      <right style="thin">
        <color auto="1"/>
      </right>
      <top/>
      <bottom style="double">
        <color indexed="64"/>
      </bottom>
      <diagonal/>
    </border>
    <border>
      <left style="thin">
        <color indexed="64"/>
      </left>
      <right/>
      <top/>
      <bottom style="double">
        <color indexed="64"/>
      </bottom>
      <diagonal/>
    </border>
    <border>
      <left style="medium">
        <color indexed="64"/>
      </left>
      <right style="medium">
        <color indexed="64"/>
      </right>
      <top style="medium">
        <color indexed="64"/>
      </top>
      <bottom style="medium">
        <color auto="1"/>
      </bottom>
      <diagonal/>
    </border>
    <border>
      <left/>
      <right/>
      <top style="thin">
        <color theme="4" tint="0.39997558519241921"/>
      </top>
      <bottom style="thin">
        <color theme="4" tint="0.39997558519241921"/>
      </bottom>
      <diagonal/>
    </border>
    <border>
      <left style="medium">
        <color auto="1"/>
      </left>
      <right style="thin">
        <color indexed="64"/>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auto="1"/>
      </left>
      <right/>
      <top style="thin">
        <color auto="1"/>
      </top>
      <bottom style="double">
        <color indexed="64"/>
      </bottom>
      <diagonal/>
    </border>
    <border>
      <left style="thin">
        <color indexed="64"/>
      </left>
      <right/>
      <top style="medium">
        <color indexed="64"/>
      </top>
      <bottom style="medium">
        <color indexed="64"/>
      </bottom>
      <diagonal/>
    </border>
    <border>
      <left/>
      <right style="thin">
        <color auto="1"/>
      </right>
      <top style="double">
        <color auto="1"/>
      </top>
      <bottom style="medium">
        <color auto="1"/>
      </bottom>
      <diagonal/>
    </border>
    <border>
      <left/>
      <right/>
      <top style="dotted">
        <color auto="1"/>
      </top>
      <bottom/>
      <diagonal/>
    </border>
  </borders>
  <cellStyleXfs count="1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43" fontId="5"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5" fillId="0" borderId="0"/>
    <xf numFmtId="43" fontId="5" fillId="0" borderId="0" applyFont="0" applyFill="0" applyBorder="0" applyAlignment="0" applyProtection="0"/>
    <xf numFmtId="44" fontId="9"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cellStyleXfs>
  <cellXfs count="751">
    <xf numFmtId="0" fontId="0" fillId="0" borderId="0" xfId="0"/>
    <xf numFmtId="0" fontId="8" fillId="0" borderId="0" xfId="0" applyFont="1"/>
    <xf numFmtId="0" fontId="5" fillId="0" borderId="0" xfId="114"/>
    <xf numFmtId="165" fontId="5" fillId="0" borderId="0" xfId="114" applyNumberFormat="1"/>
    <xf numFmtId="0" fontId="7" fillId="0" borderId="0" xfId="114" applyFont="1"/>
    <xf numFmtId="169" fontId="7" fillId="0" borderId="0" xfId="114" applyNumberFormat="1" applyFont="1"/>
    <xf numFmtId="0" fontId="7" fillId="0" borderId="0" xfId="118" applyFont="1"/>
    <xf numFmtId="0" fontId="10" fillId="0" borderId="0" xfId="118" applyFont="1"/>
    <xf numFmtId="0" fontId="10" fillId="0" borderId="0" xfId="114" applyFont="1"/>
    <xf numFmtId="0" fontId="7" fillId="0" borderId="0" xfId="114" applyFont="1" applyAlignment="1">
      <alignment horizontal="right"/>
    </xf>
    <xf numFmtId="0" fontId="7" fillId="7" borderId="0" xfId="114" applyFont="1" applyFill="1" applyAlignment="1">
      <alignment vertical="center" wrapText="1"/>
    </xf>
    <xf numFmtId="168" fontId="3" fillId="0" borderId="0" xfId="119" applyNumberFormat="1" applyFont="1" applyFill="1" applyBorder="1"/>
    <xf numFmtId="9" fontId="3" fillId="0" borderId="0" xfId="117" applyFont="1" applyFill="1" applyBorder="1" applyAlignment="1">
      <alignment horizontal="center"/>
    </xf>
    <xf numFmtId="0" fontId="7" fillId="0" borderId="0" xfId="114" applyFont="1" applyAlignment="1">
      <alignment horizontal="right" wrapText="1"/>
    </xf>
    <xf numFmtId="0" fontId="7" fillId="2" borderId="1" xfId="114" applyFont="1" applyFill="1" applyBorder="1" applyAlignment="1">
      <alignment horizontal="center"/>
    </xf>
    <xf numFmtId="0" fontId="4" fillId="2" borderId="0" xfId="114" applyFont="1" applyFill="1" applyAlignment="1">
      <alignment horizontal="center" vertical="center"/>
    </xf>
    <xf numFmtId="0" fontId="4" fillId="2" borderId="0" xfId="114" applyFont="1" applyFill="1" applyAlignment="1">
      <alignment horizontal="center" vertical="top" wrapText="1"/>
    </xf>
    <xf numFmtId="0" fontId="4" fillId="2" borderId="0" xfId="114" applyFont="1" applyFill="1" applyAlignment="1">
      <alignment horizontal="center" vertical="center" wrapText="1"/>
    </xf>
    <xf numFmtId="0" fontId="7" fillId="2" borderId="0" xfId="114" applyFont="1" applyFill="1" applyAlignment="1">
      <alignment horizontal="left" wrapText="1"/>
    </xf>
    <xf numFmtId="0" fontId="7" fillId="2" borderId="0" xfId="114" applyFont="1" applyFill="1"/>
    <xf numFmtId="0" fontId="4" fillId="5" borderId="45" xfId="114" applyFont="1" applyFill="1" applyBorder="1" applyAlignment="1">
      <alignment horizontal="center" wrapText="1"/>
    </xf>
    <xf numFmtId="167" fontId="7" fillId="2" borderId="1" xfId="114" applyNumberFormat="1" applyFont="1" applyFill="1" applyBorder="1"/>
    <xf numFmtId="37" fontId="10" fillId="2" borderId="24" xfId="65" applyNumberFormat="1" applyFont="1" applyFill="1" applyBorder="1" applyProtection="1"/>
    <xf numFmtId="0" fontId="10" fillId="7" borderId="0" xfId="114" applyFont="1" applyFill="1" applyAlignment="1">
      <alignment horizontal="right" vertical="center" wrapText="1"/>
    </xf>
    <xf numFmtId="164" fontId="12" fillId="7" borderId="0" xfId="114" applyNumberFormat="1" applyFont="1" applyFill="1" applyAlignment="1">
      <alignment horizontal="left" vertical="center" wrapText="1"/>
    </xf>
    <xf numFmtId="0" fontId="13" fillId="0" borderId="0" xfId="0" applyFont="1"/>
    <xf numFmtId="0" fontId="13" fillId="0" borderId="0" xfId="0" applyFont="1" applyAlignment="1">
      <alignment horizontal="center"/>
    </xf>
    <xf numFmtId="0" fontId="10" fillId="7" borderId="58" xfId="114" applyFont="1" applyFill="1" applyBorder="1" applyAlignment="1">
      <alignment horizontal="right" vertical="center" wrapText="1"/>
    </xf>
    <xf numFmtId="0" fontId="7" fillId="0" borderId="21" xfId="114" applyFont="1" applyBorder="1"/>
    <xf numFmtId="0" fontId="7" fillId="2" borderId="4" xfId="114" applyFont="1" applyFill="1" applyBorder="1" applyAlignment="1">
      <alignment horizontal="center"/>
    </xf>
    <xf numFmtId="164" fontId="7" fillId="2" borderId="4" xfId="114" applyNumberFormat="1" applyFont="1" applyFill="1" applyBorder="1" applyAlignment="1">
      <alignment vertical="center" wrapText="1"/>
    </xf>
    <xf numFmtId="0" fontId="7" fillId="7" borderId="6" xfId="114" applyFont="1" applyFill="1" applyBorder="1" applyAlignment="1" applyProtection="1">
      <alignment vertical="center" wrapText="1"/>
      <protection locked="0"/>
    </xf>
    <xf numFmtId="164" fontId="5" fillId="0" borderId="0" xfId="114" applyNumberFormat="1"/>
    <xf numFmtId="171" fontId="3" fillId="2" borderId="1" xfId="117" applyNumberFormat="1" applyFont="1" applyFill="1" applyBorder="1" applyProtection="1"/>
    <xf numFmtId="0" fontId="3" fillId="2" borderId="4" xfId="114" applyFont="1" applyFill="1" applyBorder="1" applyAlignment="1">
      <alignment horizontal="center"/>
    </xf>
    <xf numFmtId="164" fontId="7" fillId="9" borderId="1" xfId="65" applyNumberFormat="1" applyFont="1" applyFill="1" applyBorder="1" applyProtection="1">
      <protection locked="0"/>
    </xf>
    <xf numFmtId="164" fontId="7" fillId="9" borderId="65" xfId="65" applyNumberFormat="1" applyFont="1" applyFill="1" applyBorder="1" applyProtection="1">
      <protection locked="0"/>
    </xf>
    <xf numFmtId="0" fontId="7" fillId="9" borderId="1" xfId="114" applyFont="1" applyFill="1" applyBorder="1" applyProtection="1">
      <protection locked="0"/>
    </xf>
    <xf numFmtId="0" fontId="7" fillId="9" borderId="45" xfId="114" applyFont="1" applyFill="1" applyBorder="1" applyProtection="1">
      <protection locked="0"/>
    </xf>
    <xf numFmtId="164" fontId="7" fillId="9" borderId="12" xfId="114" applyNumberFormat="1" applyFont="1" applyFill="1" applyBorder="1" applyProtection="1">
      <protection locked="0"/>
    </xf>
    <xf numFmtId="164" fontId="7" fillId="9" borderId="4" xfId="114" applyNumberFormat="1" applyFont="1" applyFill="1" applyBorder="1" applyProtection="1">
      <protection locked="0"/>
    </xf>
    <xf numFmtId="164" fontId="7" fillId="9" borderId="7" xfId="114" applyNumberFormat="1" applyFont="1" applyFill="1" applyBorder="1" applyProtection="1">
      <protection locked="0"/>
    </xf>
    <xf numFmtId="164" fontId="7" fillId="9" borderId="1" xfId="114" applyNumberFormat="1" applyFont="1" applyFill="1" applyBorder="1" applyAlignment="1" applyProtection="1">
      <alignment horizontal="center"/>
      <protection locked="0"/>
    </xf>
    <xf numFmtId="164" fontId="3" fillId="9" borderId="1" xfId="119" applyNumberFormat="1" applyFont="1" applyFill="1" applyBorder="1" applyProtection="1">
      <protection locked="0"/>
    </xf>
    <xf numFmtId="164" fontId="7" fillId="9" borderId="15" xfId="114" applyNumberFormat="1" applyFont="1" applyFill="1" applyBorder="1" applyProtection="1">
      <protection locked="0"/>
    </xf>
    <xf numFmtId="5" fontId="3" fillId="9" borderId="1" xfId="65" applyNumberFormat="1" applyFont="1" applyFill="1" applyBorder="1" applyAlignment="1" applyProtection="1">
      <alignment horizontal="right"/>
      <protection locked="0"/>
    </xf>
    <xf numFmtId="164" fontId="7" fillId="2" borderId="12" xfId="114" applyNumberFormat="1" applyFont="1" applyFill="1" applyBorder="1" applyAlignment="1">
      <alignment horizontal="right" vertical="center" wrapText="1"/>
    </xf>
    <xf numFmtId="5" fontId="7" fillId="2" borderId="1" xfId="65" applyNumberFormat="1" applyFont="1" applyFill="1" applyBorder="1" applyProtection="1"/>
    <xf numFmtId="5" fontId="7" fillId="2" borderId="45" xfId="65" applyNumberFormat="1" applyFont="1" applyFill="1" applyBorder="1" applyProtection="1"/>
    <xf numFmtId="164" fontId="7" fillId="0" borderId="0" xfId="114" applyNumberFormat="1" applyFont="1"/>
    <xf numFmtId="42" fontId="7" fillId="0" borderId="0" xfId="114" applyNumberFormat="1" applyFont="1"/>
    <xf numFmtId="0" fontId="7" fillId="2" borderId="13" xfId="121" applyFont="1" applyFill="1" applyBorder="1"/>
    <xf numFmtId="0" fontId="7" fillId="2" borderId="64" xfId="121" applyFont="1" applyFill="1" applyBorder="1"/>
    <xf numFmtId="0" fontId="10" fillId="5" borderId="49" xfId="114" applyFont="1" applyFill="1" applyBorder="1" applyAlignment="1">
      <alignment horizontal="center"/>
    </xf>
    <xf numFmtId="0" fontId="7" fillId="0" borderId="0" xfId="114" applyFont="1" applyProtection="1">
      <protection locked="0"/>
    </xf>
    <xf numFmtId="0" fontId="6" fillId="0" borderId="0" xfId="0" applyFont="1"/>
    <xf numFmtId="0" fontId="14" fillId="0" borderId="0" xfId="0" applyFont="1" applyAlignment="1">
      <alignment vertical="center"/>
    </xf>
    <xf numFmtId="0" fontId="7" fillId="0" borderId="20" xfId="114" applyFont="1" applyBorder="1"/>
    <xf numFmtId="0" fontId="7" fillId="0" borderId="16" xfId="114" applyFont="1" applyBorder="1"/>
    <xf numFmtId="5" fontId="7" fillId="9" borderId="1" xfId="65" applyNumberFormat="1" applyFont="1" applyFill="1" applyBorder="1" applyAlignment="1" applyProtection="1">
      <alignment horizontal="right"/>
      <protection locked="0"/>
    </xf>
    <xf numFmtId="5" fontId="7" fillId="2" borderId="32" xfId="65" applyNumberFormat="1" applyFont="1" applyFill="1" applyBorder="1" applyProtection="1"/>
    <xf numFmtId="0" fontId="7" fillId="9" borderId="32" xfId="114" applyFont="1" applyFill="1" applyBorder="1" applyProtection="1">
      <protection locked="0"/>
    </xf>
    <xf numFmtId="164" fontId="4" fillId="0" borderId="24" xfId="65" applyNumberFormat="1" applyFont="1" applyBorder="1"/>
    <xf numFmtId="164" fontId="4" fillId="0" borderId="23" xfId="65" applyNumberFormat="1" applyFont="1" applyBorder="1"/>
    <xf numFmtId="164" fontId="3" fillId="0" borderId="37" xfId="65" applyNumberFormat="1" applyFont="1" applyBorder="1"/>
    <xf numFmtId="164" fontId="3" fillId="0" borderId="65" xfId="65" applyNumberFormat="1" applyFont="1" applyBorder="1"/>
    <xf numFmtId="0" fontId="7" fillId="9" borderId="40" xfId="114" applyFont="1" applyFill="1" applyBorder="1" applyProtection="1">
      <protection locked="0"/>
    </xf>
    <xf numFmtId="164" fontId="7" fillId="2" borderId="4" xfId="65" applyNumberFormat="1" applyFont="1" applyFill="1" applyBorder="1"/>
    <xf numFmtId="164" fontId="7" fillId="2" borderId="15" xfId="65" applyNumberFormat="1" applyFont="1" applyFill="1" applyBorder="1"/>
    <xf numFmtId="0" fontId="10" fillId="2" borderId="51" xfId="114" applyFont="1" applyFill="1" applyBorder="1" applyAlignment="1">
      <alignment horizontal="left"/>
    </xf>
    <xf numFmtId="5" fontId="3" fillId="9" borderId="32" xfId="65" applyNumberFormat="1" applyFont="1" applyFill="1" applyBorder="1" applyAlignment="1" applyProtection="1">
      <alignment horizontal="right"/>
      <protection locked="0"/>
    </xf>
    <xf numFmtId="164" fontId="3" fillId="0" borderId="0" xfId="114" applyNumberFormat="1" applyFont="1"/>
    <xf numFmtId="0" fontId="7" fillId="2" borderId="51" xfId="114" applyFont="1" applyFill="1" applyBorder="1" applyAlignment="1">
      <alignment horizontal="left"/>
    </xf>
    <xf numFmtId="37" fontId="7" fillId="2" borderId="24" xfId="65" applyNumberFormat="1" applyFont="1" applyFill="1" applyBorder="1" applyProtection="1"/>
    <xf numFmtId="0" fontId="10" fillId="5" borderId="40" xfId="114" applyFont="1" applyFill="1" applyBorder="1" applyAlignment="1">
      <alignment horizontal="center"/>
    </xf>
    <xf numFmtId="168" fontId="3" fillId="0" borderId="24" xfId="119" applyNumberFormat="1" applyFont="1" applyBorder="1"/>
    <xf numFmtId="164" fontId="7" fillId="9" borderId="37" xfId="114" applyNumberFormat="1" applyFont="1" applyFill="1" applyBorder="1" applyAlignment="1" applyProtection="1">
      <alignment horizontal="center"/>
      <protection locked="0"/>
    </xf>
    <xf numFmtId="164" fontId="3" fillId="9" borderId="37" xfId="119" applyNumberFormat="1" applyFont="1" applyFill="1" applyBorder="1" applyProtection="1">
      <protection locked="0"/>
    </xf>
    <xf numFmtId="171" fontId="3" fillId="2" borderId="37" xfId="117" applyNumberFormat="1" applyFont="1" applyFill="1" applyBorder="1" applyProtection="1"/>
    <xf numFmtId="0" fontId="3" fillId="2" borderId="7" xfId="114" applyFont="1" applyFill="1" applyBorder="1" applyAlignment="1">
      <alignment horizontal="center"/>
    </xf>
    <xf numFmtId="5" fontId="7" fillId="9" borderId="45" xfId="65" applyNumberFormat="1" applyFont="1" applyFill="1" applyBorder="1" applyAlignment="1" applyProtection="1">
      <alignment horizontal="right"/>
      <protection locked="0"/>
    </xf>
    <xf numFmtId="5" fontId="7" fillId="2" borderId="76" xfId="65" applyNumberFormat="1" applyFont="1" applyFill="1" applyBorder="1" applyProtection="1"/>
    <xf numFmtId="0" fontId="7" fillId="9" borderId="76" xfId="114" applyFont="1" applyFill="1" applyBorder="1" applyProtection="1">
      <protection locked="0"/>
    </xf>
    <xf numFmtId="5" fontId="7" fillId="2" borderId="40" xfId="65" applyNumberFormat="1" applyFont="1" applyFill="1" applyBorder="1" applyProtection="1"/>
    <xf numFmtId="0" fontId="7" fillId="2" borderId="49" xfId="114" applyFont="1" applyFill="1" applyBorder="1"/>
    <xf numFmtId="0" fontId="7" fillId="2" borderId="13" xfId="114" applyFont="1" applyFill="1" applyBorder="1"/>
    <xf numFmtId="0" fontId="7" fillId="2" borderId="13" xfId="65" applyNumberFormat="1" applyFont="1" applyFill="1" applyBorder="1" applyProtection="1"/>
    <xf numFmtId="0" fontId="7" fillId="2" borderId="75" xfId="65" applyNumberFormat="1" applyFont="1" applyFill="1" applyBorder="1" applyProtection="1"/>
    <xf numFmtId="172" fontId="7" fillId="2" borderId="24" xfId="65" applyNumberFormat="1" applyFont="1" applyFill="1" applyBorder="1" applyProtection="1"/>
    <xf numFmtId="172" fontId="10" fillId="2" borderId="24" xfId="65" applyNumberFormat="1" applyFont="1" applyFill="1" applyBorder="1" applyProtection="1"/>
    <xf numFmtId="0" fontId="15" fillId="0" borderId="0" xfId="0" applyFont="1"/>
    <xf numFmtId="0" fontId="16" fillId="0" borderId="0" xfId="0" applyFont="1" applyAlignment="1">
      <alignment vertical="center"/>
    </xf>
    <xf numFmtId="165" fontId="0" fillId="0" borderId="0" xfId="123" applyNumberFormat="1" applyFont="1"/>
    <xf numFmtId="0" fontId="0" fillId="11" borderId="0" xfId="0" applyFill="1"/>
    <xf numFmtId="0" fontId="10" fillId="2" borderId="1" xfId="0" applyFont="1" applyFill="1" applyBorder="1"/>
    <xf numFmtId="0" fontId="10" fillId="2" borderId="14" xfId="0" applyFont="1" applyFill="1" applyBorder="1" applyAlignment="1">
      <alignment horizontal="left"/>
    </xf>
    <xf numFmtId="0" fontId="10" fillId="2" borderId="14" xfId="0" applyFont="1" applyFill="1" applyBorder="1"/>
    <xf numFmtId="0" fontId="10" fillId="2" borderId="27" xfId="0" applyFont="1" applyFill="1" applyBorder="1"/>
    <xf numFmtId="0" fontId="0" fillId="0" borderId="18" xfId="0" applyBorder="1"/>
    <xf numFmtId="0" fontId="0" fillId="0" borderId="19" xfId="0" applyBorder="1"/>
    <xf numFmtId="0" fontId="0" fillId="9" borderId="18" xfId="0" applyFill="1" applyBorder="1"/>
    <xf numFmtId="0" fontId="0" fillId="9" borderId="19" xfId="0" applyFill="1" applyBorder="1"/>
    <xf numFmtId="0" fontId="0" fillId="10" borderId="18" xfId="0" applyFill="1" applyBorder="1"/>
    <xf numFmtId="0" fontId="0" fillId="10" borderId="19" xfId="0" applyFill="1" applyBorder="1"/>
    <xf numFmtId="0" fontId="7" fillId="0" borderId="14" xfId="114" applyFont="1" applyBorder="1" applyAlignment="1">
      <alignment horizontal="center"/>
    </xf>
    <xf numFmtId="0" fontId="7" fillId="0" borderId="43" xfId="114" applyFont="1" applyBorder="1" applyAlignment="1">
      <alignment horizontal="left"/>
    </xf>
    <xf numFmtId="0" fontId="7" fillId="0" borderId="19" xfId="114" applyFont="1" applyBorder="1" applyAlignment="1">
      <alignment horizontal="left"/>
    </xf>
    <xf numFmtId="0" fontId="10" fillId="2" borderId="1" xfId="0" applyFont="1" applyFill="1" applyBorder="1" applyAlignment="1">
      <alignment horizontal="left"/>
    </xf>
    <xf numFmtId="0" fontId="10" fillId="2" borderId="32" xfId="0" applyFont="1" applyFill="1" applyBorder="1" applyAlignment="1">
      <alignment horizontal="left"/>
    </xf>
    <xf numFmtId="0" fontId="10" fillId="2" borderId="18" xfId="0" applyFont="1" applyFill="1" applyBorder="1" applyAlignment="1">
      <alignment horizontal="center"/>
    </xf>
    <xf numFmtId="0" fontId="10" fillId="2" borderId="36" xfId="0" applyFont="1" applyFill="1" applyBorder="1" applyAlignment="1">
      <alignment horizontal="center"/>
    </xf>
    <xf numFmtId="0" fontId="10" fillId="2" borderId="18" xfId="0" applyFont="1" applyFill="1" applyBorder="1" applyAlignment="1">
      <alignment horizontal="left"/>
    </xf>
    <xf numFmtId="5" fontId="7" fillId="0" borderId="45" xfId="65" applyNumberFormat="1" applyFont="1" applyFill="1" applyBorder="1" applyAlignment="1" applyProtection="1">
      <alignment horizontal="right"/>
    </xf>
    <xf numFmtId="0" fontId="7" fillId="9" borderId="1" xfId="114" applyFont="1" applyFill="1" applyBorder="1" applyAlignment="1" applyProtection="1">
      <alignment horizontal="center"/>
      <protection locked="0"/>
    </xf>
    <xf numFmtId="0" fontId="7" fillId="9" borderId="4" xfId="114" applyFont="1" applyFill="1" applyBorder="1" applyAlignment="1" applyProtection="1">
      <alignment vertical="center" wrapText="1"/>
      <protection locked="0"/>
    </xf>
    <xf numFmtId="170" fontId="7" fillId="9" borderId="40" xfId="114" applyNumberFormat="1" applyFont="1" applyFill="1" applyBorder="1" applyProtection="1">
      <protection locked="0"/>
    </xf>
    <xf numFmtId="170" fontId="7" fillId="9" borderId="1" xfId="114" applyNumberFormat="1" applyFont="1" applyFill="1" applyBorder="1" applyProtection="1">
      <protection locked="0"/>
    </xf>
    <xf numFmtId="170" fontId="7" fillId="9" borderId="13" xfId="114" applyNumberFormat="1" applyFont="1" applyFill="1" applyBorder="1" applyAlignment="1" applyProtection="1">
      <alignment horizontal="center"/>
      <protection locked="0"/>
    </xf>
    <xf numFmtId="170" fontId="7" fillId="9" borderId="55" xfId="114" applyNumberFormat="1" applyFont="1" applyFill="1" applyBorder="1" applyAlignment="1" applyProtection="1">
      <alignment horizontal="center"/>
      <protection locked="0"/>
    </xf>
    <xf numFmtId="0" fontId="7" fillId="9" borderId="37" xfId="114" applyFont="1" applyFill="1" applyBorder="1" applyAlignment="1" applyProtection="1">
      <alignment horizontal="center"/>
      <protection locked="0"/>
    </xf>
    <xf numFmtId="165" fontId="10" fillId="0" borderId="32" xfId="115" quotePrefix="1" applyNumberFormat="1" applyFont="1" applyBorder="1" applyAlignment="1" applyProtection="1">
      <alignment horizontal="center" vertical="center"/>
    </xf>
    <xf numFmtId="165" fontId="10" fillId="0" borderId="45" xfId="115" quotePrefix="1" applyNumberFormat="1" applyFont="1" applyBorder="1" applyAlignment="1" applyProtection="1">
      <alignment horizontal="center" vertical="center"/>
    </xf>
    <xf numFmtId="165" fontId="10" fillId="0" borderId="24" xfId="115" quotePrefix="1" applyNumberFormat="1" applyFont="1" applyBorder="1" applyAlignment="1" applyProtection="1">
      <alignment horizontal="center" vertical="center"/>
    </xf>
    <xf numFmtId="164" fontId="4" fillId="0" borderId="78" xfId="65" applyNumberFormat="1" applyFont="1" applyBorder="1"/>
    <xf numFmtId="164" fontId="4" fillId="12" borderId="3" xfId="65" applyNumberFormat="1" applyFont="1" applyFill="1" applyBorder="1"/>
    <xf numFmtId="165" fontId="10" fillId="0" borderId="1" xfId="115" quotePrefix="1" applyNumberFormat="1" applyFont="1" applyBorder="1" applyAlignment="1" applyProtection="1">
      <alignment horizontal="center" vertical="center"/>
    </xf>
    <xf numFmtId="167" fontId="3" fillId="0" borderId="1" xfId="115" applyNumberFormat="1" applyFont="1" applyBorder="1" applyAlignment="1" applyProtection="1">
      <alignment horizontal="right" vertical="center"/>
    </xf>
    <xf numFmtId="165" fontId="10" fillId="4" borderId="1" xfId="115" quotePrefix="1" applyNumberFormat="1" applyFont="1" applyFill="1" applyBorder="1" applyAlignment="1" applyProtection="1">
      <alignment horizontal="center" vertical="center"/>
    </xf>
    <xf numFmtId="165" fontId="10" fillId="4" borderId="4" xfId="115" quotePrefix="1" applyNumberFormat="1" applyFont="1" applyFill="1" applyBorder="1" applyAlignment="1" applyProtection="1">
      <alignment horizontal="center" vertical="center"/>
    </xf>
    <xf numFmtId="165" fontId="10" fillId="8" borderId="4" xfId="115" quotePrefix="1" applyNumberFormat="1" applyFont="1" applyFill="1" applyBorder="1" applyAlignment="1" applyProtection="1">
      <alignment horizontal="center" vertical="center"/>
    </xf>
    <xf numFmtId="165" fontId="10" fillId="2" borderId="1" xfId="115" quotePrefix="1" applyNumberFormat="1" applyFont="1" applyFill="1" applyBorder="1" applyAlignment="1" applyProtection="1">
      <alignment horizontal="center" vertical="center"/>
    </xf>
    <xf numFmtId="167" fontId="3" fillId="0" borderId="19" xfId="115" applyNumberFormat="1" applyFont="1" applyBorder="1" applyAlignment="1" applyProtection="1">
      <alignment horizontal="right" vertical="center"/>
    </xf>
    <xf numFmtId="168" fontId="3" fillId="0" borderId="4" xfId="116" applyNumberFormat="1" applyFont="1" applyBorder="1" applyAlignment="1" applyProtection="1">
      <alignment vertical="center"/>
    </xf>
    <xf numFmtId="165" fontId="3" fillId="4" borderId="4" xfId="115" applyNumberFormat="1" applyFont="1" applyFill="1" applyBorder="1" applyAlignment="1" applyProtection="1">
      <alignment vertical="center"/>
    </xf>
    <xf numFmtId="0" fontId="10" fillId="2" borderId="38" xfId="114" quotePrefix="1" applyFont="1" applyFill="1" applyBorder="1" applyAlignment="1">
      <alignment horizontal="center" vertical="center" wrapText="1"/>
    </xf>
    <xf numFmtId="0" fontId="7" fillId="7" borderId="2" xfId="114" applyFont="1" applyFill="1" applyBorder="1" applyAlignment="1">
      <alignment vertical="center" wrapText="1"/>
    </xf>
    <xf numFmtId="0" fontId="7" fillId="7" borderId="0" xfId="114" applyFont="1" applyFill="1" applyAlignment="1">
      <alignment vertical="center"/>
    </xf>
    <xf numFmtId="0" fontId="7" fillId="7" borderId="2" xfId="114" applyFont="1" applyFill="1" applyBorder="1" applyAlignment="1">
      <alignment vertical="center"/>
    </xf>
    <xf numFmtId="164" fontId="7" fillId="9" borderId="4" xfId="114" applyNumberFormat="1" applyFont="1" applyFill="1" applyBorder="1" applyAlignment="1" applyProtection="1">
      <alignment vertical="center" wrapText="1"/>
      <protection locked="0"/>
    </xf>
    <xf numFmtId="170" fontId="7" fillId="9" borderId="32" xfId="114" applyNumberFormat="1" applyFont="1" applyFill="1" applyBorder="1" applyAlignment="1" applyProtection="1">
      <alignment horizontal="left" wrapText="1" indent="3"/>
      <protection locked="0"/>
    </xf>
    <xf numFmtId="0" fontId="7" fillId="9" borderId="32" xfId="114" applyFont="1" applyFill="1" applyBorder="1" applyAlignment="1" applyProtection="1">
      <alignment horizontal="left" wrapText="1" indent="3"/>
      <protection locked="0"/>
    </xf>
    <xf numFmtId="170" fontId="7" fillId="9" borderId="1" xfId="114" applyNumberFormat="1" applyFont="1" applyFill="1" applyBorder="1" applyAlignment="1" applyProtection="1">
      <alignment horizontal="left" wrapText="1" indent="3"/>
      <protection locked="0"/>
    </xf>
    <xf numFmtId="0" fontId="7" fillId="9" borderId="1" xfId="114" applyFont="1" applyFill="1" applyBorder="1" applyAlignment="1" applyProtection="1">
      <alignment horizontal="left" wrapText="1" indent="3"/>
      <protection locked="0"/>
    </xf>
    <xf numFmtId="170" fontId="7" fillId="9" borderId="37" xfId="114" applyNumberFormat="1" applyFont="1" applyFill="1" applyBorder="1" applyAlignment="1" applyProtection="1">
      <alignment horizontal="left" wrapText="1" indent="3"/>
      <protection locked="0"/>
    </xf>
    <xf numFmtId="0" fontId="7" fillId="9" borderId="37" xfId="114" applyFont="1" applyFill="1" applyBorder="1" applyAlignment="1" applyProtection="1">
      <alignment horizontal="left" wrapText="1" indent="3"/>
      <protection locked="0"/>
    </xf>
    <xf numFmtId="0" fontId="0" fillId="0" borderId="3" xfId="0" applyBorder="1"/>
    <xf numFmtId="0" fontId="0" fillId="0" borderId="63" xfId="0" applyBorder="1"/>
    <xf numFmtId="0" fontId="20" fillId="11" borderId="0" xfId="0" applyFont="1" applyFill="1"/>
    <xf numFmtId="49" fontId="15" fillId="0" borderId="0" xfId="0" applyNumberFormat="1" applyFont="1"/>
    <xf numFmtId="0" fontId="6" fillId="5" borderId="0" xfId="0" applyFont="1" applyFill="1"/>
    <xf numFmtId="0" fontId="8" fillId="5" borderId="0" xfId="0" applyFont="1" applyFill="1"/>
    <xf numFmtId="164" fontId="3" fillId="0" borderId="66" xfId="65" applyNumberFormat="1" applyFont="1" applyBorder="1"/>
    <xf numFmtId="0" fontId="7" fillId="0" borderId="5" xfId="114" applyFont="1" applyBorder="1" applyAlignment="1">
      <alignment horizontal="left"/>
    </xf>
    <xf numFmtId="164" fontId="7" fillId="2" borderId="7" xfId="65" applyNumberFormat="1" applyFont="1" applyFill="1" applyBorder="1"/>
    <xf numFmtId="165" fontId="10" fillId="4" borderId="32" xfId="115" quotePrefix="1" applyNumberFormat="1" applyFont="1" applyFill="1" applyBorder="1" applyAlignment="1" applyProtection="1">
      <alignment horizontal="center" vertical="center"/>
    </xf>
    <xf numFmtId="165" fontId="10" fillId="4" borderId="15" xfId="115" quotePrefix="1" applyNumberFormat="1" applyFont="1" applyFill="1" applyBorder="1" applyAlignment="1" applyProtection="1">
      <alignment horizontal="center" vertical="center"/>
    </xf>
    <xf numFmtId="0" fontId="0" fillId="0" borderId="26" xfId="0" applyBorder="1"/>
    <xf numFmtId="165" fontId="0" fillId="0" borderId="26" xfId="123" applyNumberFormat="1" applyFont="1" applyBorder="1"/>
    <xf numFmtId="164" fontId="10" fillId="2" borderId="53" xfId="65" applyNumberFormat="1" applyFont="1" applyFill="1" applyBorder="1"/>
    <xf numFmtId="164" fontId="10" fillId="2" borderId="78" xfId="114" applyNumberFormat="1" applyFont="1" applyFill="1" applyBorder="1"/>
    <xf numFmtId="0" fontId="10" fillId="7" borderId="10" xfId="114" applyFont="1" applyFill="1" applyBorder="1" applyAlignment="1">
      <alignment horizontal="right" vertical="center"/>
    </xf>
    <xf numFmtId="0" fontId="7" fillId="7" borderId="10" xfId="114" applyFont="1" applyFill="1" applyBorder="1" applyAlignment="1">
      <alignment vertical="center" wrapText="1"/>
    </xf>
    <xf numFmtId="0" fontId="7" fillId="7" borderId="8" xfId="114" applyFont="1" applyFill="1" applyBorder="1" applyAlignment="1">
      <alignment vertical="center"/>
    </xf>
    <xf numFmtId="0" fontId="10" fillId="2" borderId="1" xfId="114" applyFont="1" applyFill="1" applyBorder="1"/>
    <xf numFmtId="10" fontId="10" fillId="0" borderId="1" xfId="0" applyNumberFormat="1" applyFont="1" applyBorder="1" applyAlignment="1">
      <alignment vertical="center"/>
    </xf>
    <xf numFmtId="168" fontId="10" fillId="0" borderId="4" xfId="116" applyNumberFormat="1" applyFont="1" applyFill="1" applyBorder="1" applyAlignment="1">
      <alignment vertical="center"/>
    </xf>
    <xf numFmtId="10" fontId="10" fillId="0" borderId="37" xfId="0" applyNumberFormat="1" applyFont="1" applyBorder="1" applyAlignment="1">
      <alignment vertical="center"/>
    </xf>
    <xf numFmtId="168" fontId="10" fillId="0" borderId="7" xfId="116" applyNumberFormat="1" applyFont="1" applyFill="1" applyBorder="1" applyAlignment="1">
      <alignment vertical="center"/>
    </xf>
    <xf numFmtId="10" fontId="10" fillId="0" borderId="1" xfId="124" applyNumberFormat="1" applyFont="1" applyFill="1" applyBorder="1" applyAlignment="1">
      <alignment vertical="center"/>
    </xf>
    <xf numFmtId="168" fontId="3" fillId="0" borderId="1" xfId="65" applyNumberFormat="1" applyFont="1" applyBorder="1" applyAlignment="1" applyProtection="1">
      <alignment vertical="center"/>
    </xf>
    <xf numFmtId="168" fontId="3" fillId="0" borderId="32" xfId="115" applyNumberFormat="1" applyFont="1" applyBorder="1" applyAlignment="1" applyProtection="1">
      <alignment vertical="center"/>
    </xf>
    <xf numFmtId="168" fontId="3" fillId="0" borderId="1" xfId="115" applyNumberFormat="1" applyFont="1" applyBorder="1" applyAlignment="1" applyProtection="1">
      <alignment vertical="center"/>
    </xf>
    <xf numFmtId="168" fontId="3" fillId="0" borderId="4" xfId="115" applyNumberFormat="1" applyFont="1" applyBorder="1" applyAlignment="1" applyProtection="1">
      <alignment vertical="center"/>
    </xf>
    <xf numFmtId="168" fontId="3" fillId="0" borderId="19" xfId="115" applyNumberFormat="1" applyFont="1" applyBorder="1" applyAlignment="1" applyProtection="1">
      <alignment vertical="center"/>
    </xf>
    <xf numFmtId="168" fontId="3" fillId="0" borderId="15" xfId="115" applyNumberFormat="1" applyFont="1" applyBorder="1" applyAlignment="1" applyProtection="1">
      <alignment vertical="center"/>
    </xf>
    <xf numFmtId="168" fontId="7" fillId="0" borderId="23" xfId="115" applyNumberFormat="1" applyFont="1" applyBorder="1" applyAlignment="1" applyProtection="1">
      <alignment horizontal="right" vertical="center"/>
    </xf>
    <xf numFmtId="165" fontId="0" fillId="0" borderId="0" xfId="123" applyNumberFormat="1" applyFont="1" applyFill="1"/>
    <xf numFmtId="49" fontId="0" fillId="0" borderId="0" xfId="0" applyNumberFormat="1"/>
    <xf numFmtId="0" fontId="6" fillId="6" borderId="0" xfId="0" applyFont="1" applyFill="1"/>
    <xf numFmtId="0" fontId="8" fillId="0" borderId="0" xfId="0" quotePrefix="1" applyFont="1"/>
    <xf numFmtId="0" fontId="29" fillId="0" borderId="0" xfId="0" applyFont="1"/>
    <xf numFmtId="168" fontId="5" fillId="0" borderId="0" xfId="116" applyNumberFormat="1" applyFont="1"/>
    <xf numFmtId="165" fontId="0" fillId="6" borderId="0" xfId="123" applyNumberFormat="1" applyFont="1" applyFill="1"/>
    <xf numFmtId="165" fontId="0" fillId="0" borderId="0" xfId="123" applyNumberFormat="1" applyFont="1" applyProtection="1"/>
    <xf numFmtId="174" fontId="0" fillId="0" borderId="0" xfId="123" applyNumberFormat="1" applyFont="1" applyProtection="1"/>
    <xf numFmtId="174" fontId="0" fillId="0" borderId="0" xfId="123" applyNumberFormat="1" applyFont="1" applyBorder="1" applyProtection="1"/>
    <xf numFmtId="165" fontId="0" fillId="0" borderId="0" xfId="123" applyNumberFormat="1" applyFont="1" applyBorder="1" applyProtection="1"/>
    <xf numFmtId="165" fontId="0" fillId="0" borderId="26" xfId="123" applyNumberFormat="1" applyFont="1" applyBorder="1" applyProtection="1"/>
    <xf numFmtId="174" fontId="0" fillId="0" borderId="26" xfId="123" applyNumberFormat="1" applyFont="1" applyBorder="1" applyProtection="1"/>
    <xf numFmtId="0" fontId="10" fillId="3" borderId="29" xfId="114" applyFont="1" applyFill="1" applyBorder="1" applyAlignment="1" applyProtection="1">
      <alignment vertical="center" wrapText="1"/>
      <protection hidden="1"/>
    </xf>
    <xf numFmtId="0" fontId="10" fillId="5" borderId="12" xfId="114" applyFont="1" applyFill="1" applyBorder="1" applyAlignment="1" applyProtection="1">
      <alignment horizontal="center" vertical="center"/>
      <protection hidden="1"/>
    </xf>
    <xf numFmtId="0" fontId="7" fillId="0" borderId="14" xfId="114" applyFont="1" applyBorder="1" applyAlignment="1" applyProtection="1">
      <alignment vertical="center" wrapText="1"/>
      <protection hidden="1"/>
    </xf>
    <xf numFmtId="168" fontId="7" fillId="0" borderId="4" xfId="116" applyNumberFormat="1" applyFont="1" applyBorder="1" applyAlignment="1" applyProtection="1">
      <alignment vertical="center" wrapText="1"/>
      <protection hidden="1"/>
    </xf>
    <xf numFmtId="0" fontId="7" fillId="0" borderId="27" xfId="114" applyFont="1" applyBorder="1" applyAlignment="1" applyProtection="1">
      <alignment vertical="center" wrapText="1"/>
      <protection hidden="1"/>
    </xf>
    <xf numFmtId="168" fontId="7" fillId="0" borderId="7" xfId="116" applyNumberFormat="1" applyFont="1" applyBorder="1" applyAlignment="1" applyProtection="1">
      <alignment vertical="center" wrapText="1"/>
      <protection hidden="1"/>
    </xf>
    <xf numFmtId="0" fontId="7" fillId="0" borderId="16" xfId="114" applyFont="1" applyBorder="1" applyAlignment="1" applyProtection="1">
      <alignment vertical="center" wrapText="1"/>
      <protection hidden="1"/>
    </xf>
    <xf numFmtId="0" fontId="30" fillId="0" borderId="0" xfId="0" applyFont="1" applyAlignment="1">
      <alignment vertical="center"/>
    </xf>
    <xf numFmtId="1" fontId="0" fillId="0" borderId="0" xfId="123" applyNumberFormat="1" applyFont="1" applyProtection="1"/>
    <xf numFmtId="1" fontId="0" fillId="0" borderId="0" xfId="123" applyNumberFormat="1" applyFont="1" applyBorder="1" applyProtection="1"/>
    <xf numFmtId="1" fontId="0" fillId="0" borderId="26" xfId="123" applyNumberFormat="1" applyFont="1" applyBorder="1" applyProtection="1"/>
    <xf numFmtId="168" fontId="7" fillId="0" borderId="53" xfId="116" applyNumberFormat="1" applyFont="1" applyBorder="1" applyAlignment="1" applyProtection="1">
      <alignment vertical="center" wrapText="1"/>
    </xf>
    <xf numFmtId="168" fontId="3" fillId="0" borderId="46" xfId="116" applyNumberFormat="1" applyFont="1" applyBorder="1" applyAlignment="1" applyProtection="1">
      <alignment vertical="center"/>
    </xf>
    <xf numFmtId="165" fontId="10" fillId="0" borderId="38" xfId="115" quotePrefix="1" applyNumberFormat="1" applyFont="1" applyBorder="1" applyAlignment="1" applyProtection="1">
      <alignment horizontal="center" vertical="center"/>
    </xf>
    <xf numFmtId="168" fontId="3" fillId="0" borderId="38" xfId="65" applyNumberFormat="1" applyFont="1" applyBorder="1" applyAlignment="1" applyProtection="1">
      <alignment vertical="center"/>
    </xf>
    <xf numFmtId="165" fontId="10" fillId="4" borderId="38" xfId="115" quotePrefix="1" applyNumberFormat="1" applyFont="1" applyFill="1" applyBorder="1" applyAlignment="1" applyProtection="1">
      <alignment horizontal="center" vertical="center"/>
    </xf>
    <xf numFmtId="165" fontId="10" fillId="4" borderId="39" xfId="115" quotePrefix="1" applyNumberFormat="1" applyFont="1" applyFill="1" applyBorder="1" applyAlignment="1" applyProtection="1">
      <alignment horizontal="center" vertical="center"/>
    </xf>
    <xf numFmtId="167" fontId="0" fillId="0" borderId="0" xfId="123" applyNumberFormat="1" applyFont="1"/>
    <xf numFmtId="167" fontId="0" fillId="0" borderId="0" xfId="123" applyNumberFormat="1" applyFont="1" applyBorder="1" applyProtection="1"/>
    <xf numFmtId="167" fontId="0" fillId="0" borderId="26" xfId="123" applyNumberFormat="1" applyFont="1" applyBorder="1" applyProtection="1"/>
    <xf numFmtId="0" fontId="10" fillId="7" borderId="11" xfId="114" applyFont="1" applyFill="1" applyBorder="1" applyAlignment="1">
      <alignment vertical="center" wrapText="1"/>
    </xf>
    <xf numFmtId="0" fontId="7" fillId="7" borderId="3" xfId="114" applyFont="1" applyFill="1" applyBorder="1" applyAlignment="1">
      <alignment vertical="center" wrapText="1"/>
    </xf>
    <xf numFmtId="0" fontId="10" fillId="5" borderId="12" xfId="114" applyFont="1" applyFill="1" applyBorder="1" applyAlignment="1">
      <alignment horizontal="center"/>
    </xf>
    <xf numFmtId="167" fontId="7" fillId="2" borderId="65" xfId="114" applyNumberFormat="1" applyFont="1" applyFill="1" applyBorder="1"/>
    <xf numFmtId="0" fontId="10" fillId="2" borderId="80" xfId="121" applyFont="1" applyFill="1" applyBorder="1" applyAlignment="1">
      <alignment horizontal="right"/>
    </xf>
    <xf numFmtId="164" fontId="10" fillId="2" borderId="81" xfId="65" applyNumberFormat="1" applyFont="1" applyFill="1" applyBorder="1" applyProtection="1"/>
    <xf numFmtId="0" fontId="7" fillId="2" borderId="62" xfId="114" applyFont="1" applyFill="1" applyBorder="1"/>
    <xf numFmtId="167" fontId="7" fillId="2" borderId="45" xfId="114" applyNumberFormat="1" applyFont="1" applyFill="1" applyBorder="1"/>
    <xf numFmtId="0" fontId="7" fillId="2" borderId="80" xfId="114" applyFont="1" applyFill="1" applyBorder="1" applyAlignment="1">
      <alignment horizontal="left"/>
    </xf>
    <xf numFmtId="37" fontId="7" fillId="2" borderId="81" xfId="65" applyNumberFormat="1" applyFont="1" applyFill="1" applyBorder="1" applyProtection="1"/>
    <xf numFmtId="172" fontId="7" fillId="2" borderId="81" xfId="65" applyNumberFormat="1" applyFont="1" applyFill="1" applyBorder="1" applyProtection="1"/>
    <xf numFmtId="0" fontId="10" fillId="7" borderId="11" xfId="114" applyFont="1" applyFill="1" applyBorder="1" applyAlignment="1">
      <alignment horizontal="right" vertical="center" wrapText="1"/>
    </xf>
    <xf numFmtId="0" fontId="7" fillId="2" borderId="15" xfId="114" applyFont="1" applyFill="1" applyBorder="1" applyAlignment="1">
      <alignment horizontal="center"/>
    </xf>
    <xf numFmtId="0" fontId="7" fillId="2" borderId="46" xfId="114" applyFont="1" applyFill="1" applyBorder="1" applyAlignment="1">
      <alignment horizontal="center"/>
    </xf>
    <xf numFmtId="0" fontId="7" fillId="2" borderId="72" xfId="114" applyFont="1" applyFill="1" applyBorder="1" applyAlignment="1">
      <alignment horizontal="center"/>
    </xf>
    <xf numFmtId="0" fontId="7" fillId="2" borderId="56" xfId="114" applyFont="1" applyFill="1" applyBorder="1" applyAlignment="1">
      <alignment horizontal="center"/>
    </xf>
    <xf numFmtId="0" fontId="7" fillId="2" borderId="77" xfId="114" applyFont="1" applyFill="1" applyBorder="1" applyAlignment="1">
      <alignment horizontal="center"/>
    </xf>
    <xf numFmtId="0" fontId="0" fillId="0" borderId="0" xfId="123" applyNumberFormat="1" applyFont="1" applyProtection="1"/>
    <xf numFmtId="0" fontId="10" fillId="5" borderId="16" xfId="114" applyFont="1" applyFill="1" applyBorder="1" applyAlignment="1">
      <alignment horizontal="center"/>
    </xf>
    <xf numFmtId="0" fontId="10" fillId="5" borderId="35" xfId="114" applyFont="1" applyFill="1" applyBorder="1"/>
    <xf numFmtId="0" fontId="10" fillId="5" borderId="17" xfId="114" applyFont="1" applyFill="1" applyBorder="1"/>
    <xf numFmtId="168" fontId="32" fillId="0" borderId="7" xfId="116" applyNumberFormat="1" applyFont="1" applyFill="1" applyBorder="1" applyAlignment="1">
      <alignment vertical="center"/>
    </xf>
    <xf numFmtId="10" fontId="32" fillId="0" borderId="37" xfId="0" applyNumberFormat="1" applyFont="1" applyBorder="1" applyAlignment="1">
      <alignment vertical="center"/>
    </xf>
    <xf numFmtId="0" fontId="0" fillId="0" borderId="44" xfId="123" applyNumberFormat="1" applyFont="1" applyBorder="1" applyProtection="1"/>
    <xf numFmtId="0" fontId="0" fillId="0" borderId="44" xfId="0" applyBorder="1"/>
    <xf numFmtId="5" fontId="0" fillId="0" borderId="0" xfId="0" applyNumberFormat="1"/>
    <xf numFmtId="175" fontId="0" fillId="0" borderId="26" xfId="0" applyNumberFormat="1" applyBorder="1"/>
    <xf numFmtId="175" fontId="0" fillId="0" borderId="0" xfId="123" applyNumberFormat="1" applyFont="1"/>
    <xf numFmtId="175" fontId="0" fillId="0" borderId="0" xfId="0" applyNumberFormat="1"/>
    <xf numFmtId="175" fontId="0" fillId="0" borderId="44" xfId="0" applyNumberFormat="1" applyBorder="1"/>
    <xf numFmtId="0" fontId="0" fillId="0" borderId="85" xfId="123" applyNumberFormat="1" applyFont="1" applyBorder="1" applyProtection="1"/>
    <xf numFmtId="0" fontId="0" fillId="0" borderId="85" xfId="0" applyBorder="1"/>
    <xf numFmtId="5" fontId="0" fillId="0" borderId="85" xfId="0" applyNumberFormat="1" applyBorder="1"/>
    <xf numFmtId="165" fontId="0" fillId="0" borderId="85" xfId="123" applyNumberFormat="1" applyFont="1" applyBorder="1"/>
    <xf numFmtId="167" fontId="0" fillId="0" borderId="85" xfId="123" applyNumberFormat="1" applyFont="1" applyBorder="1"/>
    <xf numFmtId="175" fontId="0" fillId="0" borderId="85" xfId="123" applyNumberFormat="1" applyFont="1" applyBorder="1"/>
    <xf numFmtId="164" fontId="3" fillId="0" borderId="46" xfId="116" applyNumberFormat="1" applyFont="1" applyBorder="1" applyAlignment="1" applyProtection="1">
      <alignment vertical="center"/>
    </xf>
    <xf numFmtId="168" fontId="4" fillId="0" borderId="46" xfId="116" applyNumberFormat="1" applyFont="1" applyBorder="1" applyAlignment="1" applyProtection="1">
      <alignment vertical="center"/>
    </xf>
    <xf numFmtId="0" fontId="28" fillId="0" borderId="0" xfId="114" applyFont="1" applyAlignment="1">
      <alignment vertical="center"/>
    </xf>
    <xf numFmtId="168" fontId="27" fillId="0" borderId="0" xfId="116" applyNumberFormat="1" applyFont="1" applyAlignment="1">
      <alignment vertical="center"/>
    </xf>
    <xf numFmtId="167" fontId="27" fillId="0" borderId="0" xfId="114" applyNumberFormat="1" applyFont="1" applyAlignment="1">
      <alignment vertical="center"/>
    </xf>
    <xf numFmtId="167" fontId="0" fillId="0" borderId="0" xfId="0" applyNumberFormat="1"/>
    <xf numFmtId="0" fontId="15" fillId="0" borderId="79" xfId="0" applyFont="1" applyBorder="1"/>
    <xf numFmtId="0" fontId="7" fillId="9" borderId="60" xfId="65" applyNumberFormat="1" applyFont="1" applyFill="1" applyBorder="1" applyAlignment="1" applyProtection="1">
      <alignment horizontal="center"/>
      <protection locked="0"/>
    </xf>
    <xf numFmtId="0" fontId="0" fillId="6" borderId="0" xfId="0" applyFill="1"/>
    <xf numFmtId="167" fontId="0" fillId="6" borderId="0" xfId="0" applyNumberFormat="1" applyFill="1"/>
    <xf numFmtId="0" fontId="21" fillId="2" borderId="27" xfId="0" applyFont="1" applyFill="1" applyBorder="1" applyAlignment="1">
      <alignment vertical="center"/>
    </xf>
    <xf numFmtId="0" fontId="21" fillId="2" borderId="36" xfId="0" applyFont="1" applyFill="1" applyBorder="1" applyAlignment="1">
      <alignment vertical="center"/>
    </xf>
    <xf numFmtId="0" fontId="21" fillId="2" borderId="28" xfId="0" applyFont="1" applyFill="1" applyBorder="1" applyAlignment="1">
      <alignment vertical="center"/>
    </xf>
    <xf numFmtId="10" fontId="24" fillId="9" borderId="34" xfId="124" applyNumberFormat="1" applyFont="1" applyFill="1" applyBorder="1" applyAlignment="1" applyProtection="1">
      <alignment vertical="center"/>
      <protection locked="0"/>
    </xf>
    <xf numFmtId="10" fontId="24" fillId="9" borderId="47" xfId="124" applyNumberFormat="1" applyFont="1" applyFill="1" applyBorder="1" applyAlignment="1" applyProtection="1">
      <alignment vertical="center"/>
      <protection locked="0"/>
    </xf>
    <xf numFmtId="0" fontId="24" fillId="2" borderId="14" xfId="0" applyFont="1" applyFill="1" applyBorder="1" applyAlignment="1">
      <alignment horizontal="left" vertical="center"/>
    </xf>
    <xf numFmtId="0" fontId="24" fillId="2" borderId="18" xfId="0" applyFont="1" applyFill="1" applyBorder="1" applyAlignment="1">
      <alignment horizontal="left" vertical="center"/>
    </xf>
    <xf numFmtId="168" fontId="10" fillId="9" borderId="34" xfId="116" applyNumberFormat="1" applyFont="1" applyFill="1" applyBorder="1" applyAlignment="1" applyProtection="1">
      <alignment vertical="center"/>
      <protection locked="0"/>
    </xf>
    <xf numFmtId="168" fontId="10" fillId="9" borderId="47" xfId="116" applyNumberFormat="1" applyFont="1" applyFill="1" applyBorder="1" applyAlignment="1" applyProtection="1">
      <alignment vertical="center"/>
      <protection locked="0"/>
    </xf>
    <xf numFmtId="168" fontId="10" fillId="9" borderId="56" xfId="116" applyNumberFormat="1" applyFont="1" applyFill="1" applyBorder="1" applyAlignment="1" applyProtection="1">
      <alignment vertical="center"/>
      <protection locked="0"/>
    </xf>
    <xf numFmtId="168" fontId="10" fillId="9" borderId="30" xfId="116" applyNumberFormat="1" applyFont="1" applyFill="1" applyBorder="1" applyAlignment="1" applyProtection="1">
      <alignment vertical="center"/>
      <protection locked="0"/>
    </xf>
    <xf numFmtId="0" fontId="10" fillId="2" borderId="29" xfId="0" applyFont="1" applyFill="1" applyBorder="1"/>
    <xf numFmtId="0" fontId="10" fillId="2" borderId="26" xfId="0" applyFont="1" applyFill="1" applyBorder="1"/>
    <xf numFmtId="0" fontId="10" fillId="2" borderId="14" xfId="0" applyFont="1" applyFill="1" applyBorder="1"/>
    <xf numFmtId="0" fontId="10" fillId="2" borderId="18" xfId="0" applyFont="1" applyFill="1" applyBorder="1"/>
    <xf numFmtId="0" fontId="10" fillId="2" borderId="19" xfId="0" applyFont="1" applyFill="1" applyBorder="1"/>
    <xf numFmtId="0" fontId="20" fillId="11" borderId="14" xfId="0" applyFont="1" applyFill="1" applyBorder="1" applyAlignment="1">
      <alignment horizontal="left" vertical="center"/>
    </xf>
    <xf numFmtId="0" fontId="20" fillId="11" borderId="18" xfId="0" applyFont="1" applyFill="1" applyBorder="1" applyAlignment="1">
      <alignment horizontal="left" vertical="center"/>
    </xf>
    <xf numFmtId="168" fontId="20" fillId="13" borderId="34" xfId="116" applyNumberFormat="1" applyFont="1" applyFill="1" applyBorder="1" applyAlignment="1" applyProtection="1">
      <alignment vertical="center"/>
      <protection locked="0"/>
    </xf>
    <xf numFmtId="168" fontId="20" fillId="13" borderId="47" xfId="116" applyNumberFormat="1" applyFont="1" applyFill="1" applyBorder="1" applyAlignment="1" applyProtection="1">
      <alignment vertical="center"/>
      <protection locked="0"/>
    </xf>
    <xf numFmtId="168" fontId="10" fillId="2" borderId="34" xfId="116" applyNumberFormat="1" applyFont="1" applyFill="1" applyBorder="1" applyAlignment="1" applyProtection="1">
      <alignment vertical="center"/>
    </xf>
    <xf numFmtId="168" fontId="10" fillId="2" borderId="47" xfId="116" applyNumberFormat="1" applyFont="1" applyFill="1" applyBorder="1" applyAlignment="1" applyProtection="1">
      <alignment vertical="center"/>
    </xf>
    <xf numFmtId="0" fontId="10" fillId="2" borderId="14" xfId="0" applyFont="1" applyFill="1" applyBorder="1" applyAlignment="1">
      <alignment vertical="center"/>
    </xf>
    <xf numFmtId="0" fontId="10" fillId="2" borderId="18" xfId="0" applyFont="1" applyFill="1" applyBorder="1" applyAlignment="1">
      <alignment vertical="center"/>
    </xf>
    <xf numFmtId="0" fontId="10" fillId="2" borderId="19" xfId="0" applyFont="1" applyFill="1" applyBorder="1" applyAlignment="1">
      <alignment vertical="center"/>
    </xf>
    <xf numFmtId="0" fontId="10" fillId="2" borderId="29" xfId="0" applyFont="1" applyFill="1" applyBorder="1" applyAlignment="1">
      <alignment wrapText="1"/>
    </xf>
    <xf numFmtId="0" fontId="10" fillId="2" borderId="26" xfId="0" applyFont="1" applyFill="1" applyBorder="1" applyAlignment="1">
      <alignment wrapText="1"/>
    </xf>
    <xf numFmtId="0" fontId="10" fillId="2" borderId="31" xfId="0" applyFont="1" applyFill="1" applyBorder="1" applyAlignment="1">
      <alignment wrapText="1"/>
    </xf>
    <xf numFmtId="49" fontId="10" fillId="9" borderId="56" xfId="116" applyNumberFormat="1" applyFont="1" applyFill="1" applyBorder="1" applyAlignment="1" applyProtection="1">
      <alignment horizontal="center" vertical="center"/>
      <protection locked="0"/>
    </xf>
    <xf numFmtId="49" fontId="10" fillId="9" borderId="30" xfId="116" applyNumberFormat="1" applyFont="1" applyFill="1" applyBorder="1" applyAlignment="1" applyProtection="1">
      <alignment horizontal="center" vertical="center"/>
      <protection locked="0"/>
    </xf>
    <xf numFmtId="0" fontId="10" fillId="2" borderId="29"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36" xfId="0" applyFont="1" applyFill="1" applyBorder="1" applyAlignment="1">
      <alignment horizontal="left" vertical="center" wrapText="1"/>
    </xf>
    <xf numFmtId="49" fontId="10" fillId="9" borderId="56" xfId="124" applyNumberFormat="1" applyFont="1" applyFill="1" applyBorder="1" applyAlignment="1" applyProtection="1">
      <alignment horizontal="center" vertical="center"/>
      <protection locked="0"/>
    </xf>
    <xf numFmtId="49" fontId="10" fillId="9" borderId="30" xfId="124" applyNumberFormat="1" applyFont="1" applyFill="1" applyBorder="1" applyAlignment="1" applyProtection="1">
      <alignment horizontal="center" vertical="center"/>
      <protection locked="0"/>
    </xf>
    <xf numFmtId="0" fontId="23" fillId="5" borderId="8"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0" fillId="11" borderId="5" xfId="0" applyFill="1" applyBorder="1"/>
    <xf numFmtId="0" fontId="0" fillId="11" borderId="11" xfId="0" applyFill="1" applyBorder="1"/>
    <xf numFmtId="0" fontId="0" fillId="11" borderId="6" xfId="0" applyFill="1" applyBorder="1"/>
    <xf numFmtId="0" fontId="0" fillId="11" borderId="20" xfId="0" applyFill="1" applyBorder="1" applyAlignment="1">
      <alignment horizontal="left"/>
    </xf>
    <xf numFmtId="0" fontId="0" fillId="11" borderId="21" xfId="0" applyFill="1" applyBorder="1" applyAlignment="1">
      <alignment horizontal="left"/>
    </xf>
    <xf numFmtId="0" fontId="0" fillId="11" borderId="22" xfId="0" applyFill="1" applyBorder="1" applyAlignment="1">
      <alignment horizontal="left"/>
    </xf>
    <xf numFmtId="0" fontId="18" fillId="9" borderId="72" xfId="0" applyFont="1" applyFill="1" applyBorder="1" applyAlignment="1">
      <alignment horizontal="center" vertical="center" wrapText="1"/>
    </xf>
    <xf numFmtId="0" fontId="18" fillId="9" borderId="41" xfId="0" applyFont="1" applyFill="1" applyBorder="1" applyAlignment="1">
      <alignment horizontal="center" vertical="center" wrapText="1"/>
    </xf>
    <xf numFmtId="0" fontId="10" fillId="2" borderId="14" xfId="0" applyFont="1" applyFill="1" applyBorder="1" applyAlignment="1">
      <alignment horizontal="left"/>
    </xf>
    <xf numFmtId="0" fontId="10" fillId="2" borderId="18" xfId="0" applyFont="1" applyFill="1" applyBorder="1" applyAlignment="1">
      <alignment horizontal="left"/>
    </xf>
    <xf numFmtId="49" fontId="10" fillId="9" borderId="34" xfId="124" applyNumberFormat="1" applyFont="1" applyFill="1" applyBorder="1" applyAlignment="1" applyProtection="1">
      <alignment horizontal="center" vertical="center"/>
      <protection locked="0"/>
    </xf>
    <xf numFmtId="49" fontId="10" fillId="9" borderId="47" xfId="124" applyNumberFormat="1" applyFont="1" applyFill="1" applyBorder="1" applyAlignment="1" applyProtection="1">
      <alignment horizontal="center" vertical="center"/>
      <protection locked="0"/>
    </xf>
    <xf numFmtId="0" fontId="10" fillId="2" borderId="49" xfId="0" applyFont="1" applyFill="1" applyBorder="1" applyAlignment="1">
      <alignment horizontal="left"/>
    </xf>
    <xf numFmtId="0" fontId="10" fillId="2" borderId="40" xfId="0" applyFont="1" applyFill="1" applyBorder="1" applyAlignment="1">
      <alignment horizontal="left"/>
    </xf>
    <xf numFmtId="0" fontId="10" fillId="9" borderId="72" xfId="0" applyFont="1" applyFill="1" applyBorder="1" applyAlignment="1" applyProtection="1">
      <alignment horizontal="center" vertical="center"/>
      <protection locked="0"/>
    </xf>
    <xf numFmtId="0" fontId="10" fillId="9" borderId="21" xfId="0" applyFont="1" applyFill="1" applyBorder="1" applyAlignment="1" applyProtection="1">
      <alignment horizontal="center" vertical="center"/>
      <protection locked="0"/>
    </xf>
    <xf numFmtId="0" fontId="10" fillId="9" borderId="41" xfId="0" applyFont="1" applyFill="1" applyBorder="1" applyAlignment="1" applyProtection="1">
      <alignment horizontal="center" vertical="center"/>
      <protection locked="0"/>
    </xf>
    <xf numFmtId="168" fontId="10" fillId="9" borderId="57" xfId="116" applyNumberFormat="1" applyFont="1" applyFill="1" applyBorder="1" applyAlignment="1" applyProtection="1">
      <alignment vertical="center"/>
      <protection locked="0"/>
    </xf>
    <xf numFmtId="168" fontId="10" fillId="9" borderId="59" xfId="116" applyNumberFormat="1" applyFont="1" applyFill="1" applyBorder="1" applyAlignment="1" applyProtection="1">
      <alignment vertical="center"/>
      <protection locked="0"/>
    </xf>
    <xf numFmtId="0" fontId="10" fillId="0" borderId="52" xfId="0" applyFont="1" applyBorder="1" applyAlignment="1">
      <alignment horizontal="center"/>
    </xf>
    <xf numFmtId="0" fontId="10" fillId="0" borderId="36" xfId="0" applyFont="1" applyBorder="1" applyAlignment="1">
      <alignment horizontal="center"/>
    </xf>
    <xf numFmtId="0" fontId="10" fillId="0" borderId="48" xfId="0" applyFont="1" applyBorder="1" applyAlignment="1">
      <alignment horizontal="center"/>
    </xf>
    <xf numFmtId="0" fontId="10" fillId="2" borderId="36" xfId="0" applyFont="1" applyFill="1" applyBorder="1" applyAlignment="1">
      <alignment horizontal="right"/>
    </xf>
    <xf numFmtId="0" fontId="10" fillId="2" borderId="42" xfId="0" applyFont="1" applyFill="1" applyBorder="1"/>
    <xf numFmtId="0" fontId="10" fillId="2" borderId="44" xfId="0" applyFont="1" applyFill="1" applyBorder="1"/>
    <xf numFmtId="0" fontId="10" fillId="2" borderId="2" xfId="0" applyFont="1" applyFill="1" applyBorder="1" applyAlignment="1">
      <alignment horizontal="left"/>
    </xf>
    <xf numFmtId="0" fontId="10" fillId="2" borderId="0" xfId="0" applyFont="1" applyFill="1" applyAlignment="1">
      <alignment horizontal="left"/>
    </xf>
    <xf numFmtId="0" fontId="10" fillId="2" borderId="29" xfId="0" applyFont="1" applyFill="1" applyBorder="1" applyAlignment="1">
      <alignment horizontal="left"/>
    </xf>
    <xf numFmtId="0" fontId="10" fillId="2" borderId="26" xfId="0" applyFont="1" applyFill="1" applyBorder="1" applyAlignment="1">
      <alignment horizontal="left"/>
    </xf>
    <xf numFmtId="0" fontId="0" fillId="11" borderId="35" xfId="0" applyFill="1" applyBorder="1"/>
    <xf numFmtId="0" fontId="11" fillId="5" borderId="8" xfId="0" applyFont="1" applyFill="1" applyBorder="1" applyAlignment="1">
      <alignment horizontal="center"/>
    </xf>
    <xf numFmtId="0" fontId="11" fillId="5" borderId="10" xfId="0" applyFont="1" applyFill="1" applyBorder="1" applyAlignment="1">
      <alignment horizontal="center"/>
    </xf>
    <xf numFmtId="0" fontId="11" fillId="5" borderId="9" xfId="0" applyFont="1" applyFill="1" applyBorder="1" applyAlignment="1">
      <alignment horizontal="center"/>
    </xf>
    <xf numFmtId="0" fontId="11" fillId="5" borderId="5" xfId="0" applyFont="1" applyFill="1" applyBorder="1" applyAlignment="1">
      <alignment horizontal="center"/>
    </xf>
    <xf numFmtId="0" fontId="11" fillId="5" borderId="11" xfId="0" applyFont="1" applyFill="1" applyBorder="1" applyAlignment="1">
      <alignment horizontal="center"/>
    </xf>
    <xf numFmtId="0" fontId="11" fillId="5" borderId="6" xfId="0" applyFont="1" applyFill="1" applyBorder="1" applyAlignment="1">
      <alignment horizontal="center"/>
    </xf>
    <xf numFmtId="0" fontId="10" fillId="2" borderId="50" xfId="0" applyFont="1" applyFill="1" applyBorder="1" applyAlignment="1">
      <alignment horizontal="left"/>
    </xf>
    <xf numFmtId="0" fontId="10" fillId="2" borderId="32" xfId="0" applyFont="1" applyFill="1" applyBorder="1" applyAlignment="1">
      <alignment horizontal="left"/>
    </xf>
    <xf numFmtId="173" fontId="10" fillId="2" borderId="34" xfId="0" applyNumberFormat="1" applyFont="1" applyFill="1" applyBorder="1" applyAlignment="1">
      <alignment horizontal="center" vertical="center" wrapText="1"/>
    </xf>
    <xf numFmtId="173" fontId="10" fillId="2" borderId="47" xfId="0" applyNumberFormat="1" applyFont="1" applyFill="1" applyBorder="1" applyAlignment="1">
      <alignment horizontal="center" vertical="center" wrapText="1"/>
    </xf>
    <xf numFmtId="0" fontId="0" fillId="11" borderId="14" xfId="0" applyFill="1" applyBorder="1" applyAlignment="1">
      <alignment horizontal="left"/>
    </xf>
    <xf numFmtId="0" fontId="0" fillId="11" borderId="18" xfId="0" applyFill="1" applyBorder="1" applyAlignment="1">
      <alignment horizontal="left"/>
    </xf>
    <xf numFmtId="0" fontId="0" fillId="11" borderId="19" xfId="0" applyFill="1" applyBorder="1" applyAlignment="1">
      <alignment horizontal="left"/>
    </xf>
    <xf numFmtId="0" fontId="10" fillId="2" borderId="19" xfId="0" applyFont="1" applyFill="1" applyBorder="1" applyAlignment="1">
      <alignment horizontal="left"/>
    </xf>
    <xf numFmtId="0" fontId="10" fillId="9" borderId="56" xfId="0" applyFont="1" applyFill="1" applyBorder="1" applyAlignment="1" applyProtection="1">
      <alignment horizontal="center" vertical="center"/>
      <protection locked="0"/>
    </xf>
    <xf numFmtId="0" fontId="10" fillId="9" borderId="26" xfId="0" applyFont="1" applyFill="1" applyBorder="1" applyAlignment="1" applyProtection="1">
      <alignment horizontal="center" vertical="center"/>
      <protection locked="0"/>
    </xf>
    <xf numFmtId="0" fontId="10" fillId="9" borderId="30" xfId="0" applyFont="1" applyFill="1" applyBorder="1" applyAlignment="1" applyProtection="1">
      <alignment horizontal="center" vertical="center"/>
      <protection locked="0"/>
    </xf>
    <xf numFmtId="0" fontId="10" fillId="2" borderId="62" xfId="0" applyFont="1" applyFill="1" applyBorder="1" applyAlignment="1">
      <alignment horizontal="left"/>
    </xf>
    <xf numFmtId="0" fontId="10" fillId="2" borderId="45" xfId="0" applyFont="1" applyFill="1" applyBorder="1" applyAlignment="1">
      <alignment horizontal="left"/>
    </xf>
    <xf numFmtId="0" fontId="10" fillId="9" borderId="57" xfId="0" applyFont="1" applyFill="1" applyBorder="1" applyAlignment="1" applyProtection="1">
      <alignment horizontal="center" vertical="center"/>
      <protection locked="0"/>
    </xf>
    <xf numFmtId="0" fontId="10" fillId="9" borderId="44" xfId="0" applyFont="1" applyFill="1" applyBorder="1" applyAlignment="1" applyProtection="1">
      <alignment horizontal="center" vertical="center"/>
      <protection locked="0"/>
    </xf>
    <xf numFmtId="0" fontId="10" fillId="9" borderId="59" xfId="0" applyFont="1" applyFill="1" applyBorder="1" applyAlignment="1" applyProtection="1">
      <alignment horizontal="center" vertical="center"/>
      <protection locked="0"/>
    </xf>
    <xf numFmtId="168" fontId="10" fillId="9" borderId="52" xfId="116" applyNumberFormat="1" applyFont="1" applyFill="1" applyBorder="1" applyAlignment="1" applyProtection="1">
      <alignment horizontal="center" vertical="center"/>
      <protection locked="0"/>
    </xf>
    <xf numFmtId="168" fontId="10" fillId="9" borderId="48" xfId="116" applyNumberFormat="1" applyFont="1" applyFill="1" applyBorder="1" applyAlignment="1" applyProtection="1">
      <alignment horizontal="center" vertical="center"/>
      <protection locked="0"/>
    </xf>
    <xf numFmtId="49" fontId="10" fillId="9" borderId="34" xfId="116" applyNumberFormat="1" applyFont="1" applyFill="1" applyBorder="1" applyAlignment="1" applyProtection="1">
      <alignment horizontal="center" vertical="center"/>
      <protection locked="0"/>
    </xf>
    <xf numFmtId="49" fontId="10" fillId="9" borderId="47" xfId="116" applyNumberFormat="1" applyFont="1" applyFill="1" applyBorder="1" applyAlignment="1" applyProtection="1">
      <alignment horizontal="center" vertical="center"/>
      <protection locked="0"/>
    </xf>
    <xf numFmtId="0" fontId="10" fillId="2" borderId="10" xfId="0" applyFont="1" applyFill="1" applyBorder="1" applyAlignment="1">
      <alignment horizontal="left" vertical="center" wrapText="1"/>
    </xf>
    <xf numFmtId="0" fontId="10" fillId="0" borderId="34" xfId="0" applyFont="1" applyBorder="1" applyAlignment="1">
      <alignment horizontal="center"/>
    </xf>
    <xf numFmtId="0" fontId="10" fillId="0" borderId="18" xfId="0" applyFont="1" applyBorder="1" applyAlignment="1">
      <alignment horizontal="center"/>
    </xf>
    <xf numFmtId="0" fontId="10" fillId="0" borderId="47" xfId="0" applyFont="1" applyBorder="1" applyAlignment="1">
      <alignment horizontal="center"/>
    </xf>
    <xf numFmtId="0" fontId="10" fillId="2" borderId="18" xfId="0" applyFont="1" applyFill="1" applyBorder="1" applyAlignment="1">
      <alignment horizontal="right"/>
    </xf>
    <xf numFmtId="0" fontId="10" fillId="2" borderId="14" xfId="0" applyFont="1" applyFill="1" applyBorder="1" applyAlignment="1">
      <alignment horizontal="center"/>
    </xf>
    <xf numFmtId="0" fontId="10" fillId="2" borderId="18" xfId="0" applyFont="1" applyFill="1" applyBorder="1" applyAlignment="1">
      <alignment horizontal="center"/>
    </xf>
    <xf numFmtId="0" fontId="10" fillId="2" borderId="47" xfId="0" applyFont="1" applyFill="1" applyBorder="1" applyAlignment="1">
      <alignment horizontal="center"/>
    </xf>
    <xf numFmtId="0" fontId="0" fillId="11" borderId="35" xfId="0" applyFill="1" applyBorder="1" applyAlignment="1">
      <alignment horizontal="left"/>
    </xf>
    <xf numFmtId="0" fontId="10" fillId="2" borderId="42" xfId="0" applyFont="1" applyFill="1" applyBorder="1" applyAlignment="1">
      <alignment horizontal="left"/>
    </xf>
    <xf numFmtId="0" fontId="10" fillId="2" borderId="44" xfId="0" applyFont="1" applyFill="1" applyBorder="1" applyAlignment="1">
      <alignment horizontal="left"/>
    </xf>
    <xf numFmtId="0" fontId="10" fillId="2" borderId="43" xfId="0" applyFont="1" applyFill="1" applyBorder="1" applyAlignment="1">
      <alignment horizontal="left"/>
    </xf>
    <xf numFmtId="0" fontId="10" fillId="2" borderId="43" xfId="0" applyFont="1" applyFill="1" applyBorder="1"/>
    <xf numFmtId="0" fontId="10" fillId="2" borderId="14" xfId="0" applyFont="1" applyFill="1" applyBorder="1" applyAlignment="1">
      <alignment vertical="center" wrapText="1"/>
    </xf>
    <xf numFmtId="0" fontId="10" fillId="2" borderId="18" xfId="0" applyFont="1" applyFill="1" applyBorder="1" applyAlignment="1">
      <alignment vertical="center" wrapText="1"/>
    </xf>
    <xf numFmtId="0" fontId="35" fillId="9" borderId="34" xfId="124" applyNumberFormat="1" applyFont="1" applyFill="1" applyBorder="1" applyAlignment="1" applyProtection="1">
      <alignment horizontal="center" vertical="center"/>
      <protection locked="0"/>
    </xf>
    <xf numFmtId="0" fontId="35" fillId="9" borderId="18" xfId="124" applyNumberFormat="1" applyFont="1" applyFill="1" applyBorder="1" applyAlignment="1" applyProtection="1">
      <alignment horizontal="center" vertical="center"/>
      <protection locked="0"/>
    </xf>
    <xf numFmtId="0" fontId="35" fillId="9" borderId="47" xfId="124" applyNumberFormat="1" applyFont="1" applyFill="1" applyBorder="1" applyAlignment="1" applyProtection="1">
      <alignment horizontal="center" vertical="center"/>
      <protection locked="0"/>
    </xf>
    <xf numFmtId="0" fontId="10" fillId="2" borderId="27" xfId="0" applyFont="1" applyFill="1" applyBorder="1" applyAlignment="1">
      <alignment vertical="center"/>
    </xf>
    <xf numFmtId="0" fontId="10" fillId="2" borderId="36" xfId="0" applyFont="1" applyFill="1" applyBorder="1" applyAlignment="1">
      <alignment vertical="center"/>
    </xf>
    <xf numFmtId="0" fontId="10" fillId="2" borderId="28" xfId="0" applyFont="1" applyFill="1" applyBorder="1" applyAlignment="1">
      <alignment vertical="center"/>
    </xf>
    <xf numFmtId="0" fontId="10" fillId="2" borderId="19" xfId="0" applyFont="1" applyFill="1" applyBorder="1" applyAlignment="1">
      <alignment vertical="center" wrapText="1"/>
    </xf>
    <xf numFmtId="0" fontId="20" fillId="11" borderId="29" xfId="0" applyFont="1" applyFill="1" applyBorder="1" applyAlignment="1">
      <alignment horizontal="center" vertical="center" wrapText="1"/>
    </xf>
    <xf numFmtId="0" fontId="20" fillId="11" borderId="26" xfId="0" applyFont="1" applyFill="1" applyBorder="1" applyAlignment="1">
      <alignment horizontal="center" vertical="center"/>
    </xf>
    <xf numFmtId="0" fontId="20" fillId="11" borderId="30"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21" xfId="0" applyFont="1" applyFill="1" applyBorder="1" applyAlignment="1">
      <alignment horizontal="center" vertical="center"/>
    </xf>
    <xf numFmtId="0" fontId="25" fillId="11" borderId="41" xfId="0" applyFont="1" applyFill="1" applyBorder="1" applyAlignment="1">
      <alignment horizontal="center" vertical="center"/>
    </xf>
    <xf numFmtId="0" fontId="10" fillId="2" borderId="27" xfId="0" applyFont="1" applyFill="1" applyBorder="1" applyAlignment="1">
      <alignment horizontal="center"/>
    </xf>
    <xf numFmtId="0" fontId="10" fillId="2" borderId="36" xfId="0" applyFont="1" applyFill="1" applyBorder="1" applyAlignment="1">
      <alignment horizontal="center"/>
    </xf>
    <xf numFmtId="0" fontId="10" fillId="2" borderId="48" xfId="0" applyFont="1" applyFill="1" applyBorder="1" applyAlignment="1">
      <alignment horizontal="center"/>
    </xf>
    <xf numFmtId="0" fontId="0" fillId="11" borderId="35" xfId="0" applyFill="1" applyBorder="1" applyAlignment="1">
      <alignment horizontal="center"/>
    </xf>
    <xf numFmtId="0" fontId="10" fillId="2" borderId="20" xfId="0" applyFont="1" applyFill="1" applyBorder="1" applyAlignment="1">
      <alignment horizontal="left"/>
    </xf>
    <xf numFmtId="0" fontId="10" fillId="2" borderId="21" xfId="0" applyFont="1" applyFill="1" applyBorder="1" applyAlignment="1">
      <alignment horizontal="left"/>
    </xf>
    <xf numFmtId="0" fontId="10" fillId="2" borderId="22" xfId="0" applyFont="1" applyFill="1" applyBorder="1" applyAlignment="1">
      <alignment horizontal="left"/>
    </xf>
    <xf numFmtId="0" fontId="10" fillId="2" borderId="27" xfId="0" applyFont="1" applyFill="1" applyBorder="1" applyAlignment="1">
      <alignment wrapText="1"/>
    </xf>
    <xf numFmtId="0" fontId="10" fillId="2" borderId="36" xfId="0" applyFont="1" applyFill="1" applyBorder="1" applyAlignment="1">
      <alignment wrapText="1"/>
    </xf>
    <xf numFmtId="0" fontId="10" fillId="2" borderId="28" xfId="0" applyFont="1" applyFill="1" applyBorder="1" applyAlignment="1">
      <alignment wrapText="1"/>
    </xf>
    <xf numFmtId="0" fontId="10" fillId="2" borderId="35" xfId="0" applyFont="1" applyFill="1" applyBorder="1"/>
    <xf numFmtId="0" fontId="19" fillId="11" borderId="20" xfId="0" applyFont="1" applyFill="1" applyBorder="1" applyAlignment="1">
      <alignment horizontal="center" vertical="center"/>
    </xf>
    <xf numFmtId="0" fontId="19" fillId="11" borderId="21" xfId="0" applyFont="1" applyFill="1" applyBorder="1" applyAlignment="1">
      <alignment horizontal="center" vertical="center"/>
    </xf>
    <xf numFmtId="0" fontId="19" fillId="11" borderId="41" xfId="0" applyFont="1" applyFill="1" applyBorder="1" applyAlignment="1">
      <alignment horizontal="center" vertical="center"/>
    </xf>
    <xf numFmtId="0" fontId="20" fillId="11" borderId="29" xfId="0" applyFont="1" applyFill="1" applyBorder="1" applyAlignment="1">
      <alignment horizontal="left" vertical="center"/>
    </xf>
    <xf numFmtId="0" fontId="20" fillId="11" borderId="26" xfId="0" applyFont="1" applyFill="1" applyBorder="1" applyAlignment="1">
      <alignment horizontal="left" vertical="center"/>
    </xf>
    <xf numFmtId="0" fontId="17" fillId="11" borderId="16" xfId="0" applyFont="1" applyFill="1" applyBorder="1" applyAlignment="1">
      <alignment horizontal="center"/>
    </xf>
    <xf numFmtId="0" fontId="17" fillId="11" borderId="35" xfId="0" applyFont="1" applyFill="1" applyBorder="1" applyAlignment="1">
      <alignment horizontal="center"/>
    </xf>
    <xf numFmtId="0" fontId="17" fillId="11" borderId="17" xfId="0" applyFont="1" applyFill="1" applyBorder="1" applyAlignment="1">
      <alignment horizontal="center"/>
    </xf>
    <xf numFmtId="168" fontId="10" fillId="0" borderId="72" xfId="116" applyNumberFormat="1" applyFont="1" applyFill="1" applyBorder="1" applyAlignment="1" applyProtection="1">
      <alignment horizontal="center" vertical="center"/>
    </xf>
    <xf numFmtId="168" fontId="10" fillId="0" borderId="41" xfId="116" applyNumberFormat="1" applyFont="1" applyFill="1" applyBorder="1" applyAlignment="1" applyProtection="1">
      <alignment horizontal="center" vertical="center"/>
    </xf>
    <xf numFmtId="0" fontId="10" fillId="2" borderId="31" xfId="0" applyFont="1" applyFill="1" applyBorder="1"/>
    <xf numFmtId="0" fontId="10" fillId="2" borderId="29" xfId="0" applyFont="1" applyFill="1" applyBorder="1" applyAlignment="1">
      <alignment horizontal="left" wrapText="1"/>
    </xf>
    <xf numFmtId="0" fontId="10" fillId="2" borderId="14"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6" xfId="0" applyFont="1" applyFill="1" applyBorder="1" applyAlignment="1">
      <alignment horizontal="left" wrapText="1"/>
    </xf>
    <xf numFmtId="0" fontId="10" fillId="2" borderId="14" xfId="0" applyFont="1" applyFill="1" applyBorder="1" applyAlignment="1">
      <alignment wrapText="1"/>
    </xf>
    <xf numFmtId="0" fontId="10" fillId="2" borderId="18" xfId="0" applyFont="1" applyFill="1" applyBorder="1" applyAlignment="1">
      <alignment wrapText="1"/>
    </xf>
    <xf numFmtId="0" fontId="10" fillId="2" borderId="19" xfId="0" applyFont="1" applyFill="1" applyBorder="1" applyAlignment="1">
      <alignment wrapText="1"/>
    </xf>
    <xf numFmtId="168" fontId="10" fillId="9" borderId="34" xfId="116" applyNumberFormat="1" applyFont="1" applyFill="1" applyBorder="1" applyAlignment="1" applyProtection="1">
      <alignment horizontal="center" vertical="center"/>
      <protection locked="0"/>
    </xf>
    <xf numFmtId="168" fontId="10" fillId="9" borderId="47" xfId="116" applyNumberFormat="1" applyFont="1" applyFill="1" applyBorder="1" applyAlignment="1" applyProtection="1">
      <alignment horizontal="center" vertical="center"/>
      <protection locked="0"/>
    </xf>
    <xf numFmtId="0" fontId="0" fillId="0" borderId="5" xfId="0" applyBorder="1"/>
    <xf numFmtId="0" fontId="0" fillId="0" borderId="11" xfId="0" applyBorder="1"/>
    <xf numFmtId="0" fontId="0" fillId="0" borderId="6" xfId="0" applyBorder="1"/>
    <xf numFmtId="0" fontId="0" fillId="0" borderId="2" xfId="0" applyBorder="1"/>
    <xf numFmtId="0" fontId="0" fillId="0" borderId="0" xfId="0"/>
    <xf numFmtId="0" fontId="0" fillId="0" borderId="3" xfId="0" applyBorder="1"/>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8" xfId="0" applyBorder="1"/>
    <xf numFmtId="0" fontId="0" fillId="0" borderId="10" xfId="0" applyBorder="1"/>
    <xf numFmtId="0" fontId="0" fillId="0" borderId="9" xfId="0" applyBorder="1"/>
    <xf numFmtId="0" fontId="7" fillId="0" borderId="14" xfId="114" applyFont="1" applyBorder="1" applyAlignment="1">
      <alignment horizontal="left" vertical="center" wrapText="1"/>
    </xf>
    <xf numFmtId="0" fontId="7" fillId="0" borderId="18" xfId="114" applyFont="1" applyBorder="1" applyAlignment="1">
      <alignment horizontal="left" vertical="center" wrapText="1"/>
    </xf>
    <xf numFmtId="0" fontId="7" fillId="0" borderId="19" xfId="114" applyFont="1" applyBorder="1" applyAlignment="1">
      <alignment horizontal="left" vertical="center" wrapText="1"/>
    </xf>
    <xf numFmtId="0" fontId="7" fillId="0" borderId="29" xfId="114" applyFont="1" applyBorder="1" applyAlignment="1">
      <alignment vertical="center"/>
    </xf>
    <xf numFmtId="0" fontId="7" fillId="0" borderId="31" xfId="114" applyFont="1" applyBorder="1" applyAlignment="1">
      <alignment vertical="center"/>
    </xf>
    <xf numFmtId="0" fontId="7" fillId="0" borderId="2" xfId="114" applyFont="1" applyBorder="1" applyAlignment="1">
      <alignment horizontal="left" vertical="center" wrapText="1"/>
    </xf>
    <xf numFmtId="0" fontId="7" fillId="0" borderId="0" xfId="114" applyFont="1" applyAlignment="1">
      <alignment horizontal="left" vertical="center" wrapText="1"/>
    </xf>
    <xf numFmtId="0" fontId="7" fillId="0" borderId="44" xfId="114" applyFont="1" applyBorder="1" applyAlignment="1">
      <alignment horizontal="left" vertical="center" wrapText="1"/>
    </xf>
    <xf numFmtId="0" fontId="7" fillId="0" borderId="43" xfId="114" applyFont="1" applyBorder="1" applyAlignment="1">
      <alignment horizontal="left" vertical="center" wrapText="1"/>
    </xf>
    <xf numFmtId="0" fontId="7" fillId="0" borderId="14" xfId="114" applyFont="1" applyBorder="1" applyAlignment="1">
      <alignment vertical="center" wrapText="1"/>
    </xf>
    <xf numFmtId="0" fontId="7" fillId="0" borderId="19" xfId="114" applyFont="1" applyBorder="1" applyAlignment="1">
      <alignment vertical="center" wrapText="1"/>
    </xf>
    <xf numFmtId="0" fontId="10" fillId="5" borderId="56" xfId="114" applyFont="1" applyFill="1" applyBorder="1" applyAlignment="1" applyProtection="1">
      <alignment horizontal="center" vertical="center"/>
      <protection hidden="1"/>
    </xf>
    <xf numFmtId="0" fontId="10" fillId="5" borderId="31" xfId="114" applyFont="1" applyFill="1" applyBorder="1" applyAlignment="1" applyProtection="1">
      <alignment horizontal="center" vertical="center"/>
      <protection hidden="1"/>
    </xf>
    <xf numFmtId="166" fontId="7" fillId="0" borderId="16" xfId="114" applyNumberFormat="1" applyFont="1" applyBorder="1" applyAlignment="1" applyProtection="1">
      <alignment vertical="center"/>
      <protection hidden="1"/>
    </xf>
    <xf numFmtId="166" fontId="7" fillId="0" borderId="35" xfId="114" applyNumberFormat="1" applyFont="1" applyBorder="1" applyAlignment="1" applyProtection="1">
      <alignment vertical="center"/>
      <protection hidden="1"/>
    </xf>
    <xf numFmtId="166" fontId="7" fillId="0" borderId="17" xfId="114" applyNumberFormat="1" applyFont="1" applyBorder="1" applyAlignment="1" applyProtection="1">
      <alignment vertical="center"/>
      <protection hidden="1"/>
    </xf>
    <xf numFmtId="0" fontId="31" fillId="5" borderId="16" xfId="114" applyFont="1" applyFill="1" applyBorder="1" applyAlignment="1">
      <alignment horizontal="center" vertical="center"/>
    </xf>
    <xf numFmtId="0" fontId="31" fillId="5" borderId="35" xfId="114" applyFont="1" applyFill="1" applyBorder="1" applyAlignment="1">
      <alignment horizontal="center" vertical="center"/>
    </xf>
    <xf numFmtId="0" fontId="31" fillId="5" borderId="17" xfId="114" applyFont="1" applyFill="1" applyBorder="1" applyAlignment="1">
      <alignment horizontal="center" vertical="center"/>
    </xf>
    <xf numFmtId="168" fontId="7" fillId="0" borderId="37" xfId="116" applyNumberFormat="1" applyFont="1" applyBorder="1" applyAlignment="1" applyProtection="1">
      <alignment vertical="center" wrapText="1"/>
      <protection hidden="1"/>
    </xf>
    <xf numFmtId="168" fontId="7" fillId="0" borderId="52" xfId="116" applyNumberFormat="1" applyFont="1" applyBorder="1" applyAlignment="1" applyProtection="1">
      <alignment vertical="center" wrapText="1"/>
      <protection hidden="1"/>
    </xf>
    <xf numFmtId="168" fontId="7" fillId="0" borderId="28" xfId="116" applyNumberFormat="1" applyFont="1" applyBorder="1" applyAlignment="1" applyProtection="1">
      <alignment vertical="center" wrapText="1"/>
      <protection hidden="1"/>
    </xf>
    <xf numFmtId="168" fontId="7" fillId="0" borderId="60" xfId="116" applyNumberFormat="1" applyFont="1" applyBorder="1" applyAlignment="1" applyProtection="1">
      <alignment vertical="center" wrapText="1"/>
    </xf>
    <xf numFmtId="168" fontId="7" fillId="0" borderId="34" xfId="116" applyNumberFormat="1" applyFont="1" applyBorder="1" applyAlignment="1" applyProtection="1">
      <alignment vertical="center" wrapText="1"/>
      <protection hidden="1"/>
    </xf>
    <xf numFmtId="168" fontId="7" fillId="0" borderId="19" xfId="116" applyNumberFormat="1" applyFont="1" applyBorder="1" applyAlignment="1" applyProtection="1">
      <alignment vertical="center" wrapText="1"/>
      <protection hidden="1"/>
    </xf>
    <xf numFmtId="168" fontId="7" fillId="0" borderId="1" xfId="116" applyNumberFormat="1" applyFont="1" applyBorder="1" applyAlignment="1" applyProtection="1">
      <alignment vertical="center" wrapText="1"/>
      <protection hidden="1"/>
    </xf>
    <xf numFmtId="0" fontId="10" fillId="3" borderId="16" xfId="114" applyFont="1" applyFill="1" applyBorder="1" applyAlignment="1">
      <alignment horizontal="left" vertical="center" wrapText="1"/>
    </xf>
    <xf numFmtId="0" fontId="10" fillId="3" borderId="35" xfId="114" applyFont="1" applyFill="1" applyBorder="1" applyAlignment="1">
      <alignment horizontal="left" vertical="center" wrapText="1"/>
    </xf>
    <xf numFmtId="0" fontId="10" fillId="3" borderId="17" xfId="114" applyFont="1" applyFill="1" applyBorder="1" applyAlignment="1">
      <alignment horizontal="left" vertical="center" wrapText="1"/>
    </xf>
    <xf numFmtId="0" fontId="7" fillId="0" borderId="20" xfId="114" applyFont="1" applyBorder="1" applyAlignment="1">
      <alignment horizontal="left" vertical="center" wrapText="1"/>
    </xf>
    <xf numFmtId="0" fontId="7" fillId="0" borderId="21" xfId="114" applyFont="1" applyBorder="1" applyAlignment="1">
      <alignment horizontal="left" vertical="center" wrapText="1"/>
    </xf>
    <xf numFmtId="0" fontId="7" fillId="0" borderId="22" xfId="114" applyFont="1" applyBorder="1" applyAlignment="1">
      <alignment horizontal="left" vertical="center" wrapText="1"/>
    </xf>
    <xf numFmtId="0" fontId="7" fillId="0" borderId="10" xfId="114" applyFont="1" applyBorder="1" applyAlignment="1">
      <alignment horizontal="left"/>
    </xf>
    <xf numFmtId="0" fontId="10" fillId="3" borderId="14" xfId="114" applyFont="1" applyFill="1" applyBorder="1" applyAlignment="1">
      <alignment horizontal="left" vertical="center" wrapText="1"/>
    </xf>
    <xf numFmtId="0" fontId="10" fillId="3" borderId="18" xfId="114" applyFont="1" applyFill="1" applyBorder="1" applyAlignment="1">
      <alignment horizontal="left" vertical="center" wrapText="1"/>
    </xf>
    <xf numFmtId="0" fontId="10" fillId="3" borderId="19" xfId="114" applyFont="1" applyFill="1" applyBorder="1" applyAlignment="1">
      <alignment horizontal="left" vertical="center" wrapText="1"/>
    </xf>
    <xf numFmtId="0" fontId="10" fillId="3" borderId="50" xfId="114" applyFont="1" applyFill="1" applyBorder="1" applyAlignment="1">
      <alignment horizontal="left" vertical="center" wrapText="1"/>
    </xf>
    <xf numFmtId="0" fontId="10" fillId="3" borderId="32" xfId="114" applyFont="1" applyFill="1" applyBorder="1" applyAlignment="1">
      <alignment horizontal="left" vertical="center" wrapText="1"/>
    </xf>
    <xf numFmtId="0" fontId="7" fillId="0" borderId="29" xfId="114" applyFont="1" applyBorder="1" applyAlignment="1">
      <alignment vertical="center" wrapText="1"/>
    </xf>
    <xf numFmtId="0" fontId="7" fillId="0" borderId="31" xfId="114" applyFont="1" applyBorder="1" applyAlignment="1">
      <alignment vertical="center" wrapText="1"/>
    </xf>
    <xf numFmtId="0" fontId="7" fillId="0" borderId="42" xfId="114" applyFont="1" applyBorder="1" applyAlignment="1">
      <alignment horizontal="left" vertical="center" wrapText="1"/>
    </xf>
    <xf numFmtId="0" fontId="10" fillId="3" borderId="5" xfId="114" applyFont="1" applyFill="1" applyBorder="1" applyAlignment="1">
      <alignment horizontal="left" vertical="center" wrapText="1"/>
    </xf>
    <xf numFmtId="0" fontId="10" fillId="3" borderId="11" xfId="114" applyFont="1" applyFill="1" applyBorder="1" applyAlignment="1">
      <alignment horizontal="left" vertical="center" wrapText="1"/>
    </xf>
    <xf numFmtId="0" fontId="10" fillId="3" borderId="6" xfId="114" applyFont="1" applyFill="1" applyBorder="1" applyAlignment="1">
      <alignment horizontal="left" vertical="center" wrapText="1"/>
    </xf>
    <xf numFmtId="0" fontId="7" fillId="0" borderId="5" xfId="114" applyFont="1" applyBorder="1" applyAlignment="1">
      <alignment vertical="center" wrapText="1"/>
    </xf>
    <xf numFmtId="0" fontId="7" fillId="0" borderId="11" xfId="114" applyFont="1" applyBorder="1" applyAlignment="1">
      <alignment vertical="center" wrapText="1"/>
    </xf>
    <xf numFmtId="0" fontId="7" fillId="0" borderId="25" xfId="114" applyFont="1" applyBorder="1" applyAlignment="1">
      <alignment vertical="center" wrapText="1"/>
    </xf>
    <xf numFmtId="165" fontId="10" fillId="0" borderId="70" xfId="115" quotePrefix="1" applyNumberFormat="1" applyFont="1" applyBorder="1" applyAlignment="1" applyProtection="1">
      <alignment horizontal="center" vertical="center"/>
    </xf>
    <xf numFmtId="165" fontId="10" fillId="0" borderId="32" xfId="115" quotePrefix="1" applyNumberFormat="1" applyFont="1" applyBorder="1" applyAlignment="1" applyProtection="1">
      <alignment horizontal="center" vertical="center"/>
    </xf>
    <xf numFmtId="0" fontId="7" fillId="0" borderId="26" xfId="114" applyFont="1" applyBorder="1" applyAlignment="1">
      <alignment vertical="center" wrapText="1"/>
    </xf>
    <xf numFmtId="0" fontId="7" fillId="0" borderId="27" xfId="114" applyFont="1" applyBorder="1" applyAlignment="1">
      <alignment vertical="center" wrapText="1"/>
    </xf>
    <xf numFmtId="0" fontId="7" fillId="0" borderId="36" xfId="114" applyFont="1" applyBorder="1" applyAlignment="1">
      <alignment vertical="center" wrapText="1"/>
    </xf>
    <xf numFmtId="0" fontId="7" fillId="0" borderId="28" xfId="114" applyFont="1" applyBorder="1" applyAlignment="1">
      <alignment vertical="center" wrapText="1"/>
    </xf>
    <xf numFmtId="0" fontId="7" fillId="2" borderId="14" xfId="114" applyFont="1" applyFill="1" applyBorder="1" applyAlignment="1">
      <alignment horizontal="left" vertical="center" wrapText="1"/>
    </xf>
    <xf numFmtId="0" fontId="7" fillId="2" borderId="19" xfId="114" applyFont="1" applyFill="1" applyBorder="1" applyAlignment="1">
      <alignment horizontal="left" vertical="center" wrapText="1"/>
    </xf>
    <xf numFmtId="0" fontId="5" fillId="0" borderId="11" xfId="114" applyBorder="1"/>
    <xf numFmtId="0" fontId="10" fillId="3" borderId="14" xfId="114" quotePrefix="1" applyFont="1" applyFill="1" applyBorder="1" applyAlignment="1">
      <alignment vertical="center" wrapText="1"/>
    </xf>
    <xf numFmtId="0" fontId="10" fillId="3" borderId="19" xfId="114" quotePrefix="1" applyFont="1" applyFill="1" applyBorder="1" applyAlignment="1">
      <alignment vertical="center" wrapText="1"/>
    </xf>
    <xf numFmtId="0" fontId="10" fillId="3" borderId="14" xfId="114" applyFont="1" applyFill="1" applyBorder="1" applyAlignment="1">
      <alignment vertical="center" wrapText="1"/>
    </xf>
    <xf numFmtId="0" fontId="10" fillId="3" borderId="19" xfId="114" applyFont="1" applyFill="1" applyBorder="1" applyAlignment="1">
      <alignment vertical="center" wrapText="1"/>
    </xf>
    <xf numFmtId="0" fontId="21" fillId="5" borderId="16" xfId="114" applyFont="1" applyFill="1" applyBorder="1" applyAlignment="1" applyProtection="1">
      <alignment horizontal="center" vertical="center"/>
      <protection hidden="1"/>
    </xf>
    <xf numFmtId="0" fontId="21" fillId="5" borderId="35" xfId="114" applyFont="1" applyFill="1" applyBorder="1" applyAlignment="1" applyProtection="1">
      <alignment horizontal="center" vertical="center"/>
      <protection hidden="1"/>
    </xf>
    <xf numFmtId="0" fontId="21" fillId="5" borderId="17" xfId="114" applyFont="1" applyFill="1" applyBorder="1" applyAlignment="1" applyProtection="1">
      <alignment horizontal="center" vertical="center"/>
      <protection hidden="1"/>
    </xf>
    <xf numFmtId="166" fontId="7" fillId="0" borderId="35" xfId="114" applyNumberFormat="1" applyFont="1" applyBorder="1" applyAlignment="1" applyProtection="1">
      <alignment horizontal="right" vertical="center"/>
      <protection hidden="1"/>
    </xf>
    <xf numFmtId="166" fontId="7" fillId="0" borderId="17" xfId="114" applyNumberFormat="1" applyFont="1" applyBorder="1" applyAlignment="1" applyProtection="1">
      <alignment horizontal="right" vertical="center"/>
      <protection hidden="1"/>
    </xf>
    <xf numFmtId="0" fontId="5" fillId="0" borderId="10" xfId="114" applyBorder="1"/>
    <xf numFmtId="168" fontId="27" fillId="0" borderId="2" xfId="116" applyNumberFormat="1" applyFont="1" applyBorder="1" applyAlignment="1">
      <alignment horizontal="center" vertical="center"/>
    </xf>
    <xf numFmtId="0" fontId="10" fillId="3" borderId="20" xfId="114" applyFont="1" applyFill="1" applyBorder="1" applyAlignment="1">
      <alignment horizontal="left" vertical="center" wrapText="1"/>
    </xf>
    <xf numFmtId="0" fontId="10" fillId="3" borderId="21" xfId="114" applyFont="1" applyFill="1" applyBorder="1" applyAlignment="1">
      <alignment horizontal="left" vertical="center" wrapText="1"/>
    </xf>
    <xf numFmtId="0" fontId="10" fillId="3" borderId="41" xfId="114" applyFont="1" applyFill="1" applyBorder="1" applyAlignment="1">
      <alignment horizontal="left" vertical="center" wrapText="1"/>
    </xf>
    <xf numFmtId="0" fontId="10" fillId="0" borderId="42" xfId="114" applyFont="1" applyBorder="1" applyAlignment="1">
      <alignment vertical="center" wrapText="1"/>
    </xf>
    <xf numFmtId="0" fontId="10" fillId="0" borderId="44" xfId="114" applyFont="1" applyBorder="1" applyAlignment="1">
      <alignment vertical="center" wrapText="1"/>
    </xf>
    <xf numFmtId="0" fontId="10" fillId="0" borderId="43" xfId="114" applyFont="1" applyBorder="1" applyAlignment="1">
      <alignment vertical="center" wrapText="1"/>
    </xf>
    <xf numFmtId="165" fontId="10" fillId="0" borderId="45" xfId="115" quotePrefix="1" applyNumberFormat="1" applyFont="1" applyBorder="1" applyAlignment="1" applyProtection="1">
      <alignment horizontal="center" vertical="center"/>
    </xf>
    <xf numFmtId="165" fontId="10" fillId="0" borderId="24" xfId="115" quotePrefix="1" applyNumberFormat="1" applyFont="1" applyBorder="1" applyAlignment="1" applyProtection="1">
      <alignment horizontal="center" vertical="center"/>
    </xf>
    <xf numFmtId="0" fontId="7" fillId="0" borderId="8" xfId="114" applyFont="1" applyBorder="1" applyAlignment="1">
      <alignment horizontal="left" vertical="center" wrapText="1"/>
    </xf>
    <xf numFmtId="0" fontId="7" fillId="0" borderId="10" xfId="114" applyFont="1" applyBorder="1" applyAlignment="1">
      <alignment horizontal="left" vertical="center" wrapText="1"/>
    </xf>
    <xf numFmtId="0" fontId="7" fillId="0" borderId="69" xfId="114" applyFont="1" applyBorder="1" applyAlignment="1">
      <alignment horizontal="left" vertical="center" wrapText="1"/>
    </xf>
    <xf numFmtId="0" fontId="7" fillId="0" borderId="29" xfId="114" applyFont="1" applyBorder="1" applyAlignment="1">
      <alignment horizontal="left" vertical="center" wrapText="1"/>
    </xf>
    <xf numFmtId="0" fontId="7" fillId="0" borderId="26" xfId="114" applyFont="1" applyBorder="1" applyAlignment="1">
      <alignment horizontal="left" vertical="center" wrapText="1"/>
    </xf>
    <xf numFmtId="0" fontId="7" fillId="0" borderId="31" xfId="114" applyFont="1" applyBorder="1" applyAlignment="1">
      <alignment horizontal="left" vertical="center" wrapText="1"/>
    </xf>
    <xf numFmtId="0" fontId="7" fillId="0" borderId="5" xfId="114" applyFont="1" applyBorder="1" applyAlignment="1">
      <alignment horizontal="left" vertical="center" wrapText="1"/>
    </xf>
    <xf numFmtId="0" fontId="7" fillId="0" borderId="11" xfId="114" applyFont="1" applyBorder="1" applyAlignment="1">
      <alignment horizontal="left" vertical="center" wrapText="1"/>
    </xf>
    <xf numFmtId="0" fontId="7" fillId="0" borderId="25" xfId="114" applyFont="1" applyBorder="1" applyAlignment="1">
      <alignment horizontal="left" vertical="center" wrapText="1"/>
    </xf>
    <xf numFmtId="164" fontId="3" fillId="0" borderId="46" xfId="65" applyNumberFormat="1" applyFont="1" applyBorder="1" applyAlignment="1" applyProtection="1">
      <alignment horizontal="center" vertical="center"/>
    </xf>
    <xf numFmtId="164" fontId="3" fillId="0" borderId="23" xfId="65" applyNumberFormat="1" applyFont="1" applyBorder="1" applyAlignment="1" applyProtection="1">
      <alignment horizontal="center" vertical="center"/>
    </xf>
    <xf numFmtId="164" fontId="3" fillId="0" borderId="71" xfId="65" applyNumberFormat="1" applyFont="1" applyBorder="1" applyAlignment="1" applyProtection="1">
      <alignment horizontal="center" vertical="center"/>
    </xf>
    <xf numFmtId="164" fontId="3" fillId="0" borderId="15" xfId="65" applyNumberFormat="1" applyFont="1" applyBorder="1" applyAlignment="1" applyProtection="1">
      <alignment horizontal="center" vertical="center"/>
    </xf>
    <xf numFmtId="0" fontId="7" fillId="2" borderId="16" xfId="114" applyFont="1" applyFill="1" applyBorder="1" applyAlignment="1">
      <alignment vertical="center" wrapText="1"/>
    </xf>
    <xf numFmtId="0" fontId="7" fillId="2" borderId="35" xfId="114" applyFont="1" applyFill="1" applyBorder="1" applyAlignment="1">
      <alignment vertical="center" wrapText="1"/>
    </xf>
    <xf numFmtId="0" fontId="7" fillId="2" borderId="61" xfId="114" applyFont="1" applyFill="1" applyBorder="1" applyAlignment="1">
      <alignment vertical="center" wrapText="1"/>
    </xf>
    <xf numFmtId="0" fontId="7" fillId="0" borderId="14" xfId="114" applyFont="1" applyBorder="1" applyAlignment="1">
      <alignment vertical="center"/>
    </xf>
    <xf numFmtId="0" fontId="7" fillId="0" borderId="19" xfId="114" applyFont="1" applyBorder="1" applyAlignment="1">
      <alignment vertical="center"/>
    </xf>
    <xf numFmtId="0" fontId="10" fillId="5" borderId="34" xfId="114" applyFont="1" applyFill="1" applyBorder="1" applyAlignment="1">
      <alignment horizontal="center" vertical="center"/>
    </xf>
    <xf numFmtId="0" fontId="10" fillId="5" borderId="19" xfId="114" applyFont="1" applyFill="1" applyBorder="1" applyAlignment="1">
      <alignment horizontal="center" vertical="center"/>
    </xf>
    <xf numFmtId="0" fontId="7" fillId="0" borderId="18" xfId="114" applyFont="1" applyBorder="1" applyAlignment="1">
      <alignment vertical="center" wrapText="1"/>
    </xf>
    <xf numFmtId="0" fontId="7" fillId="9" borderId="14" xfId="114" applyFont="1" applyFill="1" applyBorder="1" applyAlignment="1" applyProtection="1">
      <alignment horizontal="center"/>
      <protection locked="0"/>
    </xf>
    <xf numFmtId="0" fontId="7" fillId="9" borderId="18" xfId="114" applyFont="1" applyFill="1" applyBorder="1" applyAlignment="1" applyProtection="1">
      <alignment horizontal="center"/>
      <protection locked="0"/>
    </xf>
    <xf numFmtId="0" fontId="7" fillId="9" borderId="19" xfId="114" applyFont="1" applyFill="1" applyBorder="1" applyAlignment="1" applyProtection="1">
      <alignment horizontal="center"/>
      <protection locked="0"/>
    </xf>
    <xf numFmtId="0" fontId="7" fillId="9" borderId="14" xfId="114" applyFont="1" applyFill="1" applyBorder="1" applyAlignment="1" applyProtection="1">
      <alignment horizontal="left"/>
      <protection locked="0"/>
    </xf>
    <xf numFmtId="0" fontId="7" fillId="9" borderId="19" xfId="114" applyFont="1" applyFill="1" applyBorder="1" applyAlignment="1" applyProtection="1">
      <alignment horizontal="left"/>
      <protection locked="0"/>
    </xf>
    <xf numFmtId="0" fontId="10" fillId="2" borderId="5" xfId="114" applyFont="1" applyFill="1" applyBorder="1" applyAlignment="1">
      <alignment horizontal="left"/>
    </xf>
    <xf numFmtId="0" fontId="10" fillId="2" borderId="25" xfId="114" applyFont="1" applyFill="1" applyBorder="1" applyAlignment="1">
      <alignment horizontal="left"/>
    </xf>
    <xf numFmtId="0" fontId="7" fillId="9" borderId="20" xfId="114" applyFont="1" applyFill="1" applyBorder="1" applyAlignment="1" applyProtection="1">
      <alignment horizontal="left"/>
      <protection locked="0"/>
    </xf>
    <xf numFmtId="0" fontId="7" fillId="9" borderId="22" xfId="114" applyFont="1" applyFill="1" applyBorder="1" applyAlignment="1" applyProtection="1">
      <alignment horizontal="left"/>
      <protection locked="0"/>
    </xf>
    <xf numFmtId="0" fontId="7" fillId="2" borderId="74" xfId="114" applyFont="1" applyFill="1" applyBorder="1" applyAlignment="1">
      <alignment horizontal="left"/>
    </xf>
    <xf numFmtId="0" fontId="7" fillId="2" borderId="67" xfId="114" applyFont="1" applyFill="1" applyBorder="1" applyAlignment="1">
      <alignment horizontal="left"/>
    </xf>
    <xf numFmtId="0" fontId="22" fillId="5" borderId="8" xfId="114" applyFont="1" applyFill="1" applyBorder="1" applyAlignment="1">
      <alignment horizontal="center"/>
    </xf>
    <xf numFmtId="0" fontId="22" fillId="5" borderId="10" xfId="114" applyFont="1" applyFill="1" applyBorder="1" applyAlignment="1">
      <alignment horizontal="center"/>
    </xf>
    <xf numFmtId="0" fontId="22" fillId="5" borderId="9" xfId="114" applyFont="1" applyFill="1" applyBorder="1" applyAlignment="1">
      <alignment horizontal="center"/>
    </xf>
    <xf numFmtId="0" fontId="7" fillId="9" borderId="42" xfId="114" applyFont="1" applyFill="1" applyBorder="1" applyAlignment="1" applyProtection="1">
      <alignment horizontal="center" wrapText="1"/>
      <protection locked="0"/>
    </xf>
    <xf numFmtId="0" fontId="7" fillId="9" borderId="44" xfId="114" applyFont="1" applyFill="1" applyBorder="1" applyAlignment="1" applyProtection="1">
      <alignment horizontal="center" wrapText="1"/>
      <protection locked="0"/>
    </xf>
    <xf numFmtId="0" fontId="7" fillId="9" borderId="43" xfId="114" applyFont="1" applyFill="1" applyBorder="1" applyAlignment="1" applyProtection="1">
      <alignment horizontal="center" wrapText="1"/>
      <protection locked="0"/>
    </xf>
    <xf numFmtId="0" fontId="21" fillId="0" borderId="35" xfId="114" applyFont="1" applyBorder="1" applyAlignment="1">
      <alignment horizontal="right"/>
    </xf>
    <xf numFmtId="0" fontId="10" fillId="5" borderId="5" xfId="114" applyFont="1" applyFill="1" applyBorder="1" applyAlignment="1">
      <alignment horizontal="center" vertical="center"/>
    </xf>
    <xf numFmtId="0" fontId="10" fillId="5" borderId="11" xfId="114" applyFont="1" applyFill="1" applyBorder="1" applyAlignment="1">
      <alignment horizontal="center" vertical="center"/>
    </xf>
    <xf numFmtId="0" fontId="10" fillId="5" borderId="6" xfId="114" applyFont="1" applyFill="1" applyBorder="1" applyAlignment="1">
      <alignment horizontal="center" vertical="center"/>
    </xf>
    <xf numFmtId="0" fontId="10" fillId="0" borderId="14" xfId="114" applyFont="1" applyBorder="1" applyAlignment="1">
      <alignment horizontal="left"/>
    </xf>
    <xf numFmtId="0" fontId="10" fillId="0" borderId="19" xfId="114" applyFont="1" applyBorder="1" applyAlignment="1">
      <alignment horizontal="left"/>
    </xf>
    <xf numFmtId="0" fontId="10" fillId="2" borderId="16" xfId="114" applyFont="1" applyFill="1" applyBorder="1"/>
    <xf numFmtId="0" fontId="10" fillId="2" borderId="35" xfId="114" applyFont="1" applyFill="1" applyBorder="1"/>
    <xf numFmtId="0" fontId="10" fillId="2" borderId="14" xfId="114" applyFont="1" applyFill="1" applyBorder="1" applyAlignment="1">
      <alignment horizontal="left"/>
    </xf>
    <xf numFmtId="0" fontId="10" fillId="2" borderId="18" xfId="114" applyFont="1" applyFill="1" applyBorder="1" applyAlignment="1">
      <alignment horizontal="left"/>
    </xf>
    <xf numFmtId="0" fontId="10" fillId="2" borderId="19" xfId="114" applyFont="1" applyFill="1" applyBorder="1" applyAlignment="1">
      <alignment horizontal="left"/>
    </xf>
    <xf numFmtId="0" fontId="10" fillId="7" borderId="5" xfId="114" applyFont="1" applyFill="1" applyBorder="1" applyAlignment="1">
      <alignment horizontal="left" vertical="center" wrapText="1"/>
    </xf>
    <xf numFmtId="0" fontId="10" fillId="7" borderId="11" xfId="114" applyFont="1" applyFill="1" applyBorder="1" applyAlignment="1">
      <alignment horizontal="left" vertical="center" wrapText="1"/>
    </xf>
    <xf numFmtId="0" fontId="10" fillId="2" borderId="52" xfId="114" applyFont="1" applyFill="1" applyBorder="1" applyAlignment="1">
      <alignment horizontal="left"/>
    </xf>
    <xf numFmtId="0" fontId="10" fillId="2" borderId="36" xfId="114" applyFont="1" applyFill="1" applyBorder="1" applyAlignment="1">
      <alignment horizontal="left"/>
    </xf>
    <xf numFmtId="0" fontId="10" fillId="2" borderId="48" xfId="114" applyFont="1" applyFill="1" applyBorder="1" applyAlignment="1">
      <alignment horizontal="left"/>
    </xf>
    <xf numFmtId="0" fontId="10" fillId="2" borderId="11" xfId="114" applyFont="1" applyFill="1" applyBorder="1" applyAlignment="1">
      <alignment horizontal="left"/>
    </xf>
    <xf numFmtId="0" fontId="7" fillId="9" borderId="34" xfId="114" applyFont="1" applyFill="1" applyBorder="1" applyAlignment="1" applyProtection="1">
      <alignment horizontal="center"/>
      <protection locked="0"/>
    </xf>
    <xf numFmtId="0" fontId="7" fillId="9" borderId="47" xfId="114" applyFont="1" applyFill="1" applyBorder="1" applyAlignment="1" applyProtection="1">
      <alignment horizontal="center"/>
      <protection locked="0"/>
    </xf>
    <xf numFmtId="0" fontId="0" fillId="9" borderId="57" xfId="0" applyFill="1" applyBorder="1" applyAlignment="1" applyProtection="1">
      <alignment horizontal="center" vertical="center"/>
      <protection locked="0"/>
    </xf>
    <xf numFmtId="0" fontId="0" fillId="9" borderId="44" xfId="0" applyFill="1" applyBorder="1" applyAlignment="1" applyProtection="1">
      <alignment horizontal="center" vertical="center"/>
      <protection locked="0"/>
    </xf>
    <xf numFmtId="0" fontId="0" fillId="9" borderId="59" xfId="0" applyFill="1" applyBorder="1" applyAlignment="1" applyProtection="1">
      <alignment horizontal="center" vertical="center"/>
      <protection locked="0"/>
    </xf>
    <xf numFmtId="0" fontId="0" fillId="9" borderId="54" xfId="0" applyFill="1" applyBorder="1" applyAlignment="1" applyProtection="1">
      <alignment horizontal="center" vertical="center"/>
      <protection locked="0"/>
    </xf>
    <xf numFmtId="0" fontId="0" fillId="9" borderId="0" xfId="0" applyFill="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0" fillId="9" borderId="56" xfId="0" applyFill="1" applyBorder="1" applyAlignment="1" applyProtection="1">
      <alignment horizontal="center" vertical="center"/>
      <protection locked="0"/>
    </xf>
    <xf numFmtId="0" fontId="0" fillId="9" borderId="26" xfId="0" applyFill="1" applyBorder="1" applyAlignment="1" applyProtection="1">
      <alignment horizontal="center" vertical="center"/>
      <protection locked="0"/>
    </xf>
    <xf numFmtId="0" fontId="0" fillId="9" borderId="30" xfId="0" applyFill="1" applyBorder="1" applyAlignment="1" applyProtection="1">
      <alignment horizontal="center" vertical="center"/>
      <protection locked="0"/>
    </xf>
    <xf numFmtId="0" fontId="10" fillId="2" borderId="34" xfId="114" applyFont="1" applyFill="1" applyBorder="1" applyAlignment="1">
      <alignment horizontal="left"/>
    </xf>
    <xf numFmtId="0" fontId="10" fillId="2" borderId="47" xfId="114" applyFont="1" applyFill="1" applyBorder="1" applyAlignment="1">
      <alignment horizontal="left"/>
    </xf>
    <xf numFmtId="170" fontId="7" fillId="9" borderId="46" xfId="114" applyNumberFormat="1" applyFont="1" applyFill="1" applyBorder="1" applyAlignment="1" applyProtection="1">
      <alignment horizontal="center" vertical="center" wrapText="1"/>
      <protection locked="0"/>
    </xf>
    <xf numFmtId="170" fontId="7" fillId="9" borderId="15" xfId="114" applyNumberFormat="1" applyFont="1" applyFill="1" applyBorder="1" applyAlignment="1" applyProtection="1">
      <alignment horizontal="center" vertical="center" wrapText="1"/>
      <protection locked="0"/>
    </xf>
    <xf numFmtId="0" fontId="10" fillId="2" borderId="34" xfId="114" applyFont="1" applyFill="1" applyBorder="1"/>
    <xf numFmtId="0" fontId="10" fillId="2" borderId="19" xfId="114" applyFont="1" applyFill="1" applyBorder="1"/>
    <xf numFmtId="0" fontId="7" fillId="9" borderId="57" xfId="114" applyFont="1" applyFill="1" applyBorder="1" applyAlignment="1" applyProtection="1">
      <alignment horizontal="center" vertical="center" wrapText="1"/>
      <protection locked="0"/>
    </xf>
    <xf numFmtId="0" fontId="7" fillId="9" borderId="43" xfId="114" applyFont="1" applyFill="1" applyBorder="1" applyAlignment="1" applyProtection="1">
      <alignment horizontal="center" vertical="center" wrapText="1"/>
      <protection locked="0"/>
    </xf>
    <xf numFmtId="0" fontId="7" fillId="9" borderId="56" xfId="114" applyFont="1" applyFill="1" applyBorder="1" applyAlignment="1" applyProtection="1">
      <alignment horizontal="center" vertical="center" wrapText="1"/>
      <protection locked="0"/>
    </xf>
    <xf numFmtId="0" fontId="7" fillId="9" borderId="31" xfId="114" applyFont="1" applyFill="1" applyBorder="1" applyAlignment="1" applyProtection="1">
      <alignment horizontal="center" vertical="center" wrapText="1"/>
      <protection locked="0"/>
    </xf>
    <xf numFmtId="0" fontId="10" fillId="2" borderId="14" xfId="114" applyFont="1" applyFill="1" applyBorder="1"/>
    <xf numFmtId="0" fontId="7" fillId="9" borderId="42" xfId="114" applyFont="1" applyFill="1" applyBorder="1" applyAlignment="1" applyProtection="1">
      <alignment horizontal="center" vertical="center" wrapText="1"/>
      <protection locked="0"/>
    </xf>
    <xf numFmtId="0" fontId="7" fillId="9" borderId="29" xfId="114" applyFont="1" applyFill="1" applyBorder="1" applyAlignment="1" applyProtection="1">
      <alignment horizontal="center" vertical="center" wrapText="1"/>
      <protection locked="0"/>
    </xf>
    <xf numFmtId="0" fontId="7" fillId="9" borderId="29" xfId="114" applyFont="1" applyFill="1" applyBorder="1" applyAlignment="1" applyProtection="1">
      <alignment horizontal="center" wrapText="1"/>
      <protection locked="0"/>
    </xf>
    <xf numFmtId="0" fontId="7" fillId="9" borderId="26" xfId="114" applyFont="1" applyFill="1" applyBorder="1" applyAlignment="1" applyProtection="1">
      <alignment horizontal="center"/>
      <protection locked="0"/>
    </xf>
    <xf numFmtId="0" fontId="7" fillId="9" borderId="31" xfId="114" applyFont="1" applyFill="1" applyBorder="1" applyAlignment="1" applyProtection="1">
      <alignment horizontal="center"/>
      <protection locked="0"/>
    </xf>
    <xf numFmtId="0" fontId="7" fillId="9" borderId="2" xfId="114" applyFont="1" applyFill="1" applyBorder="1" applyAlignment="1" applyProtection="1">
      <alignment horizontal="center"/>
      <protection locked="0"/>
    </xf>
    <xf numFmtId="0" fontId="7" fillId="9" borderId="0" xfId="114" applyFont="1" applyFill="1" applyAlignment="1" applyProtection="1">
      <alignment horizontal="center"/>
      <protection locked="0"/>
    </xf>
    <xf numFmtId="0" fontId="7" fillId="9" borderId="58" xfId="114" applyFont="1" applyFill="1" applyBorder="1" applyAlignment="1" applyProtection="1">
      <alignment horizontal="center"/>
      <protection locked="0"/>
    </xf>
    <xf numFmtId="0" fontId="7" fillId="0" borderId="9" xfId="114" applyFont="1" applyBorder="1" applyAlignment="1">
      <alignment horizontal="left" vertical="center" wrapText="1"/>
    </xf>
    <xf numFmtId="0" fontId="7" fillId="0" borderId="30" xfId="114" applyFont="1" applyBorder="1" applyAlignment="1">
      <alignment horizontal="left" vertical="center" wrapText="1"/>
    </xf>
    <xf numFmtId="0" fontId="7" fillId="5" borderId="45" xfId="114" applyFont="1" applyFill="1" applyBorder="1" applyAlignment="1">
      <alignment horizontal="center" vertical="center" wrapText="1"/>
    </xf>
    <xf numFmtId="0" fontId="7" fillId="5" borderId="38" xfId="114" applyFont="1" applyFill="1" applyBorder="1" applyAlignment="1">
      <alignment horizontal="center" vertical="center" wrapText="1"/>
    </xf>
    <xf numFmtId="0" fontId="7" fillId="5" borderId="46" xfId="114" applyFont="1" applyFill="1" applyBorder="1" applyAlignment="1">
      <alignment horizontal="center" vertical="center" wrapText="1"/>
    </xf>
    <xf numFmtId="0" fontId="7" fillId="5" borderId="39" xfId="114" applyFont="1" applyFill="1" applyBorder="1" applyAlignment="1">
      <alignment horizontal="center" vertical="center" wrapText="1"/>
    </xf>
    <xf numFmtId="0" fontId="7" fillId="5" borderId="42" xfId="114" applyFont="1" applyFill="1" applyBorder="1" applyAlignment="1">
      <alignment horizontal="center" vertical="center" wrapText="1"/>
    </xf>
    <xf numFmtId="0" fontId="7" fillId="5" borderId="43" xfId="114" applyFont="1" applyFill="1" applyBorder="1" applyAlignment="1">
      <alignment horizontal="center" vertical="center" wrapText="1"/>
    </xf>
    <xf numFmtId="0" fontId="7" fillId="5" borderId="2" xfId="114" applyFont="1" applyFill="1" applyBorder="1" applyAlignment="1">
      <alignment horizontal="center" vertical="center" wrapText="1"/>
    </xf>
    <xf numFmtId="0" fontId="7" fillId="5" borderId="58" xfId="114" applyFont="1" applyFill="1" applyBorder="1" applyAlignment="1">
      <alignment horizontal="center" vertical="center" wrapText="1"/>
    </xf>
    <xf numFmtId="0" fontId="7" fillId="5" borderId="29" xfId="114" applyFont="1" applyFill="1" applyBorder="1" applyAlignment="1">
      <alignment horizontal="center" vertical="center" wrapText="1"/>
    </xf>
    <xf numFmtId="0" fontId="7" fillId="5" borderId="31" xfId="114" applyFont="1" applyFill="1" applyBorder="1" applyAlignment="1">
      <alignment horizontal="center" vertical="center" wrapText="1"/>
    </xf>
    <xf numFmtId="0" fontId="7" fillId="2" borderId="14" xfId="114" applyFont="1" applyFill="1" applyBorder="1" applyAlignment="1">
      <alignment horizontal="center"/>
    </xf>
    <xf numFmtId="0" fontId="7" fillId="2" borderId="19" xfId="114" applyFont="1" applyFill="1" applyBorder="1" applyAlignment="1">
      <alignment horizontal="center"/>
    </xf>
    <xf numFmtId="0" fontId="7" fillId="0" borderId="27" xfId="114" applyFont="1" applyBorder="1" applyAlignment="1">
      <alignment horizontal="left"/>
    </xf>
    <xf numFmtId="0" fontId="7" fillId="0" borderId="28" xfId="114" applyFont="1" applyBorder="1" applyAlignment="1">
      <alignment horizontal="left"/>
    </xf>
    <xf numFmtId="0" fontId="7" fillId="7" borderId="2" xfId="114" applyFont="1" applyFill="1" applyBorder="1" applyAlignment="1">
      <alignment vertical="center" wrapText="1"/>
    </xf>
    <xf numFmtId="0" fontId="7" fillId="7" borderId="0" xfId="114" applyFont="1" applyFill="1" applyAlignment="1">
      <alignment vertical="center" wrapText="1"/>
    </xf>
    <xf numFmtId="169" fontId="10" fillId="5" borderId="8" xfId="114" applyNumberFormat="1" applyFont="1" applyFill="1" applyBorder="1" applyAlignment="1">
      <alignment horizontal="center" vertical="center" wrapText="1"/>
    </xf>
    <xf numFmtId="169" fontId="10" fillId="5" borderId="10" xfId="114" applyNumberFormat="1" applyFont="1" applyFill="1" applyBorder="1" applyAlignment="1">
      <alignment horizontal="center" vertical="center" wrapText="1"/>
    </xf>
    <xf numFmtId="169" fontId="10" fillId="5" borderId="9" xfId="114" applyNumberFormat="1" applyFont="1" applyFill="1" applyBorder="1" applyAlignment="1">
      <alignment horizontal="center" vertical="center" wrapText="1"/>
    </xf>
    <xf numFmtId="169" fontId="10" fillId="5" borderId="2" xfId="114" applyNumberFormat="1" applyFont="1" applyFill="1" applyBorder="1" applyAlignment="1">
      <alignment horizontal="center" vertical="top"/>
    </xf>
    <xf numFmtId="169" fontId="10" fillId="5" borderId="0" xfId="114" applyNumberFormat="1" applyFont="1" applyFill="1" applyAlignment="1">
      <alignment horizontal="center" vertical="top"/>
    </xf>
    <xf numFmtId="169" fontId="10" fillId="5" borderId="3" xfId="114" applyNumberFormat="1" applyFont="1" applyFill="1" applyBorder="1" applyAlignment="1">
      <alignment horizontal="center" vertical="top"/>
    </xf>
    <xf numFmtId="0" fontId="7" fillId="0" borderId="21" xfId="114" applyFont="1" applyBorder="1" applyAlignment="1">
      <alignment horizontal="left"/>
    </xf>
    <xf numFmtId="0" fontId="7" fillId="0" borderId="41" xfId="114" applyFont="1" applyBorder="1" applyAlignment="1">
      <alignment horizontal="left"/>
    </xf>
    <xf numFmtId="0" fontId="7" fillId="0" borderId="10" xfId="114" applyFont="1" applyBorder="1"/>
    <xf numFmtId="164" fontId="7" fillId="9" borderId="34" xfId="116" applyNumberFormat="1" applyFont="1" applyFill="1" applyBorder="1" applyAlignment="1" applyProtection="1">
      <alignment horizontal="right"/>
      <protection locked="0"/>
    </xf>
    <xf numFmtId="164" fontId="7" fillId="9" borderId="19" xfId="116" applyNumberFormat="1" applyFont="1" applyFill="1" applyBorder="1" applyAlignment="1" applyProtection="1">
      <alignment horizontal="right"/>
      <protection locked="0"/>
    </xf>
    <xf numFmtId="164" fontId="7" fillId="9" borderId="57" xfId="116" applyNumberFormat="1" applyFont="1" applyFill="1" applyBorder="1" applyAlignment="1" applyProtection="1">
      <alignment horizontal="right"/>
      <protection locked="0"/>
    </xf>
    <xf numFmtId="164" fontId="7" fillId="9" borderId="43" xfId="116" applyNumberFormat="1" applyFont="1" applyFill="1" applyBorder="1" applyAlignment="1" applyProtection="1">
      <alignment horizontal="right"/>
      <protection locked="0"/>
    </xf>
    <xf numFmtId="164" fontId="7" fillId="9" borderId="82" xfId="116" applyNumberFormat="1" applyFont="1" applyFill="1" applyBorder="1" applyAlignment="1" applyProtection="1">
      <alignment horizontal="right"/>
      <protection locked="0"/>
    </xf>
    <xf numFmtId="164" fontId="7" fillId="9" borderId="67" xfId="116" applyNumberFormat="1" applyFont="1" applyFill="1" applyBorder="1" applyAlignment="1" applyProtection="1">
      <alignment horizontal="right"/>
      <protection locked="0"/>
    </xf>
    <xf numFmtId="0" fontId="7" fillId="0" borderId="11" xfId="114" applyFont="1" applyBorder="1" applyAlignment="1">
      <alignment horizontal="center"/>
    </xf>
    <xf numFmtId="0" fontId="10" fillId="2" borderId="35" xfId="114" applyFont="1" applyFill="1" applyBorder="1" applyAlignment="1">
      <alignment horizontal="center"/>
    </xf>
    <xf numFmtId="0" fontId="10" fillId="2" borderId="10" xfId="114" applyFont="1" applyFill="1" applyBorder="1" applyAlignment="1">
      <alignment horizontal="center"/>
    </xf>
    <xf numFmtId="0" fontId="7" fillId="0" borderId="35" xfId="114" applyFont="1" applyBorder="1" applyAlignment="1">
      <alignment horizontal="center"/>
    </xf>
    <xf numFmtId="0" fontId="10" fillId="3" borderId="38" xfId="120" applyFont="1" applyFill="1" applyBorder="1" applyAlignment="1">
      <alignment horizontal="center" vertical="center" wrapText="1"/>
    </xf>
    <xf numFmtId="0" fontId="10" fillId="3" borderId="32" xfId="120" applyFont="1" applyFill="1" applyBorder="1" applyAlignment="1">
      <alignment horizontal="center" vertical="center" wrapText="1"/>
    </xf>
    <xf numFmtId="0" fontId="10" fillId="3" borderId="63" xfId="120" applyFont="1" applyFill="1" applyBorder="1" applyAlignment="1">
      <alignment horizontal="center" vertical="center"/>
    </xf>
    <xf numFmtId="0" fontId="10" fillId="3" borderId="50" xfId="120" applyFont="1" applyFill="1" applyBorder="1" applyAlignment="1">
      <alignment horizontal="center" vertical="center"/>
    </xf>
    <xf numFmtId="0" fontId="10" fillId="5" borderId="54" xfId="120" applyFont="1" applyFill="1" applyBorder="1" applyAlignment="1">
      <alignment horizontal="center" vertical="center" wrapText="1"/>
    </xf>
    <xf numFmtId="0" fontId="10" fillId="5" borderId="0" xfId="120" applyFont="1" applyFill="1" applyAlignment="1">
      <alignment horizontal="center" vertical="center" wrapText="1"/>
    </xf>
    <xf numFmtId="0" fontId="10" fillId="5" borderId="3" xfId="120" applyFont="1" applyFill="1" applyBorder="1" applyAlignment="1">
      <alignment horizontal="center" vertical="center" wrapText="1"/>
    </xf>
    <xf numFmtId="0" fontId="10" fillId="5" borderId="56" xfId="120" applyFont="1" applyFill="1" applyBorder="1" applyAlignment="1">
      <alignment horizontal="center" vertical="center" wrapText="1"/>
    </xf>
    <xf numFmtId="0" fontId="10" fillId="5" borderId="26" xfId="120" applyFont="1" applyFill="1" applyBorder="1" applyAlignment="1">
      <alignment horizontal="center" vertical="center" wrapText="1"/>
    </xf>
    <xf numFmtId="0" fontId="10" fillId="5" borderId="30" xfId="120" applyFont="1" applyFill="1" applyBorder="1" applyAlignment="1">
      <alignment horizontal="center" vertical="center" wrapText="1"/>
    </xf>
    <xf numFmtId="0" fontId="7" fillId="0" borderId="54" xfId="120" applyFont="1" applyBorder="1" applyAlignment="1">
      <alignment horizontal="center" vertical="center" wrapText="1"/>
    </xf>
    <xf numFmtId="0" fontId="7" fillId="0" borderId="0" xfId="120" applyFont="1" applyAlignment="1">
      <alignment horizontal="center" vertical="center" wrapText="1"/>
    </xf>
    <xf numFmtId="0" fontId="7" fillId="0" borderId="3" xfId="120" applyFont="1" applyBorder="1" applyAlignment="1">
      <alignment horizontal="center" vertical="center" wrapText="1"/>
    </xf>
    <xf numFmtId="0" fontId="7" fillId="0" borderId="33" xfId="120" applyFont="1" applyBorder="1" applyAlignment="1">
      <alignment horizontal="center" vertical="center" wrapText="1"/>
    </xf>
    <xf numFmtId="0" fontId="7" fillId="0" borderId="11" xfId="120" applyFont="1" applyBorder="1" applyAlignment="1">
      <alignment horizontal="center" vertical="center" wrapText="1"/>
    </xf>
    <xf numFmtId="0" fontId="7" fillId="0" borderId="6" xfId="120" applyFont="1" applyBorder="1" applyAlignment="1">
      <alignment horizontal="center" vertical="center" wrapText="1"/>
    </xf>
    <xf numFmtId="0" fontId="10" fillId="5" borderId="8" xfId="114" applyFont="1" applyFill="1" applyBorder="1" applyAlignment="1">
      <alignment horizontal="center" wrapText="1"/>
    </xf>
    <xf numFmtId="0" fontId="10" fillId="5" borderId="10" xfId="114" applyFont="1" applyFill="1" applyBorder="1" applyAlignment="1">
      <alignment horizontal="center" wrapText="1"/>
    </xf>
    <xf numFmtId="0" fontId="10" fillId="5" borderId="9" xfId="114" applyFont="1" applyFill="1" applyBorder="1" applyAlignment="1">
      <alignment horizontal="center" wrapText="1"/>
    </xf>
    <xf numFmtId="0" fontId="10" fillId="5" borderId="5" xfId="114" applyFont="1" applyFill="1" applyBorder="1" applyAlignment="1">
      <alignment horizontal="center" wrapText="1"/>
    </xf>
    <xf numFmtId="0" fontId="10" fillId="5" borderId="11" xfId="114" applyFont="1" applyFill="1" applyBorder="1" applyAlignment="1">
      <alignment horizontal="center" wrapText="1"/>
    </xf>
    <xf numFmtId="0" fontId="10" fillId="5" borderId="6" xfId="114" applyFont="1" applyFill="1" applyBorder="1" applyAlignment="1">
      <alignment horizontal="center" wrapText="1"/>
    </xf>
    <xf numFmtId="0" fontId="10" fillId="5" borderId="40" xfId="114" applyFont="1" applyFill="1" applyBorder="1" applyAlignment="1">
      <alignment horizontal="center" wrapText="1"/>
    </xf>
    <xf numFmtId="0" fontId="7" fillId="5" borderId="8" xfId="120" applyFont="1" applyFill="1" applyBorder="1" applyAlignment="1">
      <alignment horizontal="left" vertical="center" wrapText="1"/>
    </xf>
    <xf numFmtId="0" fontId="7" fillId="5" borderId="10" xfId="120" applyFont="1" applyFill="1" applyBorder="1" applyAlignment="1">
      <alignment horizontal="left" vertical="center" wrapText="1"/>
    </xf>
    <xf numFmtId="0" fontId="7" fillId="5" borderId="9" xfId="120" applyFont="1" applyFill="1" applyBorder="1" applyAlignment="1">
      <alignment horizontal="left" vertical="center" wrapText="1"/>
    </xf>
    <xf numFmtId="0" fontId="7" fillId="5" borderId="2" xfId="120" applyFont="1" applyFill="1" applyBorder="1" applyAlignment="1">
      <alignment horizontal="left" vertical="center" wrapText="1"/>
    </xf>
    <xf numFmtId="0" fontId="7" fillId="5" borderId="0" xfId="120" applyFont="1" applyFill="1" applyAlignment="1">
      <alignment horizontal="left" vertical="center" wrapText="1"/>
    </xf>
    <xf numFmtId="0" fontId="7" fillId="5" borderId="3" xfId="120" applyFont="1" applyFill="1" applyBorder="1" applyAlignment="1">
      <alignment horizontal="left" vertical="center" wrapText="1"/>
    </xf>
    <xf numFmtId="0" fontId="7" fillId="5" borderId="5" xfId="120" applyFont="1" applyFill="1" applyBorder="1" applyAlignment="1">
      <alignment horizontal="left" vertical="center" wrapText="1"/>
    </xf>
    <xf numFmtId="0" fontId="7" fillId="5" borderId="11" xfId="120" applyFont="1" applyFill="1" applyBorder="1" applyAlignment="1">
      <alignment horizontal="left" vertical="center" wrapText="1"/>
    </xf>
    <xf numFmtId="0" fontId="7" fillId="5" borderId="6" xfId="120" applyFont="1" applyFill="1" applyBorder="1" applyAlignment="1">
      <alignment horizontal="left" vertical="center" wrapText="1"/>
    </xf>
    <xf numFmtId="0" fontId="7" fillId="0" borderId="35" xfId="114" applyFont="1" applyBorder="1" applyAlignment="1">
      <alignment horizontal="left"/>
    </xf>
    <xf numFmtId="0" fontId="7" fillId="0" borderId="17" xfId="114" applyFont="1" applyBorder="1" applyAlignment="1">
      <alignment horizontal="left"/>
    </xf>
    <xf numFmtId="0" fontId="10" fillId="5" borderId="16" xfId="114" applyFont="1" applyFill="1" applyBorder="1" applyAlignment="1">
      <alignment horizontal="center"/>
    </xf>
    <xf numFmtId="0" fontId="10" fillId="5" borderId="35" xfId="114" applyFont="1" applyFill="1" applyBorder="1" applyAlignment="1">
      <alignment horizontal="center"/>
    </xf>
    <xf numFmtId="0" fontId="10" fillId="5" borderId="17" xfId="114" applyFont="1" applyFill="1" applyBorder="1" applyAlignment="1">
      <alignment horizontal="center"/>
    </xf>
    <xf numFmtId="0" fontId="10" fillId="2" borderId="16" xfId="114" applyFont="1" applyFill="1" applyBorder="1" applyAlignment="1">
      <alignment horizontal="left"/>
    </xf>
    <xf numFmtId="0" fontId="10" fillId="2" borderId="61" xfId="114" applyFont="1" applyFill="1" applyBorder="1" applyAlignment="1">
      <alignment horizontal="left"/>
    </xf>
    <xf numFmtId="0" fontId="10" fillId="2" borderId="83" xfId="114" applyFont="1" applyFill="1" applyBorder="1" applyAlignment="1">
      <alignment horizontal="center"/>
    </xf>
    <xf numFmtId="0" fontId="10" fillId="2" borderId="17" xfId="114" applyFont="1" applyFill="1" applyBorder="1" applyAlignment="1">
      <alignment horizontal="center"/>
    </xf>
    <xf numFmtId="0" fontId="10" fillId="8" borderId="33" xfId="114" applyFont="1" applyFill="1" applyBorder="1" applyAlignment="1">
      <alignment horizontal="center"/>
    </xf>
    <xf numFmtId="0" fontId="10" fillId="8" borderId="6" xfId="114" applyFont="1" applyFill="1" applyBorder="1" applyAlignment="1">
      <alignment horizontal="center"/>
    </xf>
    <xf numFmtId="37" fontId="10" fillId="8" borderId="33" xfId="65" applyNumberFormat="1" applyFont="1" applyFill="1" applyBorder="1" applyAlignment="1" applyProtection="1">
      <alignment horizontal="center"/>
    </xf>
    <xf numFmtId="37" fontId="10" fillId="8" borderId="25" xfId="65" applyNumberFormat="1" applyFont="1" applyFill="1" applyBorder="1" applyAlignment="1" applyProtection="1">
      <alignment horizontal="center"/>
    </xf>
    <xf numFmtId="37" fontId="7" fillId="8" borderId="68" xfId="65" applyNumberFormat="1" applyFont="1" applyFill="1" applyBorder="1" applyAlignment="1" applyProtection="1">
      <alignment horizontal="center"/>
    </xf>
    <xf numFmtId="37" fontId="7" fillId="8" borderId="84" xfId="65" applyNumberFormat="1" applyFont="1" applyFill="1" applyBorder="1" applyAlignment="1" applyProtection="1">
      <alignment horizontal="center"/>
    </xf>
    <xf numFmtId="0" fontId="7" fillId="8" borderId="68" xfId="114" applyFont="1" applyFill="1" applyBorder="1" applyAlignment="1">
      <alignment horizontal="center"/>
    </xf>
    <xf numFmtId="0" fontId="7" fillId="8" borderId="73" xfId="114" applyFont="1" applyFill="1" applyBorder="1" applyAlignment="1">
      <alignment horizontal="center"/>
    </xf>
    <xf numFmtId="37" fontId="7" fillId="8" borderId="33" xfId="65" applyNumberFormat="1" applyFont="1" applyFill="1" applyBorder="1" applyAlignment="1" applyProtection="1">
      <alignment horizontal="center"/>
    </xf>
    <xf numFmtId="37" fontId="7" fillId="8" borderId="25" xfId="65" applyNumberFormat="1" applyFont="1" applyFill="1" applyBorder="1" applyAlignment="1" applyProtection="1">
      <alignment horizontal="center"/>
    </xf>
    <xf numFmtId="0" fontId="7" fillId="0" borderId="2" xfId="114" applyFont="1" applyBorder="1"/>
    <xf numFmtId="0" fontId="7" fillId="0" borderId="0" xfId="114" applyFont="1"/>
    <xf numFmtId="167" fontId="7" fillId="0" borderId="2" xfId="114" applyNumberFormat="1" applyFont="1" applyBorder="1" applyAlignment="1">
      <alignment horizontal="left"/>
    </xf>
    <xf numFmtId="167" fontId="7" fillId="0" borderId="0" xfId="114" applyNumberFormat="1" applyFont="1" applyAlignment="1">
      <alignment horizontal="left"/>
    </xf>
    <xf numFmtId="0" fontId="4" fillId="5" borderId="8" xfId="114" applyFont="1" applyFill="1" applyBorder="1" applyAlignment="1">
      <alignment horizontal="center" wrapText="1"/>
    </xf>
    <xf numFmtId="0" fontId="4" fillId="5" borderId="10" xfId="114" applyFont="1" applyFill="1" applyBorder="1" applyAlignment="1">
      <alignment horizontal="center" wrapText="1"/>
    </xf>
    <xf numFmtId="0" fontId="4" fillId="5" borderId="9" xfId="114" applyFont="1" applyFill="1" applyBorder="1" applyAlignment="1">
      <alignment horizontal="center" wrapText="1"/>
    </xf>
    <xf numFmtId="0" fontId="4" fillId="5" borderId="5" xfId="114" applyFont="1" applyFill="1" applyBorder="1" applyAlignment="1">
      <alignment horizontal="center" wrapText="1"/>
    </xf>
    <xf numFmtId="0" fontId="4" fillId="5" borderId="11" xfId="114" applyFont="1" applyFill="1" applyBorder="1" applyAlignment="1">
      <alignment horizontal="center" wrapText="1"/>
    </xf>
    <xf numFmtId="0" fontId="4" fillId="5" borderId="6" xfId="114" applyFont="1" applyFill="1" applyBorder="1" applyAlignment="1">
      <alignment horizontal="center" wrapText="1"/>
    </xf>
    <xf numFmtId="0" fontId="4" fillId="5" borderId="40" xfId="114" applyFont="1" applyFill="1" applyBorder="1" applyAlignment="1">
      <alignment horizontal="center" vertical="center" wrapText="1"/>
    </xf>
    <xf numFmtId="0" fontId="4" fillId="5" borderId="1" xfId="114" applyFont="1" applyFill="1" applyBorder="1" applyAlignment="1">
      <alignment horizontal="center" vertical="center" wrapText="1"/>
    </xf>
    <xf numFmtId="0" fontId="7" fillId="0" borderId="0" xfId="114" applyFont="1" applyAlignment="1">
      <alignment horizontal="left" wrapText="1"/>
    </xf>
    <xf numFmtId="0" fontId="7" fillId="0" borderId="49" xfId="114" applyFont="1" applyBorder="1" applyAlignment="1">
      <alignment horizontal="left"/>
    </xf>
    <xf numFmtId="0" fontId="7" fillId="0" borderId="40" xfId="114" applyFont="1" applyBorder="1" applyAlignment="1">
      <alignment horizontal="left"/>
    </xf>
    <xf numFmtId="0" fontId="7" fillId="0" borderId="55" xfId="114" applyFont="1" applyBorder="1" applyAlignment="1">
      <alignment horizontal="left" wrapText="1" indent="3"/>
    </xf>
    <xf numFmtId="0" fontId="7" fillId="0" borderId="37" xfId="114" applyFont="1" applyBorder="1" applyAlignment="1">
      <alignment horizontal="left" wrapText="1" indent="3"/>
    </xf>
    <xf numFmtId="0" fontId="4" fillId="5" borderId="42" xfId="114" applyFont="1" applyFill="1" applyBorder="1" applyAlignment="1">
      <alignment horizontal="center" vertical="center"/>
    </xf>
    <xf numFmtId="0" fontId="4" fillId="5" borderId="44" xfId="114" applyFont="1" applyFill="1" applyBorder="1" applyAlignment="1">
      <alignment horizontal="center" vertical="center"/>
    </xf>
    <xf numFmtId="0" fontId="4" fillId="5" borderId="43" xfId="114" applyFont="1" applyFill="1" applyBorder="1" applyAlignment="1">
      <alignment horizontal="center" vertical="center"/>
    </xf>
    <xf numFmtId="0" fontId="4" fillId="5" borderId="2" xfId="114" applyFont="1" applyFill="1" applyBorder="1" applyAlignment="1">
      <alignment horizontal="center" vertical="center"/>
    </xf>
    <xf numFmtId="0" fontId="4" fillId="5" borderId="0" xfId="114" applyFont="1" applyFill="1" applyAlignment="1">
      <alignment horizontal="center" vertical="center"/>
    </xf>
    <xf numFmtId="0" fontId="4" fillId="5" borderId="58" xfId="114" applyFont="1" applyFill="1" applyBorder="1" applyAlignment="1">
      <alignment horizontal="center" vertical="center"/>
    </xf>
    <xf numFmtId="0" fontId="4" fillId="5" borderId="5" xfId="114" applyFont="1" applyFill="1" applyBorder="1" applyAlignment="1">
      <alignment horizontal="center" vertical="center"/>
    </xf>
    <xf numFmtId="0" fontId="4" fillId="5" borderId="11" xfId="114" applyFont="1" applyFill="1" applyBorder="1" applyAlignment="1">
      <alignment horizontal="center" vertical="center"/>
    </xf>
    <xf numFmtId="0" fontId="4" fillId="5" borderId="25" xfId="114" applyFont="1" applyFill="1" applyBorder="1" applyAlignment="1">
      <alignment horizontal="center" vertical="center"/>
    </xf>
    <xf numFmtId="0" fontId="4" fillId="5" borderId="16" xfId="114" applyFont="1" applyFill="1" applyBorder="1" applyAlignment="1">
      <alignment horizontal="center"/>
    </xf>
    <xf numFmtId="0" fontId="4" fillId="5" borderId="35" xfId="114" applyFont="1" applyFill="1" applyBorder="1" applyAlignment="1">
      <alignment horizontal="center"/>
    </xf>
    <xf numFmtId="0" fontId="4" fillId="5" borderId="17" xfId="114" applyFont="1" applyFill="1" applyBorder="1" applyAlignment="1">
      <alignment horizontal="center"/>
    </xf>
    <xf numFmtId="0" fontId="7" fillId="0" borderId="13" xfId="114" applyFont="1" applyBorder="1" applyAlignment="1">
      <alignment horizontal="left" wrapText="1"/>
    </xf>
    <xf numFmtId="0" fontId="7" fillId="0" borderId="1" xfId="114" applyFont="1" applyBorder="1" applyAlignment="1">
      <alignment horizontal="left" wrapText="1"/>
    </xf>
    <xf numFmtId="0" fontId="4" fillId="5" borderId="46" xfId="114" applyFont="1" applyFill="1" applyBorder="1" applyAlignment="1">
      <alignment horizontal="center" vertical="center" wrapText="1"/>
    </xf>
    <xf numFmtId="0" fontId="4" fillId="5" borderId="39" xfId="114" applyFont="1" applyFill="1" applyBorder="1" applyAlignment="1">
      <alignment horizontal="center" vertical="center" wrapText="1"/>
    </xf>
    <xf numFmtId="0" fontId="4" fillId="5" borderId="23" xfId="114" applyFont="1" applyFill="1" applyBorder="1" applyAlignment="1">
      <alignment horizontal="center" vertical="center" wrapText="1"/>
    </xf>
    <xf numFmtId="0" fontId="4" fillId="5" borderId="45" xfId="114" applyFont="1" applyFill="1" applyBorder="1" applyAlignment="1">
      <alignment horizontal="center" vertical="center" wrapText="1"/>
    </xf>
    <xf numFmtId="0" fontId="4" fillId="5" borderId="38" xfId="114" applyFont="1" applyFill="1" applyBorder="1" applyAlignment="1">
      <alignment horizontal="center" vertical="center" wrapText="1"/>
    </xf>
    <xf numFmtId="0" fontId="4" fillId="5" borderId="24" xfId="114" applyFont="1" applyFill="1" applyBorder="1" applyAlignment="1">
      <alignment horizontal="center" vertical="center" wrapText="1"/>
    </xf>
    <xf numFmtId="0" fontId="33" fillId="5" borderId="5" xfId="114" applyFont="1" applyFill="1" applyBorder="1" applyAlignment="1">
      <alignment vertical="center"/>
    </xf>
    <xf numFmtId="0" fontId="33" fillId="5" borderId="11" xfId="114" applyFont="1" applyFill="1" applyBorder="1" applyAlignment="1">
      <alignment vertical="center"/>
    </xf>
    <xf numFmtId="0" fontId="33" fillId="5" borderId="25" xfId="114" applyFont="1" applyFill="1" applyBorder="1" applyAlignment="1">
      <alignment vertical="center"/>
    </xf>
    <xf numFmtId="164" fontId="34" fillId="9" borderId="33" xfId="119" applyNumberFormat="1" applyFont="1" applyFill="1" applyBorder="1" applyAlignment="1" applyProtection="1">
      <alignment horizontal="center" vertical="center"/>
      <protection locked="0"/>
    </xf>
    <xf numFmtId="164" fontId="34" fillId="9" borderId="6" xfId="119" applyNumberFormat="1" applyFont="1" applyFill="1" applyBorder="1" applyAlignment="1" applyProtection="1">
      <alignment horizontal="center" vertical="center"/>
      <protection locked="0"/>
    </xf>
    <xf numFmtId="0" fontId="33" fillId="5" borderId="16" xfId="114" applyFont="1" applyFill="1" applyBorder="1" applyAlignment="1">
      <alignment vertical="center"/>
    </xf>
    <xf numFmtId="0" fontId="33" fillId="5" borderId="35" xfId="114" applyFont="1" applyFill="1" applyBorder="1" applyAlignment="1">
      <alignment vertical="center"/>
    </xf>
    <xf numFmtId="0" fontId="34" fillId="9" borderId="83" xfId="119" applyNumberFormat="1" applyFont="1" applyFill="1" applyBorder="1" applyAlignment="1" applyProtection="1">
      <alignment horizontal="center" vertical="center"/>
      <protection locked="0"/>
    </xf>
    <xf numFmtId="0" fontId="34" fillId="9" borderId="17" xfId="119" applyNumberFormat="1" applyFont="1" applyFill="1" applyBorder="1" applyAlignment="1" applyProtection="1">
      <alignment horizontal="center" vertical="center"/>
      <protection locked="0"/>
    </xf>
    <xf numFmtId="0" fontId="7" fillId="0" borderId="0" xfId="114" applyFont="1" applyAlignment="1">
      <alignment horizontal="left"/>
    </xf>
    <xf numFmtId="0" fontId="7" fillId="9" borderId="56" xfId="114" applyFont="1" applyFill="1" applyBorder="1" applyAlignment="1" applyProtection="1">
      <alignment horizontal="left" vertical="top" wrapText="1"/>
      <protection locked="0"/>
    </xf>
    <xf numFmtId="0" fontId="7" fillId="9" borderId="26" xfId="114" applyFont="1" applyFill="1" applyBorder="1" applyAlignment="1" applyProtection="1">
      <alignment horizontal="left" vertical="top" wrapText="1"/>
      <protection locked="0"/>
    </xf>
    <xf numFmtId="0" fontId="7" fillId="9" borderId="31" xfId="114" applyFont="1" applyFill="1" applyBorder="1" applyAlignment="1" applyProtection="1">
      <alignment horizontal="left" vertical="top" wrapText="1"/>
      <protection locked="0"/>
    </xf>
    <xf numFmtId="0" fontId="7" fillId="9" borderId="54" xfId="114" applyFont="1" applyFill="1" applyBorder="1" applyAlignment="1" applyProtection="1">
      <alignment horizontal="left" vertical="top" wrapText="1"/>
      <protection locked="0"/>
    </xf>
    <xf numFmtId="0" fontId="7" fillId="9" borderId="0" xfId="114" applyFont="1" applyFill="1" applyAlignment="1" applyProtection="1">
      <alignment horizontal="left" vertical="top" wrapText="1"/>
      <protection locked="0"/>
    </xf>
    <xf numFmtId="0" fontId="7" fillId="9" borderId="58" xfId="114" applyFont="1" applyFill="1" applyBorder="1" applyAlignment="1" applyProtection="1">
      <alignment horizontal="left" vertical="top" wrapText="1"/>
      <protection locked="0"/>
    </xf>
    <xf numFmtId="0" fontId="7" fillId="9" borderId="57" xfId="114" applyFont="1" applyFill="1" applyBorder="1" applyAlignment="1" applyProtection="1">
      <alignment horizontal="left" vertical="top" wrapText="1"/>
      <protection locked="0"/>
    </xf>
    <xf numFmtId="0" fontId="7" fillId="9" borderId="44" xfId="114" applyFont="1" applyFill="1" applyBorder="1" applyAlignment="1" applyProtection="1">
      <alignment horizontal="left" vertical="top" wrapText="1"/>
      <protection locked="0"/>
    </xf>
    <xf numFmtId="0" fontId="7" fillId="9" borderId="43" xfId="114" applyFont="1" applyFill="1" applyBorder="1" applyAlignment="1" applyProtection="1">
      <alignment horizontal="left" vertical="top" wrapText="1"/>
      <protection locked="0"/>
    </xf>
    <xf numFmtId="0" fontId="4" fillId="5" borderId="12" xfId="114" applyFont="1" applyFill="1" applyBorder="1" applyAlignment="1">
      <alignment horizontal="center" vertical="center" wrapText="1"/>
    </xf>
    <xf numFmtId="0" fontId="4" fillId="5" borderId="4" xfId="114" applyFont="1" applyFill="1" applyBorder="1" applyAlignment="1">
      <alignment horizontal="center" vertical="center" wrapText="1"/>
    </xf>
    <xf numFmtId="0" fontId="7" fillId="2" borderId="51" xfId="114" applyFont="1" applyFill="1" applyBorder="1" applyAlignment="1">
      <alignment horizontal="right" wrapText="1"/>
    </xf>
    <xf numFmtId="0" fontId="7" fillId="2" borderId="24" xfId="114" applyFont="1" applyFill="1" applyBorder="1" applyAlignment="1">
      <alignment horizontal="right" wrapText="1"/>
    </xf>
    <xf numFmtId="0" fontId="7" fillId="2" borderId="24" xfId="114" applyFont="1" applyFill="1" applyBorder="1" applyAlignment="1">
      <alignment horizontal="right"/>
    </xf>
    <xf numFmtId="0" fontId="4" fillId="5" borderId="49" xfId="114" applyFont="1" applyFill="1" applyBorder="1" applyAlignment="1">
      <alignment horizontal="center" vertical="center" wrapText="1"/>
    </xf>
    <xf numFmtId="0" fontId="4" fillId="5" borderId="13" xfId="114" applyFont="1" applyFill="1" applyBorder="1" applyAlignment="1">
      <alignment horizontal="center" vertical="center" wrapText="1"/>
    </xf>
    <xf numFmtId="9" fontId="7" fillId="8" borderId="24" xfId="117" applyFont="1" applyFill="1" applyBorder="1" applyAlignment="1">
      <alignment horizontal="center"/>
    </xf>
    <xf numFmtId="9" fontId="7" fillId="8" borderId="23" xfId="117" applyFont="1" applyFill="1" applyBorder="1" applyAlignment="1">
      <alignment horizontal="center"/>
    </xf>
    <xf numFmtId="0" fontId="7" fillId="0" borderId="27" xfId="114" applyFont="1" applyBorder="1" applyAlignment="1">
      <alignment horizontal="left" wrapText="1"/>
    </xf>
    <xf numFmtId="0" fontId="7" fillId="0" borderId="36" xfId="114" applyFont="1" applyBorder="1" applyAlignment="1">
      <alignment horizontal="left" wrapText="1"/>
    </xf>
    <xf numFmtId="0" fontId="7" fillId="0" borderId="28" xfId="114" applyFont="1" applyBorder="1" applyAlignment="1">
      <alignment horizontal="left" wrapText="1"/>
    </xf>
    <xf numFmtId="0" fontId="7" fillId="0" borderId="14" xfId="114" applyFont="1" applyBorder="1" applyAlignment="1">
      <alignment horizontal="left" wrapText="1"/>
    </xf>
    <xf numFmtId="0" fontId="7" fillId="0" borderId="18" xfId="114" applyFont="1" applyBorder="1" applyAlignment="1">
      <alignment horizontal="left" wrapText="1"/>
    </xf>
    <xf numFmtId="0" fontId="7" fillId="0" borderId="19" xfId="114" applyFont="1" applyBorder="1" applyAlignment="1">
      <alignment horizontal="left" wrapText="1"/>
    </xf>
    <xf numFmtId="0" fontId="7" fillId="0" borderId="49" xfId="114" applyFont="1" applyBorder="1" applyAlignment="1">
      <alignment horizontal="left" wrapText="1"/>
    </xf>
    <xf numFmtId="0" fontId="7" fillId="0" borderId="40" xfId="114" applyFont="1" applyBorder="1" applyAlignment="1">
      <alignment horizontal="left" wrapText="1"/>
    </xf>
    <xf numFmtId="0" fontId="4" fillId="5" borderId="38" xfId="114" applyFont="1" applyFill="1" applyBorder="1" applyAlignment="1">
      <alignment horizontal="center" vertical="top" wrapText="1"/>
    </xf>
    <xf numFmtId="0" fontId="4" fillId="5" borderId="24" xfId="114" applyFont="1" applyFill="1" applyBorder="1" applyAlignment="1">
      <alignment horizontal="center" vertical="top" wrapText="1"/>
    </xf>
    <xf numFmtId="0" fontId="7" fillId="0" borderId="29" xfId="114" applyFont="1" applyBorder="1" applyAlignment="1">
      <alignment horizontal="left" wrapText="1"/>
    </xf>
    <xf numFmtId="0" fontId="7" fillId="0" borderId="26" xfId="114" applyFont="1" applyBorder="1" applyAlignment="1">
      <alignment horizontal="left" wrapText="1"/>
    </xf>
    <xf numFmtId="0" fontId="7" fillId="0" borderId="31" xfId="114" applyFont="1" applyBorder="1" applyAlignment="1">
      <alignment horizontal="left" wrapText="1"/>
    </xf>
  </cellXfs>
  <cellStyles count="125">
    <cellStyle name="Comma" xfId="123" builtinId="3"/>
    <cellStyle name="Comma 2" xfId="65" xr:uid="{00000000-0005-0000-0000-000000000000}"/>
    <cellStyle name="Comma 4 2 2" xfId="115" xr:uid="{90B53A6F-0A06-F74A-ACF8-BE580DE2478C}"/>
    <cellStyle name="Comma 5" xfId="122" xr:uid="{1FF493CB-A9E7-D648-A8C2-D2BAEDE04D89}"/>
    <cellStyle name="Currency" xfId="116" builtinId="4"/>
    <cellStyle name="Currency 2" xfId="119" xr:uid="{316EB3B6-9BE6-B841-B1CF-00C7C34A6AA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Normal" xfId="0" builtinId="0"/>
    <cellStyle name="Normal 2" xfId="114" xr:uid="{44466CC3-824E-2E42-8EE6-CF69FBEED035}"/>
    <cellStyle name="Normal 3 2 2" xfId="120" xr:uid="{194BDBCE-BA1B-C046-9F7F-EB2F344A9385}"/>
    <cellStyle name="Normal 4" xfId="118" xr:uid="{7F057FDD-08E9-344C-A80D-91787657AE6F}"/>
    <cellStyle name="Normal 4 2 2" xfId="121" xr:uid="{1AAD1CBE-1EA5-6B4A-87D9-4F59E898606B}"/>
    <cellStyle name="Percent" xfId="124" builtinId="5"/>
    <cellStyle name="Percent 2" xfId="117" xr:uid="{06A1D79A-64DA-DE40-8121-CD8064733871}"/>
  </cellStyles>
  <dxfs count="174">
    <dxf>
      <font>
        <color rgb="FFFF0000"/>
      </font>
      <fill>
        <patternFill>
          <bgColor theme="0"/>
        </patternFill>
      </fill>
      <border>
        <left/>
        <right/>
        <bottom/>
        <vertical/>
        <horizontal/>
      </border>
    </dxf>
    <dxf>
      <border>
        <bottom style="thin">
          <color auto="1"/>
        </bottom>
        <vertical/>
        <horizontal/>
      </border>
    </dxf>
    <dxf>
      <font>
        <color auto="1"/>
      </font>
      <fill>
        <patternFill patternType="solid">
          <bgColor theme="0"/>
        </patternFill>
      </fill>
      <border>
        <left/>
        <right/>
        <top/>
        <bottom/>
      </border>
    </dxf>
    <dxf>
      <font>
        <color auto="1"/>
      </font>
      <fill>
        <patternFill patternType="solid">
          <bgColor auto="1"/>
        </patternFill>
      </fill>
      <border>
        <left/>
        <right/>
        <bottom/>
      </border>
    </dxf>
    <dxf>
      <font>
        <color theme="1"/>
      </font>
      <fill>
        <patternFill>
          <bgColor theme="1"/>
        </patternFill>
      </fill>
    </dxf>
    <dxf>
      <font>
        <color theme="0"/>
      </font>
      <fill>
        <patternFill>
          <bgColor theme="0"/>
        </patternFill>
      </fill>
      <border>
        <left/>
        <right/>
        <bottom/>
        <vertical/>
        <horizontal/>
      </border>
    </dxf>
    <dxf>
      <font>
        <b/>
        <i val="0"/>
      </font>
      <fill>
        <patternFill>
          <bgColor rgb="FFFFFF99"/>
        </patternFill>
      </fill>
      <border>
        <left/>
        <right/>
        <top/>
        <bottom/>
      </border>
    </dxf>
    <dxf>
      <font>
        <color theme="0"/>
      </font>
      <fill>
        <patternFill>
          <bgColor theme="0"/>
        </patternFill>
      </fill>
      <border>
        <left/>
        <right/>
        <top/>
        <bottom/>
        <vertical/>
        <horizontal/>
      </border>
    </dxf>
    <dxf>
      <font>
        <color rgb="FF9C0006"/>
      </font>
      <fill>
        <patternFill>
          <bgColor rgb="FFFFC7CE"/>
        </patternFill>
      </fill>
    </dxf>
    <dxf>
      <font>
        <color theme="0"/>
      </font>
      <fill>
        <patternFill>
          <bgColor theme="0"/>
        </patternFill>
      </fill>
      <border>
        <left/>
        <right/>
        <top/>
        <bottom/>
      </border>
    </dxf>
    <dxf>
      <font>
        <color rgb="FFFF0000"/>
      </font>
      <fill>
        <patternFill>
          <bgColor theme="0"/>
        </patternFill>
      </fill>
    </dxf>
    <dxf>
      <border>
        <right style="thin">
          <color auto="1"/>
        </right>
        <vertical/>
        <horizontal/>
      </border>
    </dxf>
    <dxf>
      <font>
        <color theme="0"/>
      </font>
      <fill>
        <patternFill>
          <bgColor theme="0"/>
        </patternFill>
      </fill>
      <border>
        <left/>
        <right/>
        <top/>
      </border>
    </dxf>
    <dxf>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auto="1"/>
      </font>
      <fill>
        <patternFill>
          <bgColor theme="9" tint="0.59996337778862885"/>
        </patternFill>
      </fill>
      <border>
        <left style="thin">
          <color auto="1"/>
        </left>
      </border>
    </dxf>
    <dxf>
      <font>
        <color auto="1"/>
      </font>
      <fill>
        <patternFill>
          <bgColor theme="5" tint="0.79998168889431442"/>
        </patternFill>
      </fill>
      <border>
        <left/>
        <top/>
      </border>
    </dxf>
    <dxf>
      <font>
        <b val="0"/>
        <i val="0"/>
        <color rgb="FFFF0000"/>
      </font>
      <fill>
        <patternFill>
          <bgColor rgb="FFFCE4D6"/>
        </patternFill>
      </fill>
      <border>
        <left/>
        <top/>
        <bottom/>
      </border>
    </dxf>
    <dxf>
      <font>
        <color rgb="FFFF0000"/>
      </font>
      <fill>
        <patternFill>
          <bgColor rgb="FFFCE4D6"/>
        </patternFill>
      </fill>
      <border>
        <left/>
        <top/>
        <bottom/>
        <vertical/>
        <horizontal/>
      </border>
    </dxf>
    <dxf>
      <font>
        <color auto="1"/>
      </font>
      <fill>
        <patternFill>
          <bgColor theme="5" tint="0.79998168889431442"/>
        </patternFill>
      </fill>
      <border>
        <left/>
        <top/>
        <bottom/>
      </border>
    </dxf>
    <dxf>
      <font>
        <color rgb="FF9C0006"/>
      </font>
      <fill>
        <patternFill>
          <bgColor rgb="FFFFC7CE"/>
        </patternFill>
      </fill>
    </dxf>
    <dxf>
      <font>
        <color rgb="FF9C0006"/>
      </font>
      <fill>
        <patternFill>
          <bgColor rgb="FFFFC7CE"/>
        </patternFill>
      </fill>
    </dxf>
    <dxf>
      <font>
        <b/>
        <i val="0"/>
        <color rgb="FFFF0000"/>
      </font>
      <fill>
        <patternFill>
          <bgColor rgb="FFFCE4D6"/>
        </patternFill>
      </fill>
      <border>
        <left/>
      </border>
    </dxf>
    <dxf>
      <font>
        <color rgb="FFFF0000"/>
      </font>
      <fill>
        <patternFill>
          <bgColor theme="5" tint="0.79998168889431442"/>
        </patternFill>
      </fill>
      <border>
        <left/>
        <top/>
        <bottom/>
      </border>
    </dxf>
    <dxf>
      <font>
        <color auto="1"/>
      </font>
      <fill>
        <patternFill>
          <bgColor theme="5" tint="0.79998168889431442"/>
        </patternFill>
      </fill>
      <border>
        <left/>
        <bottom/>
      </border>
    </dxf>
    <dxf>
      <font>
        <color rgb="FF9C0006"/>
      </font>
      <fill>
        <patternFill>
          <bgColor rgb="FFFFC7CE"/>
        </patternFill>
      </fill>
    </dxf>
    <dxf>
      <font>
        <color theme="0"/>
      </font>
    </dxf>
    <dxf>
      <font>
        <color rgb="FFFCE4D6"/>
      </font>
      <fill>
        <patternFill>
          <bgColor rgb="FFFCE4D6"/>
        </patternFill>
      </fill>
      <border>
        <left/>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dxf>
    <dxf>
      <font>
        <strike val="0"/>
      </font>
    </dxf>
    <dxf>
      <font>
        <strike val="0"/>
      </font>
    </dxf>
    <dxf>
      <font>
        <strike val="0"/>
      </font>
    </dxf>
    <dxf>
      <font>
        <strike val="0"/>
      </font>
    </dxf>
    <dxf>
      <font>
        <strike val="0"/>
      </font>
    </dxf>
    <dxf>
      <font>
        <strike val="0"/>
      </font>
    </dxf>
    <dxf>
      <font>
        <color rgb="FF9C5700"/>
      </font>
      <fill>
        <patternFill>
          <bgColor rgb="FFFFEB9C"/>
        </patternFill>
      </fill>
    </dxf>
    <dxf>
      <font>
        <b val="0"/>
        <i val="0"/>
        <color theme="1"/>
      </font>
      <fill>
        <patternFill>
          <bgColor theme="0"/>
        </patternFill>
      </fill>
      <border>
        <vertical/>
        <horizontal/>
      </border>
    </dxf>
    <dxf>
      <font>
        <strike val="0"/>
      </font>
    </dxf>
    <dxf>
      <font>
        <strike val="0"/>
      </font>
    </dxf>
    <dxf>
      <font>
        <b/>
        <i val="0"/>
      </font>
    </dxf>
    <dxf>
      <font>
        <strike val="0"/>
      </font>
    </dxf>
    <dxf>
      <font>
        <strike val="0"/>
      </font>
    </dxf>
    <dxf>
      <font>
        <strike val="0"/>
      </font>
    </dxf>
    <dxf>
      <font>
        <strike val="0"/>
      </font>
    </dxf>
    <dxf>
      <font>
        <strike val="0"/>
      </font>
    </dxf>
    <dxf>
      <font>
        <strike val="0"/>
      </font>
    </dxf>
    <dxf>
      <font>
        <color rgb="FFFF0000"/>
      </font>
      <fill>
        <patternFill>
          <bgColor theme="0"/>
        </patternFill>
      </fill>
    </dxf>
    <dxf>
      <font>
        <color rgb="FFFF0000"/>
      </font>
      <fill>
        <patternFill>
          <bgColor theme="0"/>
        </patternFill>
      </fill>
      <border>
        <vertical/>
        <horizontal/>
      </border>
    </dxf>
    <dxf>
      <font>
        <color rgb="FFFF0000"/>
      </font>
      <fill>
        <patternFill>
          <bgColor theme="0"/>
        </patternFill>
      </fill>
    </dxf>
    <dxf>
      <font>
        <color theme="0"/>
      </font>
    </dxf>
    <dxf>
      <font>
        <color rgb="FFFF0000"/>
      </font>
      <fill>
        <patternFill>
          <bgColor theme="0"/>
        </patternFill>
      </fill>
    </dxf>
    <dxf>
      <font>
        <color rgb="FFFF0000"/>
      </font>
      <fill>
        <patternFill>
          <bgColor theme="0"/>
        </patternFill>
      </fill>
    </dxf>
    <dxf>
      <font>
        <color rgb="FFFF0000"/>
      </font>
    </dxf>
    <dxf>
      <font>
        <color rgb="FFFF0000"/>
      </font>
      <fill>
        <patternFill>
          <bgColor theme="0"/>
        </patternFill>
      </fill>
    </dxf>
    <dxf>
      <font>
        <color rgb="FFFF0000"/>
      </font>
    </dxf>
    <dxf>
      <font>
        <color rgb="FFFF0000"/>
      </font>
      <fill>
        <patternFill>
          <bgColor theme="0"/>
        </patternFill>
      </fill>
    </dxf>
    <dxf>
      <font>
        <color rgb="FFFF0000"/>
      </font>
      <fill>
        <patternFill>
          <bgColor theme="0"/>
        </patternFill>
      </fill>
    </dxf>
    <dxf>
      <font>
        <color rgb="FFFF0000"/>
      </font>
      <fill>
        <patternFill>
          <bgColor theme="0"/>
        </patternFill>
      </fill>
      <border>
        <left/>
        <top/>
        <vertical/>
        <horizontal/>
      </border>
    </dxf>
    <dxf>
      <font>
        <color rgb="FFFF0000"/>
      </font>
    </dxf>
    <dxf>
      <font>
        <color rgb="FFFF0000"/>
      </font>
      <fill>
        <patternFill>
          <bgColor theme="0"/>
        </patternFill>
      </fill>
      <border>
        <left/>
        <bottom/>
        <vertical/>
        <horizontal/>
      </border>
    </dxf>
    <dxf>
      <font>
        <color rgb="FFFF0000"/>
      </font>
      <fill>
        <patternFill>
          <bgColor theme="0"/>
        </patternFill>
      </fill>
    </dxf>
    <dxf>
      <font>
        <color rgb="FFFF0000"/>
      </font>
      <fill>
        <patternFill>
          <bgColor theme="0"/>
        </patternFill>
      </fill>
    </dxf>
    <dxf>
      <font>
        <color rgb="FFFF0000"/>
      </font>
      <fill>
        <patternFill>
          <bgColor theme="0"/>
        </patternFill>
      </fill>
    </dxf>
    <dxf>
      <font>
        <color rgb="FFFF0000"/>
      </font>
      <fill>
        <patternFill>
          <bgColor theme="0"/>
        </patternFill>
      </fill>
    </dxf>
    <dxf>
      <font>
        <color rgb="FFFF0000"/>
      </font>
      <fill>
        <patternFill>
          <bgColor theme="0"/>
        </patternFill>
      </fill>
    </dxf>
    <dxf>
      <font>
        <color rgb="FFFF0000"/>
      </font>
    </dxf>
    <dxf>
      <font>
        <color rgb="FFFF0000"/>
      </font>
      <fill>
        <patternFill>
          <bgColor theme="0"/>
        </patternFill>
      </fill>
      <border>
        <left style="thin">
          <color auto="1"/>
        </left>
        <right style="thin">
          <color auto="1"/>
        </right>
        <top style="thin">
          <color auto="1"/>
        </top>
        <bottom style="thin">
          <color auto="1"/>
        </bottom>
        <vertical/>
        <horizontal/>
      </border>
    </dxf>
    <dxf>
      <font>
        <color rgb="FFFF0000"/>
      </font>
      <fill>
        <patternFill>
          <bgColor theme="0"/>
        </patternFill>
      </fill>
      <border>
        <vertical/>
        <horizontal/>
      </border>
    </dxf>
    <dxf>
      <font>
        <color rgb="FFFF0000"/>
      </font>
      <fill>
        <patternFill>
          <bgColor theme="0"/>
        </patternFill>
      </fill>
    </dxf>
    <dxf>
      <font>
        <color theme="0"/>
      </font>
      <fill>
        <patternFill>
          <bgColor theme="0"/>
        </patternFill>
      </fill>
      <border>
        <left/>
        <vertical/>
        <horizontal/>
      </border>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theme="0"/>
      </font>
    </dxf>
    <dxf>
      <font>
        <color theme="0"/>
      </font>
    </dxf>
    <dxf>
      <font>
        <color theme="0"/>
      </font>
    </dxf>
    <dxf>
      <font>
        <color rgb="FFFF0000"/>
      </font>
      <fill>
        <patternFill>
          <bgColor theme="0"/>
        </patternFill>
      </fill>
    </dxf>
    <dxf>
      <font>
        <color rgb="FFFF0000"/>
      </font>
      <fill>
        <patternFill>
          <bgColor theme="0"/>
        </patternFill>
      </fill>
    </dxf>
    <dxf>
      <font>
        <color rgb="FFFF0000"/>
      </font>
      <fill>
        <patternFill>
          <bgColor theme="0"/>
        </patternFill>
      </fill>
    </dxf>
    <dxf>
      <font>
        <color rgb="FFFF0000"/>
      </font>
      <fill>
        <patternFill>
          <bgColor theme="0"/>
        </patternFill>
      </fill>
    </dxf>
    <dxf>
      <font>
        <color auto="1"/>
      </font>
      <fill>
        <patternFill>
          <bgColor theme="0"/>
        </patternFill>
      </fill>
      <border>
        <vertical/>
        <horizontal/>
      </border>
    </dxf>
    <dxf>
      <font>
        <color auto="1"/>
      </font>
      <fill>
        <patternFill>
          <fgColor theme="0"/>
          <bgColor theme="0"/>
        </patternFill>
      </fill>
    </dxf>
    <dxf>
      <font>
        <color auto="1"/>
      </font>
      <fill>
        <patternFill>
          <bgColor theme="0"/>
        </patternFill>
      </fill>
    </dxf>
    <dxf>
      <font>
        <color rgb="FFFF0000"/>
      </font>
      <fill>
        <patternFill>
          <bgColor theme="0"/>
        </patternFill>
      </fill>
    </dxf>
    <dxf>
      <font>
        <color auto="1"/>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auto="1"/>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dxf>
    <dxf>
      <font>
        <color theme="0"/>
      </font>
    </dxf>
    <dxf>
      <font>
        <color theme="0"/>
      </font>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dxf>
    <dxf>
      <font>
        <color rgb="FFFF0000"/>
      </font>
    </dxf>
    <dxf>
      <font>
        <color rgb="FFFF0000"/>
      </font>
      <fill>
        <patternFill>
          <bgColor theme="0"/>
        </patternFill>
      </fill>
    </dxf>
    <dxf>
      <font>
        <color theme="0"/>
      </font>
      <fill>
        <patternFill>
          <bgColor theme="0"/>
        </patternFill>
      </fill>
      <border>
        <left/>
        <right/>
        <bottom/>
        <vertical/>
        <horizontal/>
      </border>
    </dxf>
    <dxf>
      <font>
        <color theme="0"/>
      </font>
      <fill>
        <patternFill>
          <bgColor theme="0"/>
        </patternFill>
      </fill>
    </dxf>
    <dxf>
      <font>
        <color rgb="FFFF000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right/>
        <vertical/>
        <horizontal/>
      </border>
    </dxf>
    <dxf>
      <font>
        <color theme="0"/>
      </font>
      <fill>
        <patternFill>
          <bgColor theme="0"/>
        </patternFill>
      </fill>
      <border>
        <right/>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border>
        <right/>
        <vertical/>
        <horizontal/>
      </border>
    </dxf>
    <dxf>
      <border>
        <top/>
        <vertical/>
        <horizontal/>
      </border>
    </dxf>
    <dxf>
      <border>
        <top/>
        <bottom/>
        <vertical/>
        <horizontal/>
      </border>
    </dxf>
    <dxf>
      <border>
        <top/>
        <bottom/>
        <vertical/>
        <horizontal/>
      </border>
    </dxf>
    <dxf>
      <border>
        <top/>
        <vertical/>
        <horizontal/>
      </border>
    </dxf>
    <dxf>
      <font>
        <color theme="0"/>
      </font>
      <fill>
        <patternFill>
          <bgColor theme="0"/>
        </patternFill>
      </fill>
    </dxf>
    <dxf>
      <font>
        <color theme="0"/>
      </font>
      <fill>
        <patternFill>
          <bgColor theme="0"/>
        </patternFill>
      </fill>
      <border>
        <vertical/>
        <horizontal/>
      </border>
    </dxf>
    <dxf>
      <font>
        <color theme="0"/>
      </font>
      <fill>
        <patternFill>
          <fgColor theme="0"/>
          <bgColor theme="0"/>
        </patternFill>
      </fill>
    </dxf>
    <dxf>
      <font>
        <color auto="1"/>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rgb="FFFF0000"/>
      </font>
      <fill>
        <patternFill>
          <bgColor theme="0"/>
        </patternFill>
      </fill>
      <border>
        <vertical/>
        <horizontal/>
      </border>
    </dxf>
    <dxf>
      <font>
        <color theme="0"/>
      </font>
      <fill>
        <patternFill>
          <bgColor theme="0"/>
        </patternFill>
      </fill>
    </dxf>
    <dxf>
      <font>
        <color rgb="FF9C0006"/>
      </font>
    </dxf>
    <dxf>
      <font>
        <color rgb="FF9C5700"/>
      </font>
      <fill>
        <patternFill>
          <bgColor rgb="FFFFEB9C"/>
        </patternFill>
      </fill>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s>
  <tableStyles count="0" defaultTableStyle="TableStyleMedium2" defaultPivotStyle="PivotStyleLight16"/>
  <colors>
    <mruColors>
      <color rgb="FFFCE4D6"/>
      <color rgb="FFFFFF99"/>
      <color rgb="FFFFC7CE"/>
      <color rgb="FF9C0006"/>
      <color rgb="FFEFBAC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581025</xdr:colOff>
      <xdr:row>13</xdr:row>
      <xdr:rowOff>28575</xdr:rowOff>
    </xdr:from>
    <xdr:to>
      <xdr:col>18</xdr:col>
      <xdr:colOff>457200</xdr:colOff>
      <xdr:row>13</xdr:row>
      <xdr:rowOff>509367</xdr:rowOff>
    </xdr:to>
    <xdr:pic>
      <xdr:nvPicPr>
        <xdr:cNvPr id="2" name="Picture 1">
          <a:extLst>
            <a:ext uri="{FF2B5EF4-FFF2-40B4-BE49-F238E27FC236}">
              <a16:creationId xmlns:a16="http://schemas.microsoft.com/office/drawing/2014/main" id="{73AA8533-2620-48AB-A699-3874A1F4B394}"/>
            </a:ext>
          </a:extLst>
        </xdr:cNvPr>
        <xdr:cNvPicPr>
          <a:picLocks noChangeAspect="1"/>
        </xdr:cNvPicPr>
      </xdr:nvPicPr>
      <xdr:blipFill>
        <a:blip xmlns:r="http://schemas.openxmlformats.org/officeDocument/2006/relationships" r:embed="rId1"/>
        <a:stretch>
          <a:fillRect/>
        </a:stretch>
      </xdr:blipFill>
      <xdr:spPr>
        <a:xfrm>
          <a:off x="6191250" y="2638425"/>
          <a:ext cx="6648450" cy="4807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n Seloske" id="{4C56F39F-21B0-42D4-B3A7-5AA65911BEB8}" userId="S::bseloske@ics.idaho.gov::323a4393-0192-4f0a-bd81-77746bdb0b7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01ADF0-1BD8-4712-9A71-5A31347BED7E}" name="Table1" displayName="Table1" ref="A18:AR80" totalsRowShown="0" headerRowDxfId="173">
  <autoFilter ref="A18:AR80" xr:uid="{9C01ADF0-1BD8-4712-9A71-5A31347BED7E}"/>
  <tableColumns count="44">
    <tableColumn id="1" xr3:uid="{6C4C1C1B-0325-4FE4-927D-C79F3C77F7ED}" name="Ada"/>
    <tableColumn id="2" xr3:uid="{B7E6DD6B-BB23-4E68-876B-ECC0925500B4}" name="Adams"/>
    <tableColumn id="3" xr3:uid="{F2B60686-9D95-4ED1-90BF-F93D7AF84A66}" name="Bannock"/>
    <tableColumn id="4" xr3:uid="{150088B3-5EC2-4DA9-91FF-FE33AE013BAB}" name="Bear Lake"/>
    <tableColumn id="5" xr3:uid="{074D15FE-50C0-4362-8CA9-31AB9DD896F8}" name="Benewah"/>
    <tableColumn id="6" xr3:uid="{C58DEEEC-B15E-4A5A-A889-C7DCE17DCA25}" name="Bingham"/>
    <tableColumn id="7" xr3:uid="{AD45C6C7-3E01-4C8C-AFEF-BBAFA8112D6A}" name="Blaine"/>
    <tableColumn id="8" xr3:uid="{01255999-D76B-445C-B9FE-17227728EB66}" name="Boise"/>
    <tableColumn id="9" xr3:uid="{986E3480-8984-4306-8486-F7D6477C6E33}" name="Bonner"/>
    <tableColumn id="10" xr3:uid="{59BCF890-52EB-475C-9346-DFB9A598E631}" name="Bonneville"/>
    <tableColumn id="11" xr3:uid="{A5666F08-F1AE-47F4-82D0-FB245E962F10}" name="Boundary"/>
    <tableColumn id="12" xr3:uid="{547619FC-3837-4F97-A05E-9678175E9CFF}" name="Butte"/>
    <tableColumn id="13" xr3:uid="{9D0F74F0-C900-48DD-8247-BDE0DF65E06C}" name="Camas"/>
    <tableColumn id="14" xr3:uid="{BF320846-8048-4775-9CBE-A0C86D6B3332}" name="Canyon" dataDxfId="172"/>
    <tableColumn id="15" xr3:uid="{63DD5F52-00F9-4A1C-BC65-C6B8482B34B8}" name="Caribou"/>
    <tableColumn id="16" xr3:uid="{724B480E-EBE7-4FE7-B27A-839D3553A721}" name="Cassia"/>
    <tableColumn id="17" xr3:uid="{9DDB779C-0048-4D25-AC91-5875128BF6E8}" name="Clark"/>
    <tableColumn id="18" xr3:uid="{8D498C6F-1658-4FD4-8058-E4C973BF0F76}" name="Clearwater"/>
    <tableColumn id="19" xr3:uid="{DEBAD883-508F-4BC9-8256-BC197F4C49E6}" name="Custer"/>
    <tableColumn id="20" xr3:uid="{4826DDA3-EFFD-49E9-8560-71AF90246C4D}" name="Elmore"/>
    <tableColumn id="21" xr3:uid="{A93CC679-8D71-4A7C-9656-A7907827BF9B}" name="Franklin"/>
    <tableColumn id="22" xr3:uid="{CE252405-F3B7-4D5B-BB70-6A8ABE38CD20}" name="Fremont"/>
    <tableColumn id="23" xr3:uid="{8869F50A-F2AC-43A8-91EF-78546C90AB8E}" name="Gem"/>
    <tableColumn id="24" xr3:uid="{CFB23534-B514-44F4-B045-F075B2FE3EE0}" name="Gooding"/>
    <tableColumn id="25" xr3:uid="{30F1F5C1-C3D2-4F99-8F15-6B524F44308B}" name="Idaho"/>
    <tableColumn id="26" xr3:uid="{76EC32BF-0264-47B4-B328-48A0A28B7F9A}" name="Jefferson"/>
    <tableColumn id="27" xr3:uid="{A48A4C50-23D8-42BA-A575-7989FB2FD2E6}" name="Jerome"/>
    <tableColumn id="28" xr3:uid="{A6B1DD29-AEB7-4412-B060-12781D99DB93}" name="Kootenai"/>
    <tableColumn id="29" xr3:uid="{F431EB37-FD7B-4159-8F9D-35EC2AC650DB}" name="Latah"/>
    <tableColumn id="30" xr3:uid="{AB824160-2E6F-4E38-8FEE-C3D23911E959}" name="Lemhi"/>
    <tableColumn id="31" xr3:uid="{909CE7FC-4A04-45F0-902C-5083532366B6}" name="Lewis"/>
    <tableColumn id="32" xr3:uid="{DFDA5998-1CA5-479F-ADDB-552C581883FC}" name="Lincoln"/>
    <tableColumn id="33" xr3:uid="{2493AB0F-C143-4F0A-839D-B9F34614016D}" name="Madison"/>
    <tableColumn id="34" xr3:uid="{078A1DE9-154D-4632-B382-18989D40D4B1}" name="Minidoka"/>
    <tableColumn id="35" xr3:uid="{CAF0DC15-2F80-4F09-ADF1-11F4B8A13FB9}" name="Nez Perce"/>
    <tableColumn id="36" xr3:uid="{5E70921B-0BA6-4299-8A7B-0C13EBDA8FA9}" name="Oneida"/>
    <tableColumn id="37" xr3:uid="{35433968-0D54-4DD3-84F2-5FDDC762F1C7}" name="Owyhee"/>
    <tableColumn id="38" xr3:uid="{CFAFAF13-C979-45F3-9B7B-734F15B7ABA8}" name="Payette"/>
    <tableColumn id="39" xr3:uid="{A2716F5D-701C-4D2D-9F2B-C384F52BE5E9}" name="Power"/>
    <tableColumn id="40" xr3:uid="{A274E9E8-0A92-4FCD-AB99-10DCFADF2439}" name="Shoshone"/>
    <tableColumn id="41" xr3:uid="{2FE04577-E356-4FED-B820-6F36AE31B343}" name="Teton"/>
    <tableColumn id="42" xr3:uid="{6192DC5E-2B5E-4F94-9E89-340DBCEFCBC6}" name="Twin Falls"/>
    <tableColumn id="43" xr3:uid="{4C90BA7F-9CB3-4FD9-AEED-4570DE4B1C40}" name="Valley"/>
    <tableColumn id="44" xr3:uid="{E02B647C-8B3E-4213-8C36-D8BC5B18C358}" name="Washingt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D94E93-76A0-4CAF-ACC6-4AEDA128AD02}" name="DistTypeTable" displayName="DistTypeTable" ref="A1:AR16" totalsRowShown="0">
  <autoFilter ref="A1:AR16" xr:uid="{E4D94E93-76A0-4CAF-ACC6-4AEDA128AD02}"/>
  <tableColumns count="44">
    <tableColumn id="1" xr3:uid="{19AAFB29-666F-4EE9-85FD-D16A5671DDD3}" name="Ada"/>
    <tableColumn id="2" xr3:uid="{AB29C520-13CE-4AB5-A557-42C5A66533E8}" name="Adams"/>
    <tableColumn id="3" xr3:uid="{1728BDDC-DD84-43EF-B255-ADDF23DE337B}" name="Bannock"/>
    <tableColumn id="4" xr3:uid="{4CE2DD97-A72F-48F4-9390-814F852CA920}" name="Bear Lake"/>
    <tableColumn id="5" xr3:uid="{52655495-CEEB-489D-89C0-A7604537F8FC}" name="Benewah"/>
    <tableColumn id="6" xr3:uid="{1D119CFE-313C-4662-A083-8E28FE29339A}" name="Bingham"/>
    <tableColumn id="7" xr3:uid="{588D1D9F-2F9C-4552-90C7-393248B2FD9A}" name="Blaine"/>
    <tableColumn id="8" xr3:uid="{B802F675-24C1-44E4-ADAA-C87B9990D326}" name="Boise"/>
    <tableColumn id="9" xr3:uid="{5BD78A19-2A06-4CF7-9606-7E3E8E595769}" name="Bonner"/>
    <tableColumn id="10" xr3:uid="{A8B00F40-748C-4BA5-81CC-C3852B25B7DC}" name="Bonneville"/>
    <tableColumn id="11" xr3:uid="{DFE303E2-39B1-4EB9-9214-3B9582F3E5C8}" name="Boundary"/>
    <tableColumn id="12" xr3:uid="{E16DA374-6B92-428B-85FD-29D482F81576}" name="Butte"/>
    <tableColumn id="13" xr3:uid="{DC514092-DACF-449C-A493-4A90CA5DCD34}" name="Camas"/>
    <tableColumn id="14" xr3:uid="{461E896E-A78A-49C1-88A4-212ACB3B3EED}" name="Canyon"/>
    <tableColumn id="15" xr3:uid="{AD47BACD-79B4-449B-B3CB-DF4A20BCC166}" name="Caribou"/>
    <tableColumn id="16" xr3:uid="{5E705662-94AE-41C9-87D0-A09F9ABE432D}" name="Cassia"/>
    <tableColumn id="17" xr3:uid="{CDB2DDE7-4BBC-40F7-83D5-BA99A28106F9}" name="Clark"/>
    <tableColumn id="18" xr3:uid="{8092BB0F-7DC8-4A72-99E4-5A45A420F062}" name="Clearwater"/>
    <tableColumn id="19" xr3:uid="{4BCFD1BB-1E41-44E0-AD1C-5D4D19A95D9B}" name="Custer"/>
    <tableColumn id="20" xr3:uid="{758BFA1A-A1A5-45CB-8313-E5CC03B87384}" name="Elmore"/>
    <tableColumn id="21" xr3:uid="{B7B4BF8F-3A70-4EE5-A533-FE10882FE12F}" name="Franklin"/>
    <tableColumn id="22" xr3:uid="{42791D81-0A7C-469C-9E26-1AC256EB7BB4}" name="Fremont"/>
    <tableColumn id="23" xr3:uid="{77A1BA07-81B3-4DDA-8DEF-BE28F164B97C}" name="Gem"/>
    <tableColumn id="24" xr3:uid="{36E69EFD-BDF7-4DCE-96DC-594318319F1E}" name="Gooding"/>
    <tableColumn id="25" xr3:uid="{5CAF25FA-A475-4B86-A643-26B844181E16}" name="Idaho"/>
    <tableColumn id="26" xr3:uid="{02D9B091-710D-4F3E-8F06-55EEADA734A6}" name="Jefferson"/>
    <tableColumn id="27" xr3:uid="{48D09FC6-67B4-4418-A0B2-2D3FC9FDE038}" name="Jerome"/>
    <tableColumn id="28" xr3:uid="{2DEAC69E-CA26-4973-A3A8-3353262CB5B9}" name="Kootenai"/>
    <tableColumn id="29" xr3:uid="{C65408D9-4E42-4752-AFC4-0092B8C05350}" name="Latah"/>
    <tableColumn id="30" xr3:uid="{D041B29F-18DF-48C8-B3CD-0AD77B74CD29}" name="Lemhi"/>
    <tableColumn id="31" xr3:uid="{2AC18E24-D712-44C5-B29D-8C4752264BC6}" name="Lewis"/>
    <tableColumn id="32" xr3:uid="{019C17A4-9E47-48D8-B5D1-E60E28FC5474}" name="Lincoln"/>
    <tableColumn id="33" xr3:uid="{19AB8FA1-380A-45BA-A50E-FF722FB44509}" name="Madison"/>
    <tableColumn id="34" xr3:uid="{BB9B91C5-2E9F-4C8D-895E-15CA4F612930}" name="Minidoka"/>
    <tableColumn id="35" xr3:uid="{D46EDAD7-5281-4ED6-B0C8-D033BCA84249}" name="Nez Perce"/>
    <tableColumn id="36" xr3:uid="{844CE499-B901-4F80-A62E-1BBBF5B98BB1}" name="Oneida"/>
    <tableColumn id="37" xr3:uid="{C16445BE-BAE1-4247-9133-13381DBDC186}" name="Owyhee"/>
    <tableColumn id="38" xr3:uid="{D7AE2486-51F7-4901-B557-F634F48E43D0}" name="Payette"/>
    <tableColumn id="39" xr3:uid="{AEC52B82-80D9-4F69-9EF4-976533334DB8}" name="Power"/>
    <tableColumn id="40" xr3:uid="{BE623D72-D828-4023-A394-48FA37A347A0}" name="Shoshone"/>
    <tableColumn id="41" xr3:uid="{B77E753D-27A0-4BE5-B441-FFE23E12497A}" name="Teton"/>
    <tableColumn id="42" xr3:uid="{9F6F9470-A24F-4E6F-8CBC-EAE62B2D2D18}" name="Twin Falls"/>
    <tableColumn id="43" xr3:uid="{CCB7F6BA-D99D-402E-AC72-2303DD960B2F}" name="Valley"/>
    <tableColumn id="44" xr3:uid="{6FEBE313-3D76-4867-BC03-E4C361A72875}" name="Washington"/>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 dT="2024-02-21T23:12:52.65" personId="{4C56F39F-21B0-42D4-B3A7-5AA65911BEB8}" id="{4B3CFCC2-5D43-42FC-8231-6DFCF7FEB07E}">
    <text>DistNums have been reviewed and fixed to match datasource file - 2/21/24</text>
  </threadedComment>
  <threadedComment ref="G1" dT="2022-01-03T22:30:22.81" personId="{4C56F39F-21B0-42D4-B3A7-5AA65911BEB8}" id="{887874F3-6649-4294-83E8-26D277E7E1B8}">
    <text>For the L-2 to fill data correctly, this tab must remain sorted alphabetically by DistName.</text>
  </threadedComment>
  <threadedComment ref="I1" dT="2022-04-25T18:01:02.06" personId="{4C56F39F-21B0-42D4-B3A7-5AA65911BEB8}" id="{5DCE5089-F8CF-4D3B-A705-DF6872294F2C}">
    <text>Forgone amounts updated - 1/2/2026</text>
  </threadedComment>
  <threadedComment ref="J1" dT="2025-12-16T22:32:03.23" personId="{4C56F39F-21B0-42D4-B3A7-5AA65911BEB8}" id="{7C9AFFE6-DC8B-4172-AB23-59C4024B00F0}">
    <text>Updated to 2025 OP values on 12/16/25.</text>
  </threadedComment>
  <threadedComment ref="L1" dT="2024-02-21T22:52:39.64" personId="{4C56F39F-21B0-42D4-B3A7-5AA65911BEB8}" id="{3BADC231-5B49-4916-8691-0528ED11FDF1}">
    <text>All replacements updated 1/21/24 after DistNum corrections</text>
  </threadedComment>
  <threadedComment ref="P1" dT="2024-02-21T23:21:37.50" personId="{4C56F39F-21B0-42D4-B3A7-5AA65911BEB8}" id="{E014D4E8-CB9C-4858-9321-10EC44C13153}">
    <text>Updated on 2/21/24</text>
  </threadedComment>
  <threadedComment ref="W1" dT="2024-12-31T16:22:00.22" personId="{4C56F39F-21B0-42D4-B3A7-5AA65911BEB8}" id="{D6EF1712-32C7-4921-B913-675342351775}">
    <text>Highlighted cells are reductions that were determined should NOT be treated as replacements for ongoing budget calculations.</text>
  </threadedComment>
  <threadedComment ref="W1" dT="2024-12-31T17:06:07.44" personId="{4C56F39F-21B0-42D4-B3A7-5AA65911BEB8}" id="{8E35F4B8-B411-4CB8-B38E-E6A6A46C6CF0}" parentId="{D6EF1712-32C7-4921-B913-675342351775}">
    <text xml:space="preserve">For the formulas in the L-2 worksheet to work correctly, we can’t have those that are treated as replacements and those that aren’t both have values in this column. We have to remove the values in the column if they’re not being treated as replacements. </text>
  </threadedComment>
  <threadedComment ref="W1" dT="2025-01-03T15:16:08.35" personId="{4C56F39F-21B0-42D4-B3A7-5AA65911BEB8}" id="{F6495E18-D7A3-4ADE-B554-10EA54946053}" parentId="{D6EF1712-32C7-4921-B913-675342351775}">
    <text>If the error was determined to be a budget error where the budget grew incorrectly and was corrected with a reduction in the following year, those reductions are NOT treated as replacements. 
If the error was a valuation error that resulted in too much revenue for the district (but budget was set correctly), then the reduction in the following year would be treated as replacements.</text>
  </threadedComment>
  <threadedComment ref="AA1" dT="2026-04-03T16:50:28.83" personId="{4C56F39F-21B0-42D4-B3A7-5AA65911BEB8}" id="{4CE82337-8A7C-4381-AB3B-30F49D0EB0D2}">
    <text>These columns aren’t being used in 2026 but will be necessary for 2027+ so they can be added onto the table at the top of the L-2 Worksheet (like solar).</text>
  </threadedComment>
  <threadedComment ref="AA1" dT="2026-04-03T16:51:01.39" personId="{4C56F39F-21B0-42D4-B3A7-5AA65911BEB8}" id="{9D72FEC5-A983-4B24-896A-EE9A96AC03C7}" parentId="{4CE82337-8A7C-4381-AB3B-30F49D0EB0D2}">
    <text>Will also need to update the table on the Dashboard to correctly calculate change once it’s been added to the L-2 Worksheet table.</text>
  </threadedComment>
  <threadedComment ref="AD1" dT="2025-12-17T21:17:49.99" personId="{4C56F39F-21B0-42D4-B3A7-5AA65911BEB8}" id="{F89E203A-1A07-4154-A13B-3561BA9B53FB}">
    <text>Includes road &amp; bridge for counties whose R&amp;B is countywide and might use this form.
For schools, it includes replacements (not solar) that reduced the tort levy.</text>
  </threadedComment>
  <threadedComment ref="AD17" dT="2026-06-12T16:11:47.39" personId="{4C56F39F-21B0-42D4-B3A7-5AA65911BEB8}" id="{C9254262-0590-4C65-B883-102681CCC3F7}">
    <text>Permanent override included</text>
  </threadedComment>
  <threadedComment ref="AI17" dT="2026-06-12T16:11:27.73" personId="{4C56F39F-21B0-42D4-B3A7-5AA65911BEB8}" id="{52FF3A91-BD9D-4131-88D0-FD3B324BDAF0}">
    <text>Includes permanent override</text>
  </threadedComment>
  <threadedComment ref="AD18" dT="2026-05-05T21:05:38.69" personId="{4C56F39F-21B0-42D4-B3A7-5AA65911BEB8}" id="{12EA3D8C-DB55-4EF8-9207-CE2A368953DA}">
    <text>Permanent override included</text>
  </threadedComment>
  <threadedComment ref="G40" dT="2023-03-20T21:04:32.35" personId="{4C56F39F-21B0-42D4-B3A7-5AA65911BEB8}" id="{FD1A43F5-CE21-4708-B31B-7296A1CDE0FB}">
    <text>Has a county R&amp;B that is NOT county-wide.</text>
  </threadedComment>
  <threadedComment ref="G57" dT="2023-03-20T21:04:15.20" personId="{4C56F39F-21B0-42D4-B3A7-5AA65911BEB8}" id="{CA122BF3-EB67-411E-A7F6-71D7F28D6A5E}">
    <text>Has a County R&amp;B that is NOT county-wide</text>
  </threadedComment>
  <threadedComment ref="G89" dT="2023-03-20T21:05:33.64" personId="{4C56F39F-21B0-42D4-B3A7-5AA65911BEB8}" id="{EE76200F-5F65-4D3F-BA4F-473EA90042FE}">
    <text>Has a county R&amp;B that is NOT county-wide</text>
  </threadedComment>
  <threadedComment ref="G145" dT="2023-03-20T21:06:02.78" personId="{4C56F39F-21B0-42D4-B3A7-5AA65911BEB8}" id="{68D0F1CE-55D5-4BF9-91CE-E8FCEA15194D}">
    <text>Has a county R&amp;B that is NOT county-wide</text>
  </threadedComment>
  <threadedComment ref="AD367" dT="2026-05-05T21:04:07.91" personId="{4C56F39F-21B0-42D4-B3A7-5AA65911BEB8}" id="{68265230-9ED2-4162-A63F-C6CD64C5B026}">
    <text>Permanent override included</text>
  </threadedComment>
  <threadedComment ref="AI367" dT="2026-06-12T16:10:33.15" personId="{4C56F39F-21B0-42D4-B3A7-5AA65911BEB8}" id="{475BFBD2-BA3B-4F7C-9881-4B91244423AC}">
    <text>Includes permanent override</text>
  </threadedComment>
  <threadedComment ref="G484" dT="2023-03-20T21:06:38.33" personId="{4C56F39F-21B0-42D4-B3A7-5AA65911BEB8}" id="{068FCDC1-21C3-4975-9F81-9A161E4450CB}">
    <text>Has a county R&amp;B that is NOT county-wide</text>
  </threadedComment>
  <threadedComment ref="G592" dT="2023-03-20T21:07:01.45" personId="{4C56F39F-21B0-42D4-B3A7-5AA65911BEB8}" id="{47586830-3C4B-4D63-94AE-20D458AF0243}">
    <text>Has a county R&amp;B that is NOT county-wide.</text>
  </threadedComment>
  <threadedComment ref="G795" dT="2023-03-20T21:07:34.97" personId="{4C56F39F-21B0-42D4-B3A7-5AA65911BEB8}" id="{AB9E3240-34D9-468B-86D8-CB47056F242F}">
    <text>Has a county R&amp;B that is NOT county-wide</text>
  </threadedComment>
  <threadedComment ref="G843" dT="2023-03-20T21:08:00.27" personId="{4C56F39F-21B0-42D4-B3A7-5AA65911BEB8}" id="{8F7D9713-7D87-402A-9C3B-580243BC5AAE}">
    <text>Has a county R&amp;B that is NOT county-wide</text>
  </threadedComment>
  <threadedComment ref="G853" dT="2023-03-20T21:08:24.93" personId="{4C56F39F-21B0-42D4-B3A7-5AA65911BEB8}" id="{8AB046E5-1182-4A55-B89F-9DD73470A012}">
    <text>Has a county R&amp;B that is NOT county-wide</text>
  </threadedComment>
  <threadedComment ref="AD880" dT="2026-05-05T21:00:57.76" personId="{4C56F39F-21B0-42D4-B3A7-5AA65911BEB8}" id="{D79F0838-7650-4F3E-8A6B-F817E5FCB633}">
    <text>Permanent override included</text>
  </threadedComment>
  <threadedComment ref="AI880" dT="2026-06-12T16:08:56.68" personId="{4C56F39F-21B0-42D4-B3A7-5AA65911BEB8}" id="{BCB58AB6-8F7F-4646-B9D0-15BDD0C4B3AF}">
    <text>Includes permanent override</text>
  </threadedComment>
  <threadedComment ref="G969" dT="2023-03-20T21:08:52.05" personId="{4C56F39F-21B0-42D4-B3A7-5AA65911BEB8}" id="{9C5AF2AB-4E45-4768-A970-A396EE12CCD3}">
    <text>Has a county R&amp;B that is NOT county-wide.</text>
  </threadedComment>
  <threadedComment ref="AD1045" dT="2026-05-05T21:03:06.52" personId="{4C56F39F-21B0-42D4-B3A7-5AA65911BEB8}" id="{56D41A7A-BE15-41C3-B171-63781CEB32D5}">
    <text>Permanent override included</text>
  </threadedComment>
  <threadedComment ref="AI1045" dT="2026-06-12T16:09:48.27" personId="{4C56F39F-21B0-42D4-B3A7-5AA65911BEB8}" id="{D90B2FA0-C9EE-4C00-A294-E5F6D6C04BBF}">
    <text>Includes permanent override</text>
  </threadedComment>
  <threadedComment ref="AI1046" dT="2026-06-12T16:09:48.27" personId="{4C56F39F-21B0-42D4-B3A7-5AA65911BEB8}" id="{DF859D85-440F-4B1F-8AB4-7668E87A8D20}">
    <text>Includes permanent override</text>
  </threadedComment>
  <threadedComment ref="AD1067" dT="2026-05-05T21:00:07.72" personId="{4C56F39F-21B0-42D4-B3A7-5AA65911BEB8}" id="{7766BE7E-3539-4728-9110-29707E6CFAD5}">
    <text>Permanent override included</text>
  </threadedComment>
  <threadedComment ref="AI1067" dT="2026-06-12T16:08:19.02" personId="{4C56F39F-21B0-42D4-B3A7-5AA65911BEB8}" id="{67D95A45-0818-46E0-BC60-77686A12B62D}">
    <text>Includes permanent override</text>
  </threadedComment>
  <threadedComment ref="G1087" dT="2023-03-20T21:09:13.87" personId="{4C56F39F-21B0-42D4-B3A7-5AA65911BEB8}" id="{15126004-63D7-4096-9E82-32DC46E2A7D2}">
    <text>Has a county R&amp;B that is NOT county-wide.</text>
  </threadedComment>
</ThreadedComments>
</file>

<file path=xl/threadedComments/threadedComment2.xml><?xml version="1.0" encoding="utf-8"?>
<ThreadedComments xmlns="http://schemas.microsoft.com/office/spreadsheetml/2018/threadedcomments" xmlns:x="http://schemas.openxmlformats.org/spreadsheetml/2006/main">
  <threadedComment ref="H21" dT="2022-05-13T21:45:23.54" personId="{4C56F39F-21B0-42D4-B3A7-5AA65911BEB8}" id="{A4FD59C1-2187-4B16-9053-4383C7A8A331}">
    <text>Change this value if you would like to calculate a maximum using less than 3% base budget growth.
The default is set to 3% because this form’s purpose is to calculate the legal maximum.</text>
  </threadedComment>
  <threadedComment ref="B62" dT="2022-07-13T16:57:21.25" personId="{4C56F39F-21B0-42D4-B3A7-5AA65911BEB8}" id="{6DFD9BE5-835D-41E1-AD7B-BEE19DA72B8C}">
    <text>Once all the above boxes are completed, you can look at the L-2 Worksheet tab to review what the maximum property tax budget would be without using forgone amounts. This information can be used to guide your decision in this box.</text>
  </threadedComment>
  <threadedComment ref="I78" dT="2026-02-25T22:56:51.29" personId="{4C56F39F-21B0-42D4-B3A7-5AA65911BEB8}" id="{3B70EDAB-92BF-4057-8D65-6AF74E3BB0A8}">
    <text>In 2026, the new kWh/therms tax will reduce property tax revenue for all taxing districts. 
In subsequent years, increases in kWh/therms tax will result in decreasing property tax (and vice versa).</text>
  </threadedComment>
  <threadedComment ref="H83" dT="2024-01-29T23:26:45.18" personId="{4C56F39F-21B0-42D4-B3A7-5AA65911BEB8}" id="{BD0E45B3-77FD-40A9-9EF8-2F579CAA2EDB}">
    <text>If forgone amounts have been recovered into the budget, then this figure will not equal the sum of the above percentages because forgone recovery percentages (1% &amp; 3%) are based on the budget after the initial increases have been allowed.</text>
  </threadedComment>
</ThreadedComments>
</file>

<file path=xl/threadedComments/threadedComment3.xml><?xml version="1.0" encoding="utf-8"?>
<ThreadedComments xmlns="http://schemas.microsoft.com/office/spreadsheetml/2018/threadedcomments" xmlns:x="http://schemas.openxmlformats.org/spreadsheetml/2006/main">
  <threadedComment ref="H43" dT="2021-09-09T16:36:47.40" personId="{4C56F39F-21B0-42D4-B3A7-5AA65911BEB8}" id="{690176EA-5F06-4F30-B8A6-206AB8A10730}">
    <text>This amount should be the sum of the 3% base growth, new construction, annexations, and expiring urban renewal growth minus the amount of growth being taken.</text>
  </threadedComment>
  <threadedComment ref="H43" dT="2025-01-02T16:12:14.55" personId="{4C56F39F-21B0-42D4-B3A7-5AA65911BEB8}" id="{23500084-0F6E-473D-B961-5027F72D193C}" parentId="{690176EA-5F06-4F30-B8A6-206AB8A10730}">
    <text>If the district is increasing their maximum budget by recovering forgone this year but not requesting the maximum allowable budget, this box will highlight red. The maximum should not be increased unless that is necessary for the budget request.</text>
  </threadedComment>
  <threadedComment ref="H44" dT="2022-04-04T19:48:53.02" personId="{4C56F39F-21B0-42D4-B3A7-5AA65911BEB8}" id="{A4425859-192B-478C-A2AA-BFB58207FFC6}">
    <text>If there is an amount in the box below, this box should be blank (the box below expands your budget growth this year and this amount reserves excess growth for the future; there should not be excess growth to reserve for the future if extra budget growth is needed via recovering forgone).</text>
  </threadedComment>
</ThreadedComments>
</file>

<file path=xl/threadedComments/threadedComment4.xml><?xml version="1.0" encoding="utf-8"?>
<ThreadedComments xmlns="http://schemas.microsoft.com/office/spreadsheetml/2018/threadedcomments" xmlns:x="http://schemas.openxmlformats.org/spreadsheetml/2006/main">
  <threadedComment ref="C1" dT="2025-12-30T20:57:22.04" personId="{4C56F39F-21B0-42D4-B3A7-5AA65911BEB8}" id="{70B03B8F-B9E6-403B-81ED-2A9F24E5BCFA}">
    <text>CommonKey without the county indicator</text>
  </threadedComment>
</ThreadedComments>
</file>

<file path=xl/threadedComments/threadedComment5.xml><?xml version="1.0" encoding="utf-8"?>
<ThreadedComments xmlns="http://schemas.microsoft.com/office/spreadsheetml/2018/threadedcomments" xmlns:x="http://schemas.openxmlformats.org/spreadsheetml/2006/main">
  <threadedComment ref="C11" dT="2025-05-06T17:33:58.81" personId="{4C56F39F-21B0-42D4-B3A7-5AA65911BEB8}" id="{5DC5CC06-DB44-44B8-80CC-269767E7920A}">
    <text>This needs to include Operating Property Value from current year (if applicable).</text>
  </threadedComment>
</ThreadedComments>
</file>

<file path=xl/threadedComments/threadedComment6.xml><?xml version="1.0" encoding="utf-8"?>
<ThreadedComments xmlns="http://schemas.microsoft.com/office/spreadsheetml/2018/threadedcomments" xmlns:x="http://schemas.openxmlformats.org/spreadsheetml/2006/main">
  <threadedComment ref="B46" dT="2026-02-26T20:39:21.54" personId="{4C56F39F-21B0-42D4-B3A7-5AA65911BEB8}" id="{76645000-23E0-4AC3-B75A-9B50D7216AE2}">
    <text>KwH/Therm taxes are apportioned based on 2025 property tax levies and these apportionments are required to be adjusted for expiring bonds.</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4" Type="http://schemas.microsoft.com/office/2017/10/relationships/threadedComment" Target="../threadedComments/threadedComment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962A6-9FDB-4A0B-B4D1-F9B10C9951C3}">
  <dimension ref="A1:AZ5"/>
  <sheetViews>
    <sheetView zoomScale="85" zoomScaleNormal="85" workbookViewId="0">
      <pane xSplit="2" ySplit="1" topLeftCell="C2" activePane="bottomRight" state="frozen"/>
      <selection pane="topRight" activeCell="C1" sqref="C1"/>
      <selection pane="bottomLeft" activeCell="A2" sqref="A2"/>
      <selection pane="bottomRight" activeCell="C2" sqref="C2"/>
    </sheetView>
  </sheetViews>
  <sheetFormatPr defaultRowHeight="15.75" x14ac:dyDescent="0.25"/>
  <cols>
    <col min="1" max="1" width="9.875" customWidth="1"/>
    <col min="2" max="2" width="21.5" customWidth="1"/>
    <col min="3" max="3" width="11" bestFit="1" customWidth="1"/>
    <col min="4" max="4" width="7.5" bestFit="1" customWidth="1"/>
    <col min="5" max="5" width="18.75" bestFit="1" customWidth="1"/>
    <col min="6" max="6" width="27" customWidth="1"/>
    <col min="7" max="7" width="27.5" customWidth="1"/>
    <col min="8" max="8" width="30.375" customWidth="1"/>
    <col min="9" max="9" width="17.125" bestFit="1" customWidth="1"/>
    <col min="10" max="10" width="17.25" customWidth="1"/>
    <col min="11" max="11" width="13.75" customWidth="1"/>
    <col min="12" max="12" width="28" bestFit="1" customWidth="1"/>
    <col min="13" max="13" width="31.125" customWidth="1"/>
    <col min="14" max="14" width="18.875" customWidth="1"/>
    <col min="15" max="15" width="35.875" bestFit="1" customWidth="1"/>
    <col min="16" max="16" width="13.25" customWidth="1"/>
    <col min="17" max="17" width="9.75" customWidth="1"/>
    <col min="18" max="18" width="17.875" bestFit="1" customWidth="1"/>
    <col min="19" max="20" width="18.625" bestFit="1" customWidth="1"/>
    <col min="21" max="21" width="23.875" bestFit="1" customWidth="1"/>
    <col min="22" max="22" width="31.625" customWidth="1"/>
    <col min="23" max="23" width="35.625" customWidth="1"/>
    <col min="24" max="24" width="16.5" bestFit="1" customWidth="1"/>
    <col min="25" max="25" width="17.25" customWidth="1"/>
    <col min="26" max="27" width="8.5" customWidth="1"/>
    <col min="28" max="28" width="20.5" bestFit="1" customWidth="1"/>
    <col min="29" max="29" width="14" customWidth="1"/>
    <col min="30" max="30" width="22.875" customWidth="1"/>
    <col min="31" max="31" width="28.5" customWidth="1"/>
    <col min="32" max="32" width="17.625" bestFit="1" customWidth="1"/>
    <col min="33" max="33" width="21.875" customWidth="1"/>
    <col min="34" max="34" width="18.75" bestFit="1" customWidth="1"/>
    <col min="35" max="35" width="23.875" customWidth="1"/>
    <col min="36" max="36" width="18.75" customWidth="1"/>
    <col min="37" max="37" width="18.625" customWidth="1"/>
    <col min="38" max="38" width="16.75" bestFit="1" customWidth="1"/>
    <col min="39" max="39" width="19.25" bestFit="1" customWidth="1"/>
    <col min="40" max="40" width="27.375" customWidth="1"/>
    <col min="41" max="41" width="14.25" bestFit="1" customWidth="1"/>
    <col min="42" max="42" width="19.125" customWidth="1"/>
    <col min="43" max="43" width="15.125" bestFit="1" customWidth="1"/>
    <col min="44" max="44" width="17" customWidth="1"/>
    <col min="45" max="45" width="14" customWidth="1"/>
    <col min="46" max="46" width="13.25" customWidth="1"/>
    <col min="47" max="47" width="17.125" bestFit="1" customWidth="1"/>
    <col min="48" max="48" width="22" customWidth="1"/>
    <col min="49" max="49" width="23.5" bestFit="1" customWidth="1"/>
    <col min="50" max="50" width="24.125" bestFit="1" customWidth="1"/>
    <col min="51" max="51" width="29.875" bestFit="1" customWidth="1"/>
    <col min="52" max="52" width="37.5" bestFit="1" customWidth="1"/>
  </cols>
  <sheetData>
    <row r="1" spans="1:52" s="156" customFormat="1" x14ac:dyDescent="0.25">
      <c r="A1" s="156" t="s">
        <v>53</v>
      </c>
      <c r="B1" s="156" t="s">
        <v>596</v>
      </c>
      <c r="C1" s="156" t="s">
        <v>1146</v>
      </c>
      <c r="D1" s="156" t="s">
        <v>1321</v>
      </c>
      <c r="E1" s="156" t="s">
        <v>1334</v>
      </c>
      <c r="F1" s="156" t="s">
        <v>1330</v>
      </c>
      <c r="G1" s="156" t="s">
        <v>1222</v>
      </c>
      <c r="H1" s="156" t="s">
        <v>1223</v>
      </c>
      <c r="I1" s="156" t="s">
        <v>1122</v>
      </c>
      <c r="J1" s="156" t="s">
        <v>1331</v>
      </c>
      <c r="K1" s="156" t="s">
        <v>1123</v>
      </c>
      <c r="L1" s="156" t="s">
        <v>1114</v>
      </c>
      <c r="M1" s="156" t="s">
        <v>1381</v>
      </c>
      <c r="N1" s="156" t="s">
        <v>1124</v>
      </c>
      <c r="O1" s="156" t="s">
        <v>1382</v>
      </c>
      <c r="P1" s="156" t="s">
        <v>1383</v>
      </c>
      <c r="Q1" s="156" t="s">
        <v>1384</v>
      </c>
      <c r="R1" s="156" t="s">
        <v>1385</v>
      </c>
      <c r="S1" s="156" t="s">
        <v>1315</v>
      </c>
      <c r="T1" s="156" t="s">
        <v>1316</v>
      </c>
      <c r="U1" s="156" t="s">
        <v>1317</v>
      </c>
      <c r="V1" s="156" t="s">
        <v>1386</v>
      </c>
      <c r="W1" s="156" t="s">
        <v>1387</v>
      </c>
      <c r="X1" s="156" t="s">
        <v>1375</v>
      </c>
      <c r="Y1" s="156" t="s">
        <v>1109</v>
      </c>
      <c r="Z1" s="156" t="s">
        <v>1110</v>
      </c>
      <c r="AA1" s="156" t="s">
        <v>1221</v>
      </c>
      <c r="AB1" s="156" t="s">
        <v>1391</v>
      </c>
      <c r="AC1" s="156" t="s">
        <v>1111</v>
      </c>
      <c r="AD1" s="156" t="s">
        <v>1112</v>
      </c>
      <c r="AE1" s="156" t="s">
        <v>1113</v>
      </c>
      <c r="AF1" s="156" t="s">
        <v>1115</v>
      </c>
      <c r="AG1" s="156" t="s">
        <v>1117</v>
      </c>
      <c r="AH1" s="156" t="s">
        <v>1116</v>
      </c>
      <c r="AI1" s="156" t="s">
        <v>1119</v>
      </c>
      <c r="AJ1" s="156" t="s">
        <v>1120</v>
      </c>
      <c r="AK1" s="156" t="str">
        <f>LEFT('1. Dashboard'!B8,4)&amp;"RecoveredForgone"</f>
        <v>2026RecoveredForgone</v>
      </c>
      <c r="AL1" s="156" t="str">
        <f>LEFT('1. Dashboard'!B8,4)&amp;"ActualForgone"</f>
        <v>2026ActualForgone</v>
      </c>
      <c r="AM1" s="156" t="str">
        <f>LEFT('1. Dashboard'!B8,4)&amp;"ReservedForgone"</f>
        <v>2026ReservedForgone</v>
      </c>
      <c r="AN1" s="156" t="s">
        <v>1127</v>
      </c>
      <c r="AO1" s="156" t="s">
        <v>1128</v>
      </c>
      <c r="AP1" s="156" t="s">
        <v>1129</v>
      </c>
      <c r="AQ1" s="156" t="s">
        <v>1318</v>
      </c>
      <c r="AR1" s="156" t="s">
        <v>1130</v>
      </c>
      <c r="AS1" s="156" t="s">
        <v>1131</v>
      </c>
      <c r="AT1" s="156" t="s">
        <v>1132</v>
      </c>
      <c r="AU1" s="156" t="s">
        <v>1161</v>
      </c>
      <c r="AV1" s="156" t="s">
        <v>1220</v>
      </c>
      <c r="AW1" s="156" t="s">
        <v>1313</v>
      </c>
      <c r="AX1" s="156" t="s">
        <v>1314</v>
      </c>
      <c r="AY1" s="156" t="s">
        <v>1225</v>
      </c>
      <c r="AZ1" s="156" t="s">
        <v>1358</v>
      </c>
    </row>
    <row r="2" spans="1:52" s="92" customFormat="1" x14ac:dyDescent="0.25">
      <c r="A2" s="183">
        <f>'1. Dashboard'!G26</f>
        <v>0</v>
      </c>
      <c r="B2" s="183">
        <f>'1. Dashboard'!G13</f>
        <v>0</v>
      </c>
      <c r="C2" s="183" t="str" cm="1">
        <f t="array" ref="C2">IF(DistrictName=0,"",
    INDEX(DataDump!$A$1:$A$1202,MATCH(1,(DataDump!$C$1:$C$1202='1. Dashboard'!G26)*(DataDump!$G$1:$G$1202=DistrictName),0)))</f>
        <v/>
      </c>
      <c r="D2" s="226" t="str">
        <f>LEFT('1. Dashboard'!$B$8,4)</f>
        <v>2026</v>
      </c>
      <c r="E2" s="226" t="str">
        <f>SCOstatus</f>
        <v>Yes</v>
      </c>
      <c r="F2" s="183">
        <f>'1. Dashboard'!H22</f>
        <v>0</v>
      </c>
      <c r="G2" s="197" t="str">
        <f>IF(DistrictName&lt;&gt;0,
 IF(MAX('2. L-2 Worksheet'!C13:G13)='2. L-2 Worksheet'!G13,LEFT('2. L-2 Worksheet'!B15,4)-1,
 IF(MAX('2. L-2 Worksheet'!C13:G13)='2. L-2 Worksheet'!E13,LEFT('2. L-2 Worksheet'!B15,4)-2,
 IF(MAX('2. L-2 Worksheet'!C13:G13)='2. L-2 Worksheet'!C13,LEFT('2. L-2 Worksheet'!B15,4)-3))),"")</f>
        <v/>
      </c>
      <c r="H2" s="183" t="str">
        <f>'2. L-2 Worksheet'!G18</f>
        <v/>
      </c>
      <c r="I2" s="183" t="str">
        <f>'2. L-2 Worksheet'!$G$19</f>
        <v/>
      </c>
      <c r="J2" s="183">
        <f>'1. Dashboard'!H26</f>
        <v>0</v>
      </c>
      <c r="K2" s="184" t="str">
        <f>'2. L-2 Worksheet'!E34</f>
        <v/>
      </c>
      <c r="L2" s="183" t="str">
        <f>'2. L-2 Worksheet'!G41</f>
        <v/>
      </c>
      <c r="M2" s="183">
        <f>'1. Dashboard'!H31</f>
        <v>0</v>
      </c>
      <c r="N2" s="185" t="str">
        <f>'2. L-2 Worksheet'!E46</f>
        <v/>
      </c>
      <c r="O2" s="183" t="str">
        <f>'2. L-2 Worksheet'!G47</f>
        <v/>
      </c>
      <c r="P2" s="183" t="str">
        <f>MaxPercentCap</f>
        <v/>
      </c>
      <c r="Q2" s="183" t="str">
        <f>IF('1. Dashboard'!G13&lt;&gt;0,IF('2. L-2 Worksheet'!$E$50&lt;'2. L-2 Worksheet'!$E$49,"Yes","No"),"")</f>
        <v/>
      </c>
      <c r="R2" s="183">
        <f>IF(Q2="Yes",'2. L-2 Worksheet'!E49-'2. L-2 Worksheet'!E50,0)</f>
        <v>0</v>
      </c>
      <c r="S2" s="183">
        <f>'1. Dashboard'!H40</f>
        <v>0</v>
      </c>
      <c r="T2" s="183">
        <f>'1. Dashboard'!H41</f>
        <v>0</v>
      </c>
      <c r="U2" s="183" t="str">
        <f>'2. L-2 Worksheet'!G56</f>
        <v/>
      </c>
      <c r="V2" s="183">
        <f>'1. Dashboard'!H35</f>
        <v>0</v>
      </c>
      <c r="W2" s="183" t="str">
        <f>'2. L-2 Worksheet'!G60</f>
        <v/>
      </c>
      <c r="X2" s="183" t="str">
        <f>'1. Dashboard'!I84</f>
        <v/>
      </c>
      <c r="Y2" s="183" t="str">
        <f>'2. L-2 Worksheet'!E78</f>
        <v/>
      </c>
      <c r="Z2" s="183" t="str">
        <f>'2. L-2 Worksheet'!E73</f>
        <v/>
      </c>
      <c r="AA2" s="183" t="str">
        <f>'2. L-2 Worksheet'!E74</f>
        <v/>
      </c>
      <c r="AB2" s="183" t="str">
        <f>'2. L-2 Worksheet'!E72</f>
        <v/>
      </c>
      <c r="AC2" s="183" t="str">
        <f>'2. L-2 Worksheet'!E77</f>
        <v/>
      </c>
      <c r="AD2" s="183" t="str">
        <f>'2. L-2 Worksheet'!E64</f>
        <v/>
      </c>
      <c r="AE2" s="183" t="str">
        <f>'2. L-2 Worksheet'!E65</f>
        <v/>
      </c>
      <c r="AF2" s="183" t="str">
        <f>IF('1. Dashboard'!G12="School",'2. L-2 Worksheet'!G83,
'2. L-2 Worksheet'!G88)</f>
        <v/>
      </c>
      <c r="AG2" s="183">
        <f>IF(DistrictType="County w/Countywide Road and Bridge",
    '3. L-2 Dollar Certification'!H29 - SUM('3. L-2 Dollar Certification'!H24:H25),
    '3. L-2 Dollar Certification'!H29)</f>
        <v>0</v>
      </c>
      <c r="AH2" s="183">
        <f>'3. L-2 Dollar Certification'!H40</f>
        <v>0</v>
      </c>
      <c r="AI2" s="183">
        <f>'3. L-2 Dollar Certification'!F41</f>
        <v>0</v>
      </c>
      <c r="AJ2" s="183">
        <f>'3. L-2 Dollar Certification'!G41</f>
        <v>0</v>
      </c>
      <c r="AK2" s="183">
        <f>'3. L-2 Dollar Certification'!H45</f>
        <v>0</v>
      </c>
      <c r="AL2" s="183" t="str">
        <f>'3. L-2 Dollar Certification'!H43</f>
        <v/>
      </c>
      <c r="AM2" s="183">
        <f>'3. L-2 Dollar Certification'!H44</f>
        <v>0</v>
      </c>
      <c r="AN2" s="183">
        <f>'4. Levy Rate Calculation'!C15</f>
        <v>0</v>
      </c>
      <c r="AO2" s="183">
        <f>'4. Levy Rate Calculation'!D15</f>
        <v>0</v>
      </c>
      <c r="AP2" s="183">
        <f>'4. Levy Rate Calculation'!E15</f>
        <v>0</v>
      </c>
      <c r="AQ2" s="183" t="str">
        <f>IF(SUM('4. Levy Rate Calculation'!D23:E40,'4. Levy Rate Calculation'!D43:E49)&lt;&gt;0,"YES","NO")</f>
        <v>NO</v>
      </c>
      <c r="AR2" s="184">
        <f>IF(DistrictType="County w/Countywide Road and Bridge",
    '4. Levy Rate Calculation'!F41 - SUM('4. Levy Rate Calculation'!F38:F39),
    '4. Levy Rate Calculation'!F41)</f>
        <v>0</v>
      </c>
      <c r="AS2" s="184">
        <f>'4. Levy Rate Calculation'!F50</f>
        <v>0</v>
      </c>
      <c r="AT2" s="184">
        <f>IF(DistrictType="County w/Countywide Road and Bridge",
    '4. Levy Rate Calculation'!F51 - SUM('4. Levy Rate Calculation'!F38:F39),
    '4. Levy Rate Calculation'!F51)</f>
        <v>0</v>
      </c>
      <c r="AU2" s="184" t="str">
        <f>'4. Levy Rate Calculation'!I51</f>
        <v/>
      </c>
      <c r="AV2" s="183">
        <f>IF('3. L-2 Dollar Certification'!H29=0,
    MIN('3. L-2 Dollar Certification'!G29,'2. L-2 Worksheet'!G75),
    '3. L-2 Dollar Certification'!H29
   -'3. L-2 Dollar Certification'!H24
   -'3. L-2 Dollar Certification'!H25
   +'2. L-2 Worksheet'!G75)</f>
        <v>0</v>
      </c>
      <c r="AW2" s="206">
        <f>SUMIF('4. Levy Rate Calculation'!$D$23:$D$37,"",'4. Levy Rate Calculation'!$F$23:$F$37) +
 SUMIF('4. Levy Rate Calculation'!$D$40:$D$40,"",'4. Levy Rate Calculation'!$F$40:$F$40) +
 SUMIF('4. Levy Rate Calculation'!$D$43:$D$49,"",'4. Levy Rate Calculation'!$F$43:$F$49)</f>
        <v>0</v>
      </c>
      <c r="AX2" s="206">
        <f>SUMIF('4. Levy Rate Calculation'!$D$23:$D$37,'4. Levy Rate Calculation'!$D$19,'4. Levy Rate Calculation'!$F$23:$F$37) +
 SUMIF('4. Levy Rate Calculation'!$D$40:$D$40,'4. Levy Rate Calculation'!$D$19,'4. Levy Rate Calculation'!$F$40:$F$40) +
 SUMIF('4. Levy Rate Calculation'!$D$43:$D$49,'4. Levy Rate Calculation'!$D$19,'4. Levy Rate Calculation'!$F$43:$F$49)</f>
        <v>0</v>
      </c>
      <c r="AY2" s="206">
        <f>SUMIF('4. Levy Rate Calculation'!$D$23:$D$37,'4. Levy Rate Calculation'!$E$19,'4. Levy Rate Calculation'!$F$23:$F$37) +
 SUMIF('4. Levy Rate Calculation'!$D$40:$D$40,'4. Levy Rate Calculation'!$E$19,'4. Levy Rate Calculation'!$F$40:$F$40) +
 SUMIF('4. Levy Rate Calculation'!$D$43:$D$49,'4. Levy Rate Calculation'!$E$19,'4. Levy Rate Calculation'!$F$43:$F$49)</f>
        <v>0</v>
      </c>
      <c r="AZ2" s="92">
        <f>'5. Voter Tracker'!H47</f>
        <v>0</v>
      </c>
    </row>
    <row r="3" spans="1:52" s="92" customFormat="1" x14ac:dyDescent="0.25">
      <c r="A3" s="183" t="str">
        <f>IF(DistrictType="County w/Countywide Road and Bridge",
    A2,
    '1. Dashboard'!G27)</f>
        <v xml:space="preserve"> </v>
      </c>
      <c r="B3" s="183" t="str" cm="1">
        <f t="array" ref="B3">IF(DistrictType="County w/Countywide Road and Bridge",
    INDEX(DataDump!G1:G1202,MATCH(1,($A3=DataDump!C1:C1202)*(1=DataDump!H1:H1202),0)),
    IF('1. Dashboard'!F17="NO","",$B$2))</f>
        <v/>
      </c>
      <c r="C3" s="183" t="str" cm="1">
        <f t="array" ref="C3">IFERROR(
    IF(DistrictType="County w/Countywide Road and Bridge",
       INDEX(DataDump!$A$1:$A$1202,MATCH(1,($A3=DataDump!$C$1:$C$1202)*(1=DataDump!$H$1:$H$1202),0)),
       IF(AND(DistrictName&lt;&gt;0,'1. Dashboard'!F17="YES"),
            IF(COUNTIF(JointDistricts,DistrictName),INDEX(DataDump!$A$1:$A$1202,MATCH(1,(DataDump!$C$1:$C$1202='1. Dashboard'!G27)*(DataDump!$G$1:$G$1202=DistrictName),0)),""),"")),"")</f>
        <v/>
      </c>
      <c r="D3" s="198" t="str">
        <f>IF(DistrictType="County w/Countywide Road and Bridge",
D$2,
IF('1. Dashboard'!$F17="NO","",D$2))</f>
        <v/>
      </c>
      <c r="E3" s="198" t="str">
        <f>IF(DistrictType="County w/Countywide Road and Bridge",
E$2,
IF('1. Dashboard'!$F17="NO","",E$2))</f>
        <v/>
      </c>
      <c r="F3" s="183" t="str">
        <f>IF(DistrictType="County w/Countywide Road and Bridge",
    F$2,
    IF('1. Dashboard'!$F17="NO","",'1. Dashboard'!H23))</f>
        <v/>
      </c>
      <c r="G3" s="198" t="str">
        <f>IF(DistrictType="County w/Countywide Road and Bridge",
    G$2,
    IF('1. Dashboard'!$F17="NO","",G$2))</f>
        <v/>
      </c>
      <c r="H3" s="186" t="str">
        <f>IF('1. Dashboard'!$F17="NO","",H$2)</f>
        <v/>
      </c>
      <c r="I3" s="186" t="str">
        <f>IF('1. Dashboard'!$F17="NO","",I$2)</f>
        <v/>
      </c>
      <c r="J3" s="183" t="str">
        <f>IF(DistrictType="County w/Countywide Road and Bridge",
    J$2,
    IF('1. Dashboard'!F17="NO","",'1. Dashboard'!H27))</f>
        <v/>
      </c>
      <c r="K3" s="185" t="str">
        <f>IF('1. Dashboard'!$F17="NO","",K$2)</f>
        <v/>
      </c>
      <c r="L3" s="186" t="str">
        <f>IF('1. Dashboard'!$F17="NO","",L$2)</f>
        <v/>
      </c>
      <c r="M3" s="183" t="str">
        <f>IF(DistrictType="County w/Countywide Road and Bridge",
    M$2,
    IF('1. Dashboard'!F17="NO","",'1. Dashboard'!H32))</f>
        <v/>
      </c>
      <c r="N3" s="185" t="str">
        <f>IF('1. Dashboard'!$F17="NO","",N$2)</f>
        <v/>
      </c>
      <c r="O3" s="186" t="str">
        <f>IF('1. Dashboard'!$F17="NO","",O$2)</f>
        <v/>
      </c>
      <c r="P3" s="186" t="str">
        <f>IF('1. Dashboard'!$F17="NO","",P$2)</f>
        <v/>
      </c>
      <c r="Q3" s="186" t="str">
        <f>IF('1. Dashboard'!$F17="NO","",Q$2)</f>
        <v/>
      </c>
      <c r="R3" s="186" t="str">
        <f>IF('1. Dashboard'!$F17="NO","",R$2)</f>
        <v/>
      </c>
      <c r="S3" s="186" t="str">
        <f>IF('1. Dashboard'!$F17="NO","",S$2)</f>
        <v/>
      </c>
      <c r="T3" s="186" t="str">
        <f>IF('1. Dashboard'!$F17="NO","",T$2)</f>
        <v/>
      </c>
      <c r="U3" s="186" t="str">
        <f>IF('1. Dashboard'!$F17="NO","",U$2)</f>
        <v/>
      </c>
      <c r="V3" s="183" t="str">
        <f>IF(DistrictType="County w/Countywide Road and Bridge",
    V$2,
    IF('1. Dashboard'!F17="NO","",'1. Dashboard'!H36))</f>
        <v/>
      </c>
      <c r="W3" s="186" t="str">
        <f>IF('1. Dashboard'!$F17="NO","",W$2)</f>
        <v/>
      </c>
      <c r="X3" s="186" t="str">
        <f>IF('1. Dashboard'!$F17="NO","",X$2)</f>
        <v/>
      </c>
      <c r="Y3" s="186" t="str">
        <f>IF('1. Dashboard'!$F17="NO","",Y$2)</f>
        <v/>
      </c>
      <c r="Z3" s="186" t="str">
        <f>IF('1. Dashboard'!$F17="NO","",Z$2)</f>
        <v/>
      </c>
      <c r="AA3" s="186" t="str">
        <f>IF('1. Dashboard'!$F17="NO","",AA$2)</f>
        <v/>
      </c>
      <c r="AB3" s="186" t="str">
        <f>IF('1. Dashboard'!$F17="NO","",AB$2)</f>
        <v/>
      </c>
      <c r="AC3" s="186" t="str">
        <f>IF('1. Dashboard'!$F17="NO","",AC$2)</f>
        <v/>
      </c>
      <c r="AD3" s="186" t="str">
        <f>IF('1. Dashboard'!$F17="NO","",AD$2)</f>
        <v/>
      </c>
      <c r="AE3" s="186" t="str">
        <f>IF('1. Dashboard'!$F17="NO","",AE$2)</f>
        <v/>
      </c>
      <c r="AF3" s="186" t="str">
        <f>IF('1. Dashboard'!$F17="NO","",AF$2)</f>
        <v/>
      </c>
      <c r="AG3" s="186" t="str">
        <f>IF(DistrictType="County w/Countywide Road and Bridge",
    SUM('3. L-2 Dollar Certification'!H24:H25),
    IF('1. Dashboard'!$F17="NO","",AG$2))</f>
        <v/>
      </c>
      <c r="AH3" s="186" t="str">
        <f>IF('1. Dashboard'!$F17="NO","",AH$2)</f>
        <v/>
      </c>
      <c r="AI3" s="186" t="str">
        <f>IF('1. Dashboard'!$F17="NO","",AI$2)</f>
        <v/>
      </c>
      <c r="AJ3" s="186" t="str">
        <f>IF('1. Dashboard'!$F17="NO","",AJ$2)</f>
        <v/>
      </c>
      <c r="AK3" s="186" t="str">
        <f>IF('1. Dashboard'!$F17="NO","",AK$2)</f>
        <v/>
      </c>
      <c r="AL3" s="186" t="str">
        <f>IF('1. Dashboard'!$F17="NO","",AL$2)</f>
        <v/>
      </c>
      <c r="AM3" s="186" t="str">
        <f>IF('1. Dashboard'!$F17="NO","",AM$2)</f>
        <v/>
      </c>
      <c r="AN3" s="186" t="str">
        <f>IF(DistrictType="County w/Countywide Road and Bridge",
    AN$2,
    IF('1. Dashboard'!$F17="NO","",'4. Levy Rate Calculation'!C16))</f>
        <v/>
      </c>
      <c r="AO3" s="186" t="str">
        <f>IF(DistrictType="County w/Countywide Road and Bridge",
    AO$2,
    IF('1. Dashboard'!$F17="NO","",'4. Levy Rate Calculation'!D16))</f>
        <v/>
      </c>
      <c r="AP3" s="186" t="str">
        <f>IF(DistrictType="County w/Countywide Road and Bridge",
    AP$2,
    IF('1. Dashboard'!$F17="NO","",'4. Levy Rate Calculation'!E16))</f>
        <v/>
      </c>
      <c r="AQ3" s="184" t="str">
        <f>IF('1. Dashboard'!$F17="NO","",AQ$2)</f>
        <v/>
      </c>
      <c r="AR3" s="184" t="str">
        <f>IF(DistrictType="County w/Countywide Road and Bridge",
    SUM('4. Levy Rate Calculation'!F38:F39),
    IF('1. Dashboard'!$F17="NO","",AR$2))</f>
        <v/>
      </c>
      <c r="AS3" s="184" t="str">
        <f>IF('1. Dashboard'!$F17="NO","",AS$2)</f>
        <v/>
      </c>
      <c r="AT3" s="184" t="str">
        <f>IF(DistrictType="County w/Countywide Road and Bridge",
    SUM('4. Levy Rate Calculation'!F38:F39),
    IF('1. Dashboard'!$F17="NO","",AT$2))</f>
        <v/>
      </c>
      <c r="AU3" s="184" t="str">
        <f>IF('1. Dashboard'!$F17="NO","",AU$2)</f>
        <v/>
      </c>
      <c r="AV3" s="186" t="str">
        <f>IF(DistrictType="County w/Countywide Road and Bridge",
    SUM('3. L-2 Dollar Certification'!H24,'3. L-2 Dollar Certification'!H25),
    IF('1. Dashboard'!$F17="NO","",AV$2))</f>
        <v/>
      </c>
      <c r="AW3" s="207" t="str">
        <f>IF(DistrictType="County w/Countywide Road and Bridge",
    SUMIF('4. Levy Rate Calculation'!$D$38:$D$39,"",'4. Levy Rate Calculation'!$F$38:$F$39),
    IF('1. Dashboard'!$F17="NO","",AW$2))</f>
        <v/>
      </c>
      <c r="AX3" s="207" t="str">
        <f>IF(DistrictType="County w/Countywide Road and Bridge",
    SUMIF('4. Levy Rate Calculation'!$D$38:$D$39,'4. Levy Rate Calculation'!$D$19,'4. Levy Rate Calculation'!$F$38:$F$39),
    IF('1. Dashboard'!$F17="NO","",AX$2))</f>
        <v/>
      </c>
      <c r="AY3" s="207" t="str">
        <f>IF(DistrictType="County w/Countywide Road and Bridge",
    SUMIF('4. Levy Rate Calculation'!$D$38:$D$39,'4. Levy Rate Calculation'!$E$19,'4. Levy Rate Calculation'!$F$38:$F$39),
    IF('1. Dashboard'!$F17="NO","",AY$2))</f>
        <v/>
      </c>
      <c r="AZ3" s="186" t="str">
        <f>IF('1. Dashboard'!$F17="NO","",AZ$2)</f>
        <v/>
      </c>
    </row>
    <row r="4" spans="1:52" s="92" customFormat="1" x14ac:dyDescent="0.25">
      <c r="A4" s="183" t="str">
        <f>'1. Dashboard'!G28</f>
        <v xml:space="preserve"> </v>
      </c>
      <c r="B4" s="183" t="str">
        <f>IF('1. Dashboard'!F18="NO","",$B$2)</f>
        <v/>
      </c>
      <c r="C4" s="183" t="str" cm="1">
        <f t="array" ref="C4">IFERROR(IF(AND(DistrictName&lt;&gt;0,'1. Dashboard'!F18="YES"),
            IF(COUNTIF(JointDistricts,DistrictName),INDEX(DataDump!$A$1:$A$1202,MATCH(1,(DataDump!$C$1:$C$1202='1. Dashboard'!G28)*(DataDump!$G$1:$G$1202=DistrictName),0)),""),""),"")</f>
        <v/>
      </c>
      <c r="D4" s="198" t="str">
        <f>IF('1. Dashboard'!$F18="NO","",D$2)</f>
        <v/>
      </c>
      <c r="E4" s="198" t="str">
        <f>IF('1. Dashboard'!$F18="NO","",E$2)</f>
        <v/>
      </c>
      <c r="F4" s="183" t="str">
        <f>IF('1. Dashboard'!$F18="NO","",'1. Dashboard'!H24)</f>
        <v/>
      </c>
      <c r="G4" s="198" t="str">
        <f>IF('1. Dashboard'!$F18="NO","",G$2)</f>
        <v/>
      </c>
      <c r="H4" s="186" t="str">
        <f>IF('1. Dashboard'!$F18="NO","",H$2)</f>
        <v/>
      </c>
      <c r="I4" s="186" t="str">
        <f>IF('1. Dashboard'!$F18="NO","",I$2)</f>
        <v/>
      </c>
      <c r="J4" s="183" t="str">
        <f>IF('1. Dashboard'!F18="NO","",'1. Dashboard'!H28)</f>
        <v/>
      </c>
      <c r="K4" s="185" t="str">
        <f>IF('1. Dashboard'!$F18="NO","",K$2)</f>
        <v/>
      </c>
      <c r="L4" s="186" t="str">
        <f>IF('1. Dashboard'!$F18="NO","",L$2)</f>
        <v/>
      </c>
      <c r="M4" s="183" t="str">
        <f>IF('1. Dashboard'!F18="NO","",'1. Dashboard'!H33)</f>
        <v/>
      </c>
      <c r="N4" s="185" t="str">
        <f>IF('1. Dashboard'!$F18="NO","",N$2)</f>
        <v/>
      </c>
      <c r="O4" s="186" t="str">
        <f>IF('1. Dashboard'!$F18="NO","",O$2)</f>
        <v/>
      </c>
      <c r="P4" s="186" t="str">
        <f>IF('1. Dashboard'!$F18="NO","",P$2)</f>
        <v/>
      </c>
      <c r="Q4" s="186" t="str">
        <f>IF('1. Dashboard'!$F18="NO","",Q$2)</f>
        <v/>
      </c>
      <c r="R4" s="186" t="str">
        <f>IF('1. Dashboard'!$F18="NO","",R$2)</f>
        <v/>
      </c>
      <c r="S4" s="186" t="str">
        <f>IF('1. Dashboard'!$F18="NO","",S$2)</f>
        <v/>
      </c>
      <c r="T4" s="186" t="str">
        <f>IF('1. Dashboard'!$F18="NO","",T$2)</f>
        <v/>
      </c>
      <c r="U4" s="186" t="str">
        <f>IF('1. Dashboard'!$F18="NO","",U$2)</f>
        <v/>
      </c>
      <c r="V4" s="183" t="str">
        <f>IF('1. Dashboard'!F18="NO","",'1. Dashboard'!H37)</f>
        <v/>
      </c>
      <c r="W4" s="186" t="str">
        <f>IF('1. Dashboard'!$F18="NO","",W$2)</f>
        <v/>
      </c>
      <c r="X4" s="186" t="str">
        <f>IF('1. Dashboard'!$F18="NO","",X$2)</f>
        <v/>
      </c>
      <c r="Y4" s="186" t="str">
        <f>IF('1. Dashboard'!$F18="NO","",Y$2)</f>
        <v/>
      </c>
      <c r="Z4" s="186" t="str">
        <f>IF('1. Dashboard'!$F18="NO","",Z$2)</f>
        <v/>
      </c>
      <c r="AA4" s="186" t="str">
        <f>IF('1. Dashboard'!$F18="NO","",AA$2)</f>
        <v/>
      </c>
      <c r="AB4" s="186" t="str">
        <f>IF('1. Dashboard'!$F18="NO","",AB$2)</f>
        <v/>
      </c>
      <c r="AC4" s="186" t="str">
        <f>IF('1. Dashboard'!$F18="NO","",AC$2)</f>
        <v/>
      </c>
      <c r="AD4" s="186" t="str">
        <f>IF('1. Dashboard'!$F18="NO","",AD$2)</f>
        <v/>
      </c>
      <c r="AE4" s="186" t="str">
        <f>IF('1. Dashboard'!$F18="NO","",AE$2)</f>
        <v/>
      </c>
      <c r="AF4" s="186" t="str">
        <f>IF('1. Dashboard'!$F18="NO","",AF$2)</f>
        <v/>
      </c>
      <c r="AG4" s="186" t="str">
        <f>IF('1. Dashboard'!$F18="NO","",AG$2)</f>
        <v/>
      </c>
      <c r="AH4" s="186" t="str">
        <f>IF('1. Dashboard'!$F18="NO","",AH$2)</f>
        <v/>
      </c>
      <c r="AI4" s="186" t="str">
        <f>IF('1. Dashboard'!$F18="NO","",AI$2)</f>
        <v/>
      </c>
      <c r="AJ4" s="186" t="str">
        <f>IF('1. Dashboard'!$F18="NO","",AJ$2)</f>
        <v/>
      </c>
      <c r="AK4" s="186" t="str">
        <f>IF('1. Dashboard'!$F18="NO","",AK$2)</f>
        <v/>
      </c>
      <c r="AL4" s="186" t="str">
        <f>IF('1. Dashboard'!$F18="NO","",AL$2)</f>
        <v/>
      </c>
      <c r="AM4" s="186" t="str">
        <f>IF('1. Dashboard'!$F18="NO","",AM$2)</f>
        <v/>
      </c>
      <c r="AN4" s="186" t="str">
        <f>IF('1. Dashboard'!$F18="NO","",'4. Levy Rate Calculation'!C17)</f>
        <v/>
      </c>
      <c r="AO4" s="186" t="str">
        <f>IF('1. Dashboard'!$F18="NO","",'4. Levy Rate Calculation'!D17)</f>
        <v/>
      </c>
      <c r="AP4" s="186" t="str">
        <f>IF('1. Dashboard'!$F18="NO","",'4. Levy Rate Calculation'!E17)</f>
        <v/>
      </c>
      <c r="AQ4" s="184" t="str">
        <f>IF('1. Dashboard'!$F18="NO","",AQ$2)</f>
        <v/>
      </c>
      <c r="AR4" s="184" t="str">
        <f>IF('1. Dashboard'!$F18="NO","",AR$2)</f>
        <v/>
      </c>
      <c r="AS4" s="184" t="str">
        <f>IF('1. Dashboard'!$F18="NO","",AS$2)</f>
        <v/>
      </c>
      <c r="AT4" s="184" t="str">
        <f>IF('1. Dashboard'!$F18="NO","",AT$2)</f>
        <v/>
      </c>
      <c r="AU4" s="184" t="str">
        <f>IF('1. Dashboard'!$F18="NO","",AU$2)</f>
        <v/>
      </c>
      <c r="AV4" s="186" t="str">
        <f>IF('1. Dashboard'!$F18="NO","",AV$2)</f>
        <v/>
      </c>
      <c r="AW4" s="207" t="str">
        <f>IF('1. Dashboard'!$F18="NO","",AW$2)</f>
        <v/>
      </c>
      <c r="AX4" s="207" t="str">
        <f>IF('1. Dashboard'!$F18="NO","",AX$2)</f>
        <v/>
      </c>
      <c r="AY4" s="207" t="str">
        <f>IF('1. Dashboard'!$F18="NO","",AY$2)</f>
        <v/>
      </c>
      <c r="AZ4" s="186" t="str">
        <f>IF('1. Dashboard'!$F18="NO","",AZ$2)</f>
        <v/>
      </c>
    </row>
    <row r="5" spans="1:52" s="157" customFormat="1" x14ac:dyDescent="0.25">
      <c r="A5" s="187" t="str">
        <f>'1. Dashboard'!G29</f>
        <v xml:space="preserve"> </v>
      </c>
      <c r="B5" s="187" t="str">
        <f>IF('1. Dashboard'!F19="NO","",$B$2)</f>
        <v/>
      </c>
      <c r="C5" s="187" t="str" cm="1">
        <f t="array" ref="C5">IFERROR(IF(AND(DistrictName&lt;&gt;0,'1. Dashboard'!F19="YES"),
            IF(COUNTIF(JointDistricts,DistrictName),INDEX(DataDump!$A$1:$A$1202,MATCH(1,(DataDump!$C$1:$C$1202='1. Dashboard'!G29)*(DataDump!$G$1:$G$1202=DistrictName),0)),""),""),"")</f>
        <v/>
      </c>
      <c r="D5" s="199" t="str">
        <f>IF('1. Dashboard'!$F19="NO","",D$2)</f>
        <v/>
      </c>
      <c r="E5" s="199" t="str">
        <f>IF('1. Dashboard'!$F19="NO","",E$2)</f>
        <v/>
      </c>
      <c r="F5" s="187" t="str">
        <f>IF('1. Dashboard'!$F19="NO","",'1. Dashboard'!H25)</f>
        <v/>
      </c>
      <c r="G5" s="199" t="str">
        <f>IF('1. Dashboard'!$F19="NO","",G$2)</f>
        <v/>
      </c>
      <c r="H5" s="187" t="str">
        <f>IF('1. Dashboard'!$F19="NO","",H$2)</f>
        <v/>
      </c>
      <c r="I5" s="187" t="str">
        <f>IF('1. Dashboard'!$F19="NO","",I$2)</f>
        <v/>
      </c>
      <c r="J5" s="187" t="str">
        <f>IF('1. Dashboard'!F19="NO","",'1. Dashboard'!H29)</f>
        <v/>
      </c>
      <c r="K5" s="188" t="str">
        <f>IF('1. Dashboard'!$F19="NO","",K$2)</f>
        <v/>
      </c>
      <c r="L5" s="187" t="str">
        <f>IF('1. Dashboard'!$F19="NO","",L$2)</f>
        <v/>
      </c>
      <c r="M5" s="187" t="str">
        <f>IF('1. Dashboard'!F19="NO","",'1. Dashboard'!H34)</f>
        <v/>
      </c>
      <c r="N5" s="188" t="str">
        <f>IF('1. Dashboard'!$F19="NO","",N$2)</f>
        <v/>
      </c>
      <c r="O5" s="187" t="str">
        <f>IF('1. Dashboard'!$F19="NO","",O$2)</f>
        <v/>
      </c>
      <c r="P5" s="187" t="str">
        <f>IF('1. Dashboard'!$F19="NO","",P$2)</f>
        <v/>
      </c>
      <c r="Q5" s="187" t="str">
        <f>IF('1. Dashboard'!$F19="NO","",Q$2)</f>
        <v/>
      </c>
      <c r="R5" s="187" t="str">
        <f>IF('1. Dashboard'!$F19="NO","",R$2)</f>
        <v/>
      </c>
      <c r="S5" s="187" t="str">
        <f>IF('1. Dashboard'!$F19="NO","",S$2)</f>
        <v/>
      </c>
      <c r="T5" s="187" t="str">
        <f>IF('1. Dashboard'!$F19="NO","",T$2)</f>
        <v/>
      </c>
      <c r="U5" s="187" t="str">
        <f>IF('1. Dashboard'!$F19="NO","",U$2)</f>
        <v/>
      </c>
      <c r="V5" s="187" t="str">
        <f>IF('1. Dashboard'!F19="NO","",'1. Dashboard'!H38)</f>
        <v/>
      </c>
      <c r="W5" s="187" t="str">
        <f>IF('1. Dashboard'!$F19="NO","",W$2)</f>
        <v/>
      </c>
      <c r="X5" s="187" t="str">
        <f>IF('1. Dashboard'!$F19="NO","",X$2)</f>
        <v/>
      </c>
      <c r="Y5" s="187" t="str">
        <f>IF('1. Dashboard'!$F19="NO","",Y$2)</f>
        <v/>
      </c>
      <c r="Z5" s="187" t="str">
        <f>IF('1. Dashboard'!$F19="NO","",Z$2)</f>
        <v/>
      </c>
      <c r="AA5" s="187" t="str">
        <f>IF('1. Dashboard'!$F19="NO","",AA$2)</f>
        <v/>
      </c>
      <c r="AB5" s="187" t="str">
        <f>IF('1. Dashboard'!$F19="NO","",AB$2)</f>
        <v/>
      </c>
      <c r="AC5" s="187" t="str">
        <f>IF('1. Dashboard'!$F19="NO","",AC$2)</f>
        <v/>
      </c>
      <c r="AD5" s="187" t="str">
        <f>IF('1. Dashboard'!$F19="NO","",AD$2)</f>
        <v/>
      </c>
      <c r="AE5" s="187" t="str">
        <f>IF('1. Dashboard'!$F19="NO","",AE$2)</f>
        <v/>
      </c>
      <c r="AF5" s="187" t="str">
        <f>IF('1. Dashboard'!$F19="NO","",AF$2)</f>
        <v/>
      </c>
      <c r="AG5" s="187" t="str">
        <f>IF('1. Dashboard'!$F19="NO","",AG$2)</f>
        <v/>
      </c>
      <c r="AH5" s="187" t="str">
        <f>IF('1. Dashboard'!$F19="NO","",AH$2)</f>
        <v/>
      </c>
      <c r="AI5" s="187" t="str">
        <f>IF('1. Dashboard'!$F19="NO","",AI$2)</f>
        <v/>
      </c>
      <c r="AJ5" s="187" t="str">
        <f>IF('1. Dashboard'!$F19="NO","",AJ$2)</f>
        <v/>
      </c>
      <c r="AK5" s="187" t="str">
        <f>IF('1. Dashboard'!$F19="NO","",AK$2)</f>
        <v/>
      </c>
      <c r="AL5" s="187" t="str">
        <f>IF('1. Dashboard'!$F19="NO","",AL$2)</f>
        <v/>
      </c>
      <c r="AM5" s="187" t="str">
        <f>IF('1. Dashboard'!$F19="NO","",AM$2)</f>
        <v/>
      </c>
      <c r="AN5" s="187" t="str">
        <f>IF('1. Dashboard'!$F19="NO","",'4. Levy Rate Calculation'!C18)</f>
        <v/>
      </c>
      <c r="AO5" s="187" t="str">
        <f>IF('1. Dashboard'!$F19="NO","",'4. Levy Rate Calculation'!D18)</f>
        <v/>
      </c>
      <c r="AP5" s="187" t="str">
        <f>IF('1. Dashboard'!$F19="NO","",'4. Levy Rate Calculation'!E18)</f>
        <v/>
      </c>
      <c r="AQ5" s="188" t="str">
        <f>IF('1. Dashboard'!$F19="NO","",AQ$2)</f>
        <v/>
      </c>
      <c r="AR5" s="188" t="str">
        <f>IF('1. Dashboard'!$F19="NO","",AR$2)</f>
        <v/>
      </c>
      <c r="AS5" s="188" t="str">
        <f>IF('1. Dashboard'!$F19="NO","",AS$2)</f>
        <v/>
      </c>
      <c r="AT5" s="188" t="str">
        <f>IF('1. Dashboard'!$F19="NO","",AT$2)</f>
        <v/>
      </c>
      <c r="AU5" s="188" t="str">
        <f>IF('1. Dashboard'!$F19="NO","",AU$2)</f>
        <v/>
      </c>
      <c r="AV5" s="187" t="str">
        <f>IF('1. Dashboard'!$F19="NO","",AV$2)</f>
        <v/>
      </c>
      <c r="AW5" s="208" t="str">
        <f>IF('1. Dashboard'!$F19="NO","",AW$2)</f>
        <v/>
      </c>
      <c r="AX5" s="208" t="str">
        <f>IF('1. Dashboard'!$F19="NO","",AX$2)</f>
        <v/>
      </c>
      <c r="AY5" s="208" t="str">
        <f>IF('1. Dashboard'!$F19="NO","",AY$2)</f>
        <v/>
      </c>
      <c r="AZ5" s="187" t="str">
        <f>IF('1. Dashboard'!$F19="NO","",AZ$2)</f>
        <v/>
      </c>
    </row>
  </sheetData>
  <sheetProtection algorithmName="SHA-512" hashValue="neGsXrrtaK/WYGdtu0JEJYRPk97ff6JZgSJyHLwFclnRKIyEOqlVXn3cPJFbxDaz880Y+5caw1JmtiwpkEqPxg==" saltValue="fiKA/HyI8LoDc4fzhCgCU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ABB97-3647-8644-AFC3-E3B6532F626C}">
  <sheetPr codeName="Sheet10">
    <pageSetUpPr fitToPage="1"/>
  </sheetPr>
  <dimension ref="A1:M52"/>
  <sheetViews>
    <sheetView showGridLines="0" showZeros="0" zoomScale="90" zoomScaleNormal="90" workbookViewId="0">
      <selection activeCell="D6" sqref="D6"/>
    </sheetView>
  </sheetViews>
  <sheetFormatPr defaultColWidth="8.75" defaultRowHeight="16.899999999999999" customHeight="1" x14ac:dyDescent="0.25"/>
  <cols>
    <col min="1" max="1" width="2.75" style="4" customWidth="1"/>
    <col min="2" max="2" width="26.25" style="4" customWidth="1"/>
    <col min="3" max="3" width="21.25" style="4" customWidth="1"/>
    <col min="4" max="5" width="16.75" style="4" customWidth="1"/>
    <col min="6" max="6" width="19.75" style="4" customWidth="1"/>
    <col min="7" max="7" width="18.75" style="4" customWidth="1"/>
    <col min="8" max="8" width="20.625" style="4" customWidth="1"/>
    <col min="9" max="9" width="15.25" style="4" customWidth="1"/>
    <col min="10" max="10" width="8.75" style="4" customWidth="1"/>
    <col min="11" max="11" width="9" style="4" customWidth="1"/>
    <col min="12" max="16384" width="8.75" style="4"/>
  </cols>
  <sheetData>
    <row r="1" spans="1:8" ht="16.899999999999999" customHeight="1" thickBot="1" x14ac:dyDescent="0.3">
      <c r="A1" s="54"/>
      <c r="B1" s="618"/>
      <c r="C1" s="618"/>
      <c r="D1" s="618"/>
      <c r="E1" s="618"/>
      <c r="F1" s="618"/>
      <c r="G1" s="618"/>
      <c r="H1" s="618"/>
    </row>
    <row r="2" spans="1:8" ht="16.899999999999999" customHeight="1" x14ac:dyDescent="0.25">
      <c r="B2" s="638" t="str">
        <f>LEFT('1. Dashboard'!$B$8,4)&amp;" Levy Rate Calculation Worksheet
(For County Use Only)"</f>
        <v>2026 Levy Rate Calculation Worksheet
(For County Use Only)</v>
      </c>
      <c r="C2" s="639"/>
      <c r="D2" s="639"/>
      <c r="E2" s="639"/>
      <c r="F2" s="639"/>
      <c r="G2" s="639"/>
      <c r="H2" s="640"/>
    </row>
    <row r="3" spans="1:8" ht="16.899999999999999" customHeight="1" thickBot="1" x14ac:dyDescent="0.3">
      <c r="B3" s="641"/>
      <c r="C3" s="642"/>
      <c r="D3" s="642"/>
      <c r="E3" s="642"/>
      <c r="F3" s="642"/>
      <c r="G3" s="642"/>
      <c r="H3" s="643"/>
    </row>
    <row r="4" spans="1:8" ht="16.899999999999999" customHeight="1" thickBot="1" x14ac:dyDescent="0.3">
      <c r="B4" s="58" t="s">
        <v>73</v>
      </c>
      <c r="C4" s="654" t="str">
        <f>IF('1. Dashboard'!G13&lt;&gt;0,'1. Dashboard'!G13,"")</f>
        <v/>
      </c>
      <c r="D4" s="654"/>
      <c r="E4" s="654"/>
      <c r="F4" s="654"/>
      <c r="G4" s="654"/>
      <c r="H4" s="655"/>
    </row>
    <row r="5" spans="1:8" ht="16.899999999999999" customHeight="1" thickBot="1" x14ac:dyDescent="0.3">
      <c r="B5" s="619" t="str">
        <f>IF('1. Dashboard'!$G$10="Taxing District Rep", "This page for County Clerk's Office use only. User type can be changed on the Dashboard tab.", "")</f>
        <v>This page for County Clerk's Office use only. User type can be changed on the Dashboard tab.</v>
      </c>
      <c r="C5" s="619"/>
      <c r="D5" s="619"/>
      <c r="E5" s="620"/>
      <c r="F5" s="620"/>
      <c r="G5" s="620"/>
      <c r="H5" s="620"/>
    </row>
    <row r="6" spans="1:8" ht="16.899999999999999" customHeight="1" thickBot="1" x14ac:dyDescent="0.3">
      <c r="B6" s="659" t="s">
        <v>1294</v>
      </c>
      <c r="C6" s="660"/>
      <c r="D6" s="252"/>
      <c r="E6" s="661" t="str">
        <f>IF($D$6="Yes","Some funds may not generate revenue for Urban Renewal (see below).","Cells related to urban renewal will be hidden unless necessary.")</f>
        <v>Cells related to urban renewal will be hidden unless necessary.</v>
      </c>
      <c r="F6" s="619"/>
      <c r="G6" s="619"/>
      <c r="H6" s="662"/>
    </row>
    <row r="7" spans="1:8" ht="16.899999999999999" customHeight="1" thickBot="1" x14ac:dyDescent="0.3">
      <c r="B7" s="619"/>
      <c r="C7" s="619"/>
      <c r="D7" s="619"/>
      <c r="E7" s="619"/>
      <c r="F7" s="619"/>
      <c r="G7" s="619"/>
      <c r="H7" s="619"/>
    </row>
    <row r="8" spans="1:8" ht="16.899999999999999" customHeight="1" x14ac:dyDescent="0.25">
      <c r="B8" s="645" t="str">
        <f>IF(OR(DistrictType="Fire",DistrictType="Ambulance"),"Fire and ambulance districts may opt out of generating revenue for RAAs created prior to 7/1/2025."&amp;" Fire and ambulance districts also do not generate revenue for RAAs created or modified on or after 7/1/2025 unless the district has opted to generate revenue for the RAA.","")</f>
        <v/>
      </c>
      <c r="C8" s="646"/>
      <c r="D8" s="646"/>
      <c r="E8" s="646"/>
      <c r="F8" s="646"/>
      <c r="G8" s="646"/>
      <c r="H8" s="647"/>
    </row>
    <row r="9" spans="1:8" ht="16.5" customHeight="1" x14ac:dyDescent="0.25">
      <c r="B9" s="648"/>
      <c r="C9" s="649"/>
      <c r="D9" s="649"/>
      <c r="E9" s="649"/>
      <c r="F9" s="649"/>
      <c r="G9" s="649"/>
      <c r="H9" s="650"/>
    </row>
    <row r="10" spans="1:8" ht="16.899999999999999" customHeight="1" thickBot="1" x14ac:dyDescent="0.3">
      <c r="B10" s="651"/>
      <c r="C10" s="652"/>
      <c r="D10" s="652"/>
      <c r="E10" s="652"/>
      <c r="F10" s="652"/>
      <c r="G10" s="652"/>
      <c r="H10" s="653"/>
    </row>
    <row r="11" spans="1:8" ht="16.899999999999999" customHeight="1" x14ac:dyDescent="0.25">
      <c r="B11" s="624" t="s">
        <v>53</v>
      </c>
      <c r="C11" s="622" t="str">
        <f>IF($D$6="Yes","Net Taxable
Market Value
Less U/R Increment","Net Taxable
Market Value")</f>
        <v>Net Taxable
Market Value</v>
      </c>
      <c r="D11" s="622" t="s">
        <v>1272</v>
      </c>
      <c r="E11" s="622" t="s">
        <v>1307</v>
      </c>
      <c r="F11" s="626" t="s">
        <v>1332</v>
      </c>
      <c r="G11" s="627"/>
      <c r="H11" s="628"/>
    </row>
    <row r="12" spans="1:8" ht="16.899999999999999" customHeight="1" x14ac:dyDescent="0.25">
      <c r="B12" s="624"/>
      <c r="C12" s="622"/>
      <c r="D12" s="622"/>
      <c r="E12" s="622"/>
      <c r="F12" s="629"/>
      <c r="G12" s="630"/>
      <c r="H12" s="631"/>
    </row>
    <row r="13" spans="1:8" ht="16.899999999999999" customHeight="1" x14ac:dyDescent="0.25">
      <c r="B13" s="624"/>
      <c r="C13" s="622"/>
      <c r="D13" s="622"/>
      <c r="E13" s="622"/>
      <c r="F13" s="632" t="str">
        <f>IF(DistrictType="Ambulance",ExtraInfo!$E30,
IF(DistrictType="Auditorium",ExtraInfo!$F30,
IF(DistrictType="Cemetery",ExtraInfo!$G30,
IF(DistrictType="City",ExtraInfo!$H30,
IF(DistrictType="Community Infrastructure",ExtraInfo!$I30,
IF(DistrictType="County",ExtraInfo!$J30,
IF(DistrictType="County w/Countywide Road and Bridge",ExtraInfo!$K30,
IF(DistrictType="Extermination",ExtraInfo!$L30,
IF(DistrictType="Fire",ExtraInfo!$M30,
IF(DistrictType="Flood Control",ExtraInfo!$N30,
IF(DistrictType="Highway",ExtraInfo!$O30,
IF(DistrictType="Hospital",ExtraInfo!$P30,
IF(DistrictType="Junior College",ExtraInfo!$Q30,
IF(DistrictType="Library",ExtraInfo!$R30,
IF(DistrictType="Mosquito Abatement",ExtraInfo!$S30,
IF(DistrictType="Port",ExtraInfo!$T30,
IF(DistrictType="Recreation",ExtraInfo!$U30,
IF(DistrictType="School",ExtraInfo!$V30,
IF(DistrictType="Sewer and Water",ExtraInfo!$W30,
IF(DistrictType="Sewer incl Rec Sewer",ExtraInfo!$X30,
IF(DistrictType="Water",ExtraInfo!$Y30,
IF(DistrictType="Watershed",ExtraInfo!$Z30,""))))))))))))))))))))))</f>
        <v/>
      </c>
      <c r="G13" s="633"/>
      <c r="H13" s="634"/>
    </row>
    <row r="14" spans="1:8" ht="16.5" customHeight="1" x14ac:dyDescent="0.25">
      <c r="B14" s="625"/>
      <c r="C14" s="623"/>
      <c r="D14" s="623"/>
      <c r="E14" s="623"/>
      <c r="F14" s="632" t="str">
        <f>IF(DistrictType="Ambulance",ExtraInfo!$E31,
IF(DistrictType="Auditorium",ExtraInfo!$F31,
IF(DistrictType="Cemetery",ExtraInfo!$G31,
IF(DistrictType="City",ExtraInfo!$H31,
IF(DistrictType="Community Infrastructure",ExtraInfo!$I31,
IF(DistrictType="County",ExtraInfo!$J31,
IF(DistrictType="County w/Countywide Road and Bridge",ExtraInfo!$K31,
IF(DistrictType="Extermination",ExtraInfo!$L31,
IF(DistrictType="Fire",ExtraInfo!$M31,
IF(DistrictType="Flood Control",ExtraInfo!$N31,
IF(DistrictType="Highway",ExtraInfo!$O31,
IF(DistrictType="Hospital",ExtraInfo!$P31,
IF(DistrictType="Junior College",ExtraInfo!$Q31,
IF(DistrictType="Library",ExtraInfo!$R31,
IF(DistrictType="Mosquito Abatement",ExtraInfo!$S31,
IF(DistrictType="Port",ExtraInfo!$T31,
IF(DistrictType="Recreation",ExtraInfo!$U31,
IF(DistrictType="School",ExtraInfo!$V31,
IF(DistrictType="Sewer and Water",ExtraInfo!$W31,
IF(DistrictType="Sewer incl Rec Sewer",ExtraInfo!$X31,
IF(DistrictType="Water",ExtraInfo!$Y31,
IF(DistrictType="Watershed",ExtraInfo!$Z31,""))))))))))))))))))))))</f>
        <v/>
      </c>
      <c r="G14" s="633"/>
      <c r="H14" s="634"/>
    </row>
    <row r="15" spans="1:8" ht="16.899999999999999" customHeight="1" x14ac:dyDescent="0.25">
      <c r="B15" s="51">
        <f>'1. Dashboard'!G16</f>
        <v>0</v>
      </c>
      <c r="C15" s="35"/>
      <c r="D15" s="35"/>
      <c r="E15" s="35"/>
      <c r="F15" s="632" t="str">
        <f>IF(DistrictType="Ambulance",ExtraInfo!$E32,
IF(DistrictType="Auditorium",ExtraInfo!$F32,
IF(DistrictType="Cemetery",ExtraInfo!$G32,
IF(DistrictType="City",ExtraInfo!$H32,
IF(DistrictType="Community Infrastructure",ExtraInfo!$I32,
IF(DistrictType="County",ExtraInfo!$J32,
IF(DistrictType="County w/Countywide Road and Bridge",ExtraInfo!$K32,
IF(DistrictType="Extermination",ExtraInfo!$L32,
IF(DistrictType="Fire",ExtraInfo!$M32,
IF(DistrictType="Flood Control",ExtraInfo!$N32,
IF(DistrictType="Highway",ExtraInfo!$O32,
IF(DistrictType="Hospital",ExtraInfo!$P32,
IF(DistrictType="Junior College",ExtraInfo!$Q32,
IF(DistrictType="Library",ExtraInfo!$R32,
IF(DistrictType="Mosquito Abatement",ExtraInfo!$S32,
IF(DistrictType="Port",ExtraInfo!$T32,
IF(DistrictType="Recreation",ExtraInfo!$U32,
IF(DistrictType="School",ExtraInfo!$V32,
IF(DistrictType="Sewer and Water",ExtraInfo!$W32,
IF(DistrictType="Sewer incl Rec Sewer",ExtraInfo!$X32,
IF(DistrictType="Water",ExtraInfo!$Y32,
IF(DistrictType="Watershed",ExtraInfo!$Z32,""))))))))))))))))))))))</f>
        <v/>
      </c>
      <c r="G15" s="633"/>
      <c r="H15" s="634"/>
    </row>
    <row r="16" spans="1:8" ht="16.899999999999999" customHeight="1" x14ac:dyDescent="0.25">
      <c r="B16" s="51" t="str">
        <f>'1. Dashboard'!G17</f>
        <v xml:space="preserve"> </v>
      </c>
      <c r="C16" s="35"/>
      <c r="D16" s="35"/>
      <c r="E16" s="35"/>
      <c r="F16" s="632" t="str">
        <f>IF(DistrictType="Ambulance",ExtraInfo!$E33,
IF(DistrictType="Auditorium",ExtraInfo!$F33,
IF(DistrictType="Cemetery",ExtraInfo!$G33,
IF(DistrictType="City",ExtraInfo!$H33,
IF(DistrictType="Community Infrastructure",ExtraInfo!$I33,
IF(DistrictType="County",ExtraInfo!$J33,
IF(DistrictType="County w/Countywide Road and Bridge",ExtraInfo!$K33,
IF(DistrictType="Extermination",ExtraInfo!$L33,
IF(DistrictType="Fire",ExtraInfo!$M33,
IF(DistrictType="Flood Control",ExtraInfo!$N33,
IF(DistrictType="Highway",ExtraInfo!$O33,
IF(DistrictType="Hospital",ExtraInfo!$P33,
IF(DistrictType="Junior College",ExtraInfo!$Q33,
IF(DistrictType="Library",ExtraInfo!$R33,
IF(DistrictType="Mosquito Abatement",ExtraInfo!$S33,
IF(DistrictType="Port",ExtraInfo!$T33,
IF(DistrictType="Recreation",ExtraInfo!$U33,
IF(DistrictType="School",ExtraInfo!$V33,
IF(DistrictType="Sewer and Water",ExtraInfo!$W33,
IF(DistrictType="Sewer incl Rec Sewer",ExtraInfo!$X33,
IF(DistrictType="Water",ExtraInfo!$Y33,
IF(DistrictType="Watershed",ExtraInfo!$Z33,""))))))))))))))))))))))</f>
        <v/>
      </c>
      <c r="G16" s="633"/>
      <c r="H16" s="634"/>
    </row>
    <row r="17" spans="2:8" ht="16.899999999999999" customHeight="1" x14ac:dyDescent="0.25">
      <c r="B17" s="51" t="str">
        <f>'1. Dashboard'!G18</f>
        <v xml:space="preserve"> </v>
      </c>
      <c r="C17" s="35"/>
      <c r="D17" s="35"/>
      <c r="E17" s="35"/>
      <c r="F17" s="632" t="str">
        <f>IF(DistrictType="Ambulance",ExtraInfo!$E34,
IF(DistrictType="Auditorium",ExtraInfo!$F34,
IF(DistrictType="Cemetery",ExtraInfo!$G34,
IF(DistrictType="City",ExtraInfo!$H34,
IF(DistrictType="Community Infrastructure",ExtraInfo!$I34,
IF(DistrictType="County",ExtraInfo!$J34,
IF(DistrictType="County w/Countywide Road and Bridge",ExtraInfo!$K34,
IF(DistrictType="Extermination",ExtraInfo!$L34,
IF(DistrictType="Fire",ExtraInfo!$M34,
IF(DistrictType="Flood Control",ExtraInfo!$N34,
IF(DistrictType="Highway",ExtraInfo!$O34,
IF(DistrictType="Hospital",ExtraInfo!$P34,
IF(DistrictType="Junior College",ExtraInfo!$Q34,
IF(DistrictType="Library",ExtraInfo!$R34,
IF(DistrictType="Mosquito Abatement",ExtraInfo!$S34,
IF(DistrictType="Port",ExtraInfo!$T34,
IF(DistrictType="Recreation",ExtraInfo!$U34,
IF(DistrictType="School",ExtraInfo!$V34,
IF(DistrictType="Sewer and Water",ExtraInfo!$W34,
IF(DistrictType="Sewer incl Rec Sewer",ExtraInfo!$X34,
IF(DistrictType="Water",ExtraInfo!$Y34,
IF(DistrictType="Watershed",ExtraInfo!$Z34,""))))))))))))))))))))))</f>
        <v/>
      </c>
      <c r="G17" s="633"/>
      <c r="H17" s="634"/>
    </row>
    <row r="18" spans="2:8" ht="16.899999999999999" customHeight="1" thickBot="1" x14ac:dyDescent="0.3">
      <c r="B18" s="52" t="str">
        <f>'1. Dashboard'!G19</f>
        <v xml:space="preserve"> </v>
      </c>
      <c r="C18" s="36"/>
      <c r="D18" s="36"/>
      <c r="E18" s="36"/>
      <c r="F18" s="632" t="str">
        <f>IF(DistrictType="Ambulance",ExtraInfo!$E35,
IF(DistrictType="Auditorium",ExtraInfo!$F35,
IF(DistrictType="Cemetery",ExtraInfo!$G35,
IF(DistrictType="City",ExtraInfo!$H35,
IF(DistrictType="Community Infrastructure",ExtraInfo!$I35,
IF(DistrictType="County",ExtraInfo!$J35,
IF(DistrictType="County w/Countywide Road and Bridge",ExtraInfo!$K35,
IF(DistrictType="Extermination",ExtraInfo!$L35,
IF(DistrictType="Fire",ExtraInfo!$M35,
IF(DistrictType="Flood Control",ExtraInfo!$N35,
IF(DistrictType="Highway",ExtraInfo!$O35,
IF(DistrictType="Hospital",ExtraInfo!$P35,
IF(DistrictType="Junior College",ExtraInfo!$Q35,
IF(DistrictType="Library",ExtraInfo!$R35,
IF(DistrictType="Mosquito Abatement",ExtraInfo!$S35,
IF(DistrictType="Port",ExtraInfo!$T35,
IF(DistrictType="Recreation",ExtraInfo!$U35,
IF(DistrictType="School",ExtraInfo!$V35,
IF(DistrictType="Sewer and Water",ExtraInfo!$W35,
IF(DistrictType="Sewer incl Rec Sewer",ExtraInfo!$X35,
IF(DistrictType="Water",ExtraInfo!$Y35,
IF(DistrictType="Watershed",ExtraInfo!$Z35,""))))))))))))))))))))))</f>
        <v/>
      </c>
      <c r="G18" s="633"/>
      <c r="H18" s="634"/>
    </row>
    <row r="19" spans="2:8" ht="16.899999999999999" customHeight="1" thickTop="1" thickBot="1" x14ac:dyDescent="0.3">
      <c r="B19" s="213" t="s">
        <v>54</v>
      </c>
      <c r="C19" s="214">
        <f t="shared" ref="C19:E19" si="0">SUM(C15:C18)</f>
        <v>0</v>
      </c>
      <c r="D19" s="214">
        <f t="shared" si="0"/>
        <v>0</v>
      </c>
      <c r="E19" s="214">
        <f t="shared" si="0"/>
        <v>0</v>
      </c>
      <c r="F19" s="635" t="str">
        <f>IF(DistrictType="Ambulance",ExtraInfo!$E36,
IF(DistrictType="Auditorium",ExtraInfo!$F36,
IF(DistrictType="Cemetery",ExtraInfo!$G36,
IF(DistrictType="City",ExtraInfo!$H36,
IF(DistrictType="Community Infrastructure",ExtraInfo!$I36,
IF(DistrictType="County",ExtraInfo!$J36,
IF(DistrictType="County w/Countywide Road and Bridge",ExtraInfo!$K36,
IF(DistrictType="Extermination",ExtraInfo!$L36,
IF(DistrictType="Fire",ExtraInfo!$M36,
IF(DistrictType="Flood Control",ExtraInfo!$N36,
IF(DistrictType="Highway",ExtraInfo!$O36,
IF(DistrictType="Hospital",ExtraInfo!$P36,
IF(DistrictType="Junior College",ExtraInfo!$Q36,
IF(DistrictType="Library",ExtraInfo!$R36,
IF(DistrictType="Mosquito Abatement",ExtraInfo!$S36,
IF(DistrictType="Port",ExtraInfo!$T36,
IF(DistrictType="Recreation",ExtraInfo!$U36,
IF(DistrictType="School",ExtraInfo!$V36,
IF(DistrictType="Sewer and Water",ExtraInfo!$W36,
IF(DistrictType="Sewer incl Rec Sewer",ExtraInfo!$X36,
IF(DistrictType="Water",ExtraInfo!$Y36,
IF(DistrictType="Watershed",ExtraInfo!$Z36,""))))))))))))))))))))))</f>
        <v/>
      </c>
      <c r="G19" s="636"/>
      <c r="H19" s="637"/>
    </row>
    <row r="20" spans="2:8" ht="16.899999999999999" customHeight="1" thickBot="1" x14ac:dyDescent="0.3">
      <c r="B20" s="621"/>
      <c r="C20" s="621"/>
      <c r="D20" s="621"/>
      <c r="E20" s="621"/>
      <c r="F20" s="618"/>
      <c r="G20" s="618"/>
      <c r="H20" s="618"/>
    </row>
    <row r="21" spans="2:8" ht="16.899999999999999" customHeight="1" thickBot="1" x14ac:dyDescent="0.3">
      <c r="B21" s="656" t="s">
        <v>55</v>
      </c>
      <c r="C21" s="657"/>
      <c r="D21" s="657"/>
      <c r="E21" s="657"/>
      <c r="F21" s="657"/>
      <c r="G21" s="657"/>
      <c r="H21" s="658"/>
    </row>
    <row r="22" spans="2:8" ht="48.75" customHeight="1" x14ac:dyDescent="0.25">
      <c r="B22" s="53" t="s">
        <v>31</v>
      </c>
      <c r="C22" s="74" t="s">
        <v>1303</v>
      </c>
      <c r="D22" s="644" t="str">
        <f>IF($D$6="Yes","Enter U/R Increment Value For RAAs That Should NOT Generate 
Revenue From That Specific Fund*","Leave this Column Blank 
(No Urban Renewal)")</f>
        <v>Leave this Column Blank 
(No Urban Renewal)</v>
      </c>
      <c r="E22" s="644"/>
      <c r="F22" s="74" t="s">
        <v>56</v>
      </c>
      <c r="G22" s="74" t="s">
        <v>57</v>
      </c>
      <c r="H22" s="211" t="s">
        <v>58</v>
      </c>
    </row>
    <row r="23" spans="2:8" ht="16.899999999999999" customHeight="1" x14ac:dyDescent="0.25">
      <c r="B23" s="85" t="str">
        <f>IF('3. L-2 Dollar Certification'!B9="","",'3. L-2 Dollar Certification'!B9)</f>
        <v/>
      </c>
      <c r="C23" s="47">
        <f>'3. L-2 Dollar Certification'!H9</f>
        <v>0</v>
      </c>
      <c r="D23" s="612"/>
      <c r="E23" s="613"/>
      <c r="F23" s="21">
        <f>IFERROR(IF(C23="","",ROUND(C23/($C$19+$D23),9)),0)</f>
        <v>0</v>
      </c>
      <c r="G23" s="37"/>
      <c r="H23" s="29" t="str">
        <f t="shared" ref="H23:H30" si="1">IF(OR(F23="",G23=""),"", IF(F23&gt;G23,"Over Max",""))</f>
        <v/>
      </c>
    </row>
    <row r="24" spans="2:8" ht="16.899999999999999" customHeight="1" x14ac:dyDescent="0.25">
      <c r="B24" s="85" t="str">
        <f>IF('3. L-2 Dollar Certification'!B10="","",'3. L-2 Dollar Certification'!B10)</f>
        <v/>
      </c>
      <c r="C24" s="47">
        <f>'3. L-2 Dollar Certification'!H10</f>
        <v>0</v>
      </c>
      <c r="D24" s="612"/>
      <c r="E24" s="613"/>
      <c r="F24" s="21">
        <f t="shared" ref="F24:F40" si="2">IFERROR(IF(C24="","",ROUND(C24/($C$19+$D24),9)),0)</f>
        <v>0</v>
      </c>
      <c r="G24" s="37"/>
      <c r="H24" s="29" t="str">
        <f t="shared" si="1"/>
        <v/>
      </c>
    </row>
    <row r="25" spans="2:8" ht="16.899999999999999" customHeight="1" x14ac:dyDescent="0.25">
      <c r="B25" s="85" t="str">
        <f>IF('3. L-2 Dollar Certification'!B11="","",'3. L-2 Dollar Certification'!B11)</f>
        <v/>
      </c>
      <c r="C25" s="47">
        <f>'3. L-2 Dollar Certification'!H11</f>
        <v>0</v>
      </c>
      <c r="D25" s="612"/>
      <c r="E25" s="613"/>
      <c r="F25" s="21">
        <f t="shared" si="2"/>
        <v>0</v>
      </c>
      <c r="G25" s="37"/>
      <c r="H25" s="29" t="str">
        <f t="shared" si="1"/>
        <v/>
      </c>
    </row>
    <row r="26" spans="2:8" ht="16.899999999999999" customHeight="1" x14ac:dyDescent="0.25">
      <c r="B26" s="85" t="str">
        <f>IF('3. L-2 Dollar Certification'!B12="","",'3. L-2 Dollar Certification'!B12)</f>
        <v/>
      </c>
      <c r="C26" s="47">
        <f>'3. L-2 Dollar Certification'!H12</f>
        <v>0</v>
      </c>
      <c r="D26" s="612"/>
      <c r="E26" s="613"/>
      <c r="F26" s="21">
        <f t="shared" si="2"/>
        <v>0</v>
      </c>
      <c r="G26" s="37"/>
      <c r="H26" s="29" t="str">
        <f t="shared" si="1"/>
        <v/>
      </c>
    </row>
    <row r="27" spans="2:8" ht="16.899999999999999" customHeight="1" x14ac:dyDescent="0.25">
      <c r="B27" s="85" t="str">
        <f>IF('3. L-2 Dollar Certification'!B13="","",'3. L-2 Dollar Certification'!B13)</f>
        <v/>
      </c>
      <c r="C27" s="47">
        <f>'3. L-2 Dollar Certification'!H13</f>
        <v>0</v>
      </c>
      <c r="D27" s="612"/>
      <c r="E27" s="613"/>
      <c r="F27" s="21">
        <f t="shared" si="2"/>
        <v>0</v>
      </c>
      <c r="G27" s="37"/>
      <c r="H27" s="29" t="str">
        <f t="shared" si="1"/>
        <v/>
      </c>
    </row>
    <row r="28" spans="2:8" ht="16.899999999999999" customHeight="1" x14ac:dyDescent="0.25">
      <c r="B28" s="85" t="str">
        <f>IF('3. L-2 Dollar Certification'!B14="","",'3. L-2 Dollar Certification'!B14)</f>
        <v/>
      </c>
      <c r="C28" s="47">
        <f>'3. L-2 Dollar Certification'!H14</f>
        <v>0</v>
      </c>
      <c r="D28" s="612"/>
      <c r="E28" s="613"/>
      <c r="F28" s="21">
        <f t="shared" si="2"/>
        <v>0</v>
      </c>
      <c r="G28" s="37"/>
      <c r="H28" s="29" t="str">
        <f t="shared" si="1"/>
        <v/>
      </c>
    </row>
    <row r="29" spans="2:8" ht="16.899999999999999" customHeight="1" x14ac:dyDescent="0.25">
      <c r="B29" s="85" t="str">
        <f>IF('3. L-2 Dollar Certification'!B15="","",'3. L-2 Dollar Certification'!B15)</f>
        <v/>
      </c>
      <c r="C29" s="48">
        <f>'3. L-2 Dollar Certification'!H15</f>
        <v>0</v>
      </c>
      <c r="D29" s="612"/>
      <c r="E29" s="613"/>
      <c r="F29" s="21">
        <f t="shared" si="2"/>
        <v>0</v>
      </c>
      <c r="G29" s="37"/>
      <c r="H29" s="29" t="str">
        <f t="shared" si="1"/>
        <v/>
      </c>
    </row>
    <row r="30" spans="2:8" ht="16.899999999999999" customHeight="1" x14ac:dyDescent="0.25">
      <c r="B30" s="85" t="str">
        <f>IF('3. L-2 Dollar Certification'!B16="","",'3. L-2 Dollar Certification'!B16)</f>
        <v/>
      </c>
      <c r="C30" s="48">
        <f>'3. L-2 Dollar Certification'!H16</f>
        <v>0</v>
      </c>
      <c r="D30" s="612"/>
      <c r="E30" s="613"/>
      <c r="F30" s="21">
        <f t="shared" si="2"/>
        <v>0</v>
      </c>
      <c r="G30" s="37"/>
      <c r="H30" s="29" t="str">
        <f t="shared" si="1"/>
        <v/>
      </c>
    </row>
    <row r="31" spans="2:8" ht="16.899999999999999" customHeight="1" x14ac:dyDescent="0.25">
      <c r="B31" s="85" t="str">
        <f>IF('3. L-2 Dollar Certification'!B17="","",'3. L-2 Dollar Certification'!B17)</f>
        <v/>
      </c>
      <c r="C31" s="48">
        <f>'3. L-2 Dollar Certification'!H17</f>
        <v>0</v>
      </c>
      <c r="D31" s="612"/>
      <c r="E31" s="613"/>
      <c r="F31" s="21">
        <f t="shared" si="2"/>
        <v>0</v>
      </c>
      <c r="G31" s="37"/>
      <c r="H31" s="29" t="str">
        <f t="shared" ref="H31:H40" si="3">IF(OR(F31="",G31=""),"", IF(F31&gt;G31,"Over Max",""))</f>
        <v/>
      </c>
    </row>
    <row r="32" spans="2:8" ht="16.899999999999999" customHeight="1" x14ac:dyDescent="0.25">
      <c r="B32" s="85" t="str">
        <f>IF('3. L-2 Dollar Certification'!B18="","",'3. L-2 Dollar Certification'!B18)</f>
        <v/>
      </c>
      <c r="C32" s="48">
        <f>'3. L-2 Dollar Certification'!H18</f>
        <v>0</v>
      </c>
      <c r="D32" s="612"/>
      <c r="E32" s="613"/>
      <c r="F32" s="21">
        <f t="shared" si="2"/>
        <v>0</v>
      </c>
      <c r="G32" s="37"/>
      <c r="H32" s="29" t="str">
        <f t="shared" si="3"/>
        <v/>
      </c>
    </row>
    <row r="33" spans="2:13" ht="16.899999999999999" customHeight="1" x14ac:dyDescent="0.25">
      <c r="B33" s="85" t="str">
        <f>IF('3. L-2 Dollar Certification'!B19="","",'3. L-2 Dollar Certification'!B19)</f>
        <v/>
      </c>
      <c r="C33" s="48">
        <f>'3. L-2 Dollar Certification'!H19</f>
        <v>0</v>
      </c>
      <c r="D33" s="612"/>
      <c r="E33" s="613"/>
      <c r="F33" s="21">
        <f t="shared" si="2"/>
        <v>0</v>
      </c>
      <c r="G33" s="37"/>
      <c r="H33" s="29" t="str">
        <f t="shared" si="3"/>
        <v/>
      </c>
    </row>
    <row r="34" spans="2:13" ht="16.899999999999999" customHeight="1" x14ac:dyDescent="0.25">
      <c r="B34" s="85" t="str">
        <f>IF('3. L-2 Dollar Certification'!B20="","",'3. L-2 Dollar Certification'!B20)</f>
        <v/>
      </c>
      <c r="C34" s="48">
        <f>'3. L-2 Dollar Certification'!H20</f>
        <v>0</v>
      </c>
      <c r="D34" s="612"/>
      <c r="E34" s="613"/>
      <c r="F34" s="21">
        <f t="shared" si="2"/>
        <v>0</v>
      </c>
      <c r="G34" s="37"/>
      <c r="H34" s="29" t="str">
        <f t="shared" si="3"/>
        <v/>
      </c>
    </row>
    <row r="35" spans="2:13" ht="16.899999999999999" customHeight="1" x14ac:dyDescent="0.25">
      <c r="B35" s="85" t="str">
        <f>IF('3. L-2 Dollar Certification'!B21="","",'3. L-2 Dollar Certification'!B21)</f>
        <v/>
      </c>
      <c r="C35" s="48">
        <f>'3. L-2 Dollar Certification'!H21</f>
        <v>0</v>
      </c>
      <c r="D35" s="612"/>
      <c r="E35" s="613"/>
      <c r="F35" s="21">
        <f t="shared" si="2"/>
        <v>0</v>
      </c>
      <c r="G35" s="37"/>
      <c r="H35" s="29" t="str">
        <f t="shared" si="3"/>
        <v/>
      </c>
    </row>
    <row r="36" spans="2:13" ht="16.899999999999999" customHeight="1" x14ac:dyDescent="0.25">
      <c r="B36" s="85" t="str">
        <f>IF('3. L-2 Dollar Certification'!B22="","",'3. L-2 Dollar Certification'!B22)</f>
        <v/>
      </c>
      <c r="C36" s="48">
        <f>'3. L-2 Dollar Certification'!H22</f>
        <v>0</v>
      </c>
      <c r="D36" s="612"/>
      <c r="E36" s="613"/>
      <c r="F36" s="21">
        <f t="shared" si="2"/>
        <v>0</v>
      </c>
      <c r="G36" s="37"/>
      <c r="H36" s="29" t="str">
        <f t="shared" si="3"/>
        <v/>
      </c>
    </row>
    <row r="37" spans="2:13" ht="16.899999999999999" customHeight="1" x14ac:dyDescent="0.25">
      <c r="B37" s="85" t="str">
        <f>IF('3. L-2 Dollar Certification'!B23="","",'3. L-2 Dollar Certification'!B23)</f>
        <v/>
      </c>
      <c r="C37" s="48">
        <f>'3. L-2 Dollar Certification'!H23</f>
        <v>0</v>
      </c>
      <c r="D37" s="612"/>
      <c r="E37" s="613"/>
      <c r="F37" s="21">
        <f t="shared" si="2"/>
        <v>0</v>
      </c>
      <c r="G37" s="37"/>
      <c r="H37" s="29" t="str">
        <f t="shared" si="3"/>
        <v/>
      </c>
    </row>
    <row r="38" spans="2:13" ht="16.899999999999999" customHeight="1" x14ac:dyDescent="0.25">
      <c r="B38" s="85" t="str">
        <f>IF('3. L-2 Dollar Certification'!C24="","",RIGHT('3. L-2 Dollar Certification'!C24,19))</f>
        <v/>
      </c>
      <c r="C38" s="48">
        <f>'3. L-2 Dollar Certification'!H24</f>
        <v>0</v>
      </c>
      <c r="D38" s="612"/>
      <c r="E38" s="613"/>
      <c r="F38" s="21">
        <f t="shared" si="2"/>
        <v>0</v>
      </c>
      <c r="G38" s="37"/>
      <c r="H38" s="29" t="str">
        <f t="shared" si="3"/>
        <v/>
      </c>
    </row>
    <row r="39" spans="2:13" ht="16.899999999999999" customHeight="1" x14ac:dyDescent="0.25">
      <c r="B39" s="85" t="str">
        <f>IF('3. L-2 Dollar Certification'!C25="","",RIGHT('3. L-2 Dollar Certification'!C25,19))</f>
        <v/>
      </c>
      <c r="C39" s="48">
        <f>'3. L-2 Dollar Certification'!H25</f>
        <v>0</v>
      </c>
      <c r="D39" s="612"/>
      <c r="E39" s="613"/>
      <c r="F39" s="21">
        <f t="shared" si="2"/>
        <v>0</v>
      </c>
      <c r="G39" s="38"/>
      <c r="H39" s="221" t="str">
        <f t="shared" si="3"/>
        <v/>
      </c>
    </row>
    <row r="40" spans="2:13" ht="16.899999999999999" customHeight="1" thickBot="1" x14ac:dyDescent="0.3">
      <c r="B40" s="215" t="str">
        <f>IF('3. L-2 Dollar Certification'!C26="","",'3. L-2 Dollar Certification'!C26)</f>
        <v/>
      </c>
      <c r="C40" s="48">
        <f>'3. L-2 Dollar Certification'!H26</f>
        <v>0</v>
      </c>
      <c r="D40" s="614"/>
      <c r="E40" s="615"/>
      <c r="F40" s="216">
        <f t="shared" si="2"/>
        <v>0</v>
      </c>
      <c r="G40" s="38"/>
      <c r="H40" s="222" t="str">
        <f t="shared" si="3"/>
        <v/>
      </c>
    </row>
    <row r="41" spans="2:13" ht="16.899999999999999" customHeight="1" thickTop="1" thickBot="1" x14ac:dyDescent="0.3">
      <c r="B41" s="217" t="s">
        <v>78</v>
      </c>
      <c r="C41" s="218">
        <f>SUM(C23:C40)</f>
        <v>0</v>
      </c>
      <c r="D41" s="667"/>
      <c r="E41" s="668"/>
      <c r="F41" s="219">
        <f>SUM(F23:F40)</f>
        <v>0</v>
      </c>
      <c r="G41" s="669"/>
      <c r="H41" s="670"/>
    </row>
    <row r="42" spans="2:13" ht="16.899999999999999" customHeight="1" thickBot="1" x14ac:dyDescent="0.3">
      <c r="B42" s="227" t="s">
        <v>75</v>
      </c>
      <c r="C42" s="228"/>
      <c r="D42" s="228"/>
      <c r="E42" s="228"/>
      <c r="F42" s="228"/>
      <c r="G42" s="228"/>
      <c r="H42" s="229"/>
      <c r="I42" s="673" t="str">
        <f>IF('1. Dashboard'!$G$12="School","What levy rates would have been without SDFF reductions:","")</f>
        <v/>
      </c>
      <c r="J42" s="674"/>
      <c r="K42" s="674"/>
      <c r="L42" s="674"/>
      <c r="M42" s="674"/>
    </row>
    <row r="43" spans="2:13" ht="16.899999999999999" customHeight="1" x14ac:dyDescent="0.25">
      <c r="B43" s="84">
        <f>'3. L-2 Dollar Certification'!B33</f>
        <v>0</v>
      </c>
      <c r="C43" s="83">
        <f>'3. L-2 Dollar Certification'!H33</f>
        <v>0</v>
      </c>
      <c r="D43" s="612"/>
      <c r="E43" s="613"/>
      <c r="F43" s="21">
        <f t="shared" ref="F43:F49" si="4">IFERROR(IF(C43="","",ROUND(C43/($C$19+$D43),9)),0)</f>
        <v>0</v>
      </c>
      <c r="G43" s="66"/>
      <c r="H43" s="223" t="str">
        <f t="shared" ref="H43:H49" si="5">IF(OR(F43="",G43=""),"", IF(F43&gt;G43,"Over Max",""))</f>
        <v/>
      </c>
      <c r="I43" s="675" t="str">
        <f>IF('1. Dashboard'!$G$12="School",IFERROR(
    IF(C43="","",ROUND((C43+'3. L-2 Dollar Certification'!F33)/($C$19+$D43),9)),""),"")</f>
        <v/>
      </c>
      <c r="J43" s="676"/>
      <c r="K43" s="676"/>
      <c r="L43" s="676"/>
      <c r="M43" s="676"/>
    </row>
    <row r="44" spans="2:13" ht="16.899999999999999" customHeight="1" x14ac:dyDescent="0.25">
      <c r="B44" s="85">
        <f>'3. L-2 Dollar Certification'!B34</f>
        <v>0</v>
      </c>
      <c r="C44" s="60">
        <f>'3. L-2 Dollar Certification'!H34</f>
        <v>0</v>
      </c>
      <c r="D44" s="612"/>
      <c r="E44" s="613"/>
      <c r="F44" s="21">
        <f t="shared" si="4"/>
        <v>0</v>
      </c>
      <c r="G44" s="61"/>
      <c r="H44" s="224" t="str">
        <f t="shared" si="5"/>
        <v/>
      </c>
      <c r="I44" s="675" t="str">
        <f>IF('1. Dashboard'!$G$12="School",IFERROR(
    IF(C44="","",ROUND((C44+'3. L-2 Dollar Certification'!F34)/($C$19+$D44),9)),""),"")</f>
        <v/>
      </c>
      <c r="J44" s="676"/>
      <c r="K44" s="676"/>
      <c r="L44" s="676"/>
      <c r="M44" s="676"/>
    </row>
    <row r="45" spans="2:13" ht="16.899999999999999" customHeight="1" x14ac:dyDescent="0.25">
      <c r="B45" s="86">
        <f>'3. L-2 Dollar Certification'!B35</f>
        <v>0</v>
      </c>
      <c r="C45" s="47">
        <f>'3. L-2 Dollar Certification'!H35</f>
        <v>0</v>
      </c>
      <c r="D45" s="612"/>
      <c r="E45" s="613"/>
      <c r="F45" s="21">
        <f t="shared" si="4"/>
        <v>0</v>
      </c>
      <c r="G45" s="37"/>
      <c r="H45" s="14" t="str">
        <f t="shared" si="5"/>
        <v/>
      </c>
      <c r="I45" s="675" t="str">
        <f>IF('1. Dashboard'!$G$12="School",IFERROR(
    IF(C45="","",ROUND((C45+'3. L-2 Dollar Certification'!F35)/($C$19+$D45),9)),""),"")</f>
        <v/>
      </c>
      <c r="J45" s="676"/>
      <c r="K45" s="676"/>
      <c r="L45" s="676"/>
      <c r="M45" s="676"/>
    </row>
    <row r="46" spans="2:13" ht="16.899999999999999" customHeight="1" x14ac:dyDescent="0.25">
      <c r="B46" s="86">
        <f>'3. L-2 Dollar Certification'!B36</f>
        <v>0</v>
      </c>
      <c r="C46" s="47">
        <f>'3. L-2 Dollar Certification'!H36</f>
        <v>0</v>
      </c>
      <c r="D46" s="612"/>
      <c r="E46" s="613"/>
      <c r="F46" s="21">
        <f t="shared" si="4"/>
        <v>0</v>
      </c>
      <c r="G46" s="37"/>
      <c r="H46" s="14" t="str">
        <f t="shared" si="5"/>
        <v/>
      </c>
      <c r="I46" s="675" t="str">
        <f>IF('1. Dashboard'!$G$12="School",IFERROR(
    IF(C46="","",ROUND((C46+'3. L-2 Dollar Certification'!F36)/($C$19+$D46),9)),""),"")</f>
        <v/>
      </c>
      <c r="J46" s="676"/>
      <c r="K46" s="676"/>
      <c r="L46" s="676"/>
      <c r="M46" s="676"/>
    </row>
    <row r="47" spans="2:13" ht="16.899999999999999" customHeight="1" x14ac:dyDescent="0.25">
      <c r="B47" s="86">
        <f>'3. L-2 Dollar Certification'!B37</f>
        <v>0</v>
      </c>
      <c r="C47" s="47">
        <f>'3. L-2 Dollar Certification'!H37</f>
        <v>0</v>
      </c>
      <c r="D47" s="612"/>
      <c r="E47" s="613"/>
      <c r="F47" s="21">
        <f t="shared" si="4"/>
        <v>0</v>
      </c>
      <c r="G47" s="37"/>
      <c r="H47" s="14" t="str">
        <f t="shared" si="5"/>
        <v/>
      </c>
      <c r="I47" s="675" t="str">
        <f>IF('1. Dashboard'!$G$12="School",IFERROR(
    IF(C47="","",ROUND((C47+'3. L-2 Dollar Certification'!F37)/($C$19+$D47),9)),""),"")</f>
        <v/>
      </c>
      <c r="J47" s="676"/>
      <c r="K47" s="676"/>
      <c r="L47" s="676"/>
      <c r="M47" s="676"/>
    </row>
    <row r="48" spans="2:13" ht="16.899999999999999" customHeight="1" x14ac:dyDescent="0.25">
      <c r="B48" s="86">
        <f>'3. L-2 Dollar Certification'!B38</f>
        <v>0</v>
      </c>
      <c r="C48" s="47">
        <f>'3. L-2 Dollar Certification'!H38</f>
        <v>0</v>
      </c>
      <c r="D48" s="612"/>
      <c r="E48" s="613"/>
      <c r="F48" s="21">
        <f t="shared" si="4"/>
        <v>0</v>
      </c>
      <c r="G48" s="37"/>
      <c r="H48" s="14" t="str">
        <f t="shared" si="5"/>
        <v/>
      </c>
      <c r="I48" s="675" t="str">
        <f>IF('1. Dashboard'!$G$12="School",IFERROR(
    IF(C48="","",ROUND((C48+'3. L-2 Dollar Certification'!F38)/($C$19+$D48),9)),""),"")</f>
        <v/>
      </c>
      <c r="J48" s="676"/>
      <c r="K48" s="676"/>
      <c r="L48" s="676"/>
      <c r="M48" s="676"/>
    </row>
    <row r="49" spans="2:13" ht="16.899999999999999" customHeight="1" thickBot="1" x14ac:dyDescent="0.3">
      <c r="B49" s="87">
        <f>'3. L-2 Dollar Certification'!B39</f>
        <v>0</v>
      </c>
      <c r="C49" s="81">
        <f>'3. L-2 Dollar Certification'!H39</f>
        <v>0</v>
      </c>
      <c r="D49" s="616"/>
      <c r="E49" s="617"/>
      <c r="F49" s="212">
        <f t="shared" si="4"/>
        <v>0</v>
      </c>
      <c r="G49" s="82"/>
      <c r="H49" s="225" t="str">
        <f t="shared" si="5"/>
        <v/>
      </c>
      <c r="I49" s="675" t="str">
        <f>IF('1. Dashboard'!$G$12="School",IFERROR(
    IF(C49="","",ROUND((C49+'3. L-2 Dollar Certification'!F39)/($C$19+$D49),9)),""),"")</f>
        <v/>
      </c>
      <c r="J49" s="676"/>
      <c r="K49" s="676"/>
      <c r="L49" s="676"/>
      <c r="M49" s="676"/>
    </row>
    <row r="50" spans="2:13" ht="16.899999999999999" customHeight="1" thickTop="1" thickBot="1" x14ac:dyDescent="0.3">
      <c r="B50" s="72" t="s">
        <v>78</v>
      </c>
      <c r="C50" s="73">
        <f>SUM(C43:C49)</f>
        <v>0</v>
      </c>
      <c r="D50" s="671"/>
      <c r="E50" s="672"/>
      <c r="F50" s="88">
        <f>SUM(F43:F49)</f>
        <v>0</v>
      </c>
      <c r="G50" s="669"/>
      <c r="H50" s="670"/>
      <c r="I50" s="675" t="str">
        <f>IF('1. Dashboard'!$G$12="School",
         IF(C50="","",SUM(I43:I49)),"")</f>
        <v/>
      </c>
      <c r="J50" s="676"/>
      <c r="K50" s="676"/>
      <c r="L50" s="676"/>
      <c r="M50" s="676"/>
    </row>
    <row r="51" spans="2:13" ht="16.899999999999999" customHeight="1" thickBot="1" x14ac:dyDescent="0.3">
      <c r="B51" s="69" t="s">
        <v>76</v>
      </c>
      <c r="C51" s="22">
        <f>C41+C50</f>
        <v>0</v>
      </c>
      <c r="D51" s="665"/>
      <c r="E51" s="666"/>
      <c r="F51" s="89">
        <f>F41+F50</f>
        <v>0</v>
      </c>
      <c r="G51" s="663"/>
      <c r="H51" s="664"/>
      <c r="I51" s="675" t="str">
        <f>IF('1. Dashboard'!$G$12="School",
         IF(C51="","",SUM(F41,I50)),"")</f>
        <v/>
      </c>
      <c r="J51" s="676"/>
      <c r="K51" s="676"/>
      <c r="L51" s="676"/>
      <c r="M51" s="676"/>
    </row>
    <row r="52" spans="2:13" ht="16.899999999999999" customHeight="1" x14ac:dyDescent="0.25">
      <c r="B52" s="611" t="s">
        <v>1295</v>
      </c>
      <c r="C52" s="611"/>
      <c r="D52" s="611"/>
      <c r="E52" s="611"/>
      <c r="F52" s="611"/>
      <c r="G52" s="611"/>
      <c r="H52" s="611"/>
    </row>
  </sheetData>
  <sheetProtection algorithmName="SHA-512" hashValue="iWT1pZzpPWuLK/bnLOUCAnVGqgIbwC6/N9Ps+EiZJxCnzT4T7OFuNBi+7ifYZv7ssn8tpoCW3s9WWSsP8Wu3ow==" saltValue="64oURJzL+8wRGpNLUJqZYw==" spinCount="100000" sheet="1" selectLockedCells="1"/>
  <mergeCells count="65">
    <mergeCell ref="I47:M47"/>
    <mergeCell ref="I48:M48"/>
    <mergeCell ref="I49:M49"/>
    <mergeCell ref="I50:M50"/>
    <mergeCell ref="I51:M51"/>
    <mergeCell ref="I42:M42"/>
    <mergeCell ref="I43:M43"/>
    <mergeCell ref="I44:M44"/>
    <mergeCell ref="I45:M45"/>
    <mergeCell ref="I46:M46"/>
    <mergeCell ref="G51:H51"/>
    <mergeCell ref="D51:E51"/>
    <mergeCell ref="D41:E41"/>
    <mergeCell ref="G41:H41"/>
    <mergeCell ref="D50:E50"/>
    <mergeCell ref="G50:H50"/>
    <mergeCell ref="D46:E46"/>
    <mergeCell ref="D47:E47"/>
    <mergeCell ref="D24:E24"/>
    <mergeCell ref="D23:E23"/>
    <mergeCell ref="D22:E22"/>
    <mergeCell ref="B8:H10"/>
    <mergeCell ref="C4:H4"/>
    <mergeCell ref="B21:H21"/>
    <mergeCell ref="F14:H14"/>
    <mergeCell ref="B6:C6"/>
    <mergeCell ref="E6:H6"/>
    <mergeCell ref="D30:E30"/>
    <mergeCell ref="D28:E28"/>
    <mergeCell ref="D27:E27"/>
    <mergeCell ref="D26:E26"/>
    <mergeCell ref="D25:E25"/>
    <mergeCell ref="D29:E29"/>
    <mergeCell ref="B1:H1"/>
    <mergeCell ref="B5:H5"/>
    <mergeCell ref="B20:H20"/>
    <mergeCell ref="C11:C14"/>
    <mergeCell ref="B11:B14"/>
    <mergeCell ref="D11:D14"/>
    <mergeCell ref="E11:E14"/>
    <mergeCell ref="B7:H7"/>
    <mergeCell ref="F11:H12"/>
    <mergeCell ref="F13:H13"/>
    <mergeCell ref="F15:H15"/>
    <mergeCell ref="F19:H19"/>
    <mergeCell ref="F16:H16"/>
    <mergeCell ref="F17:H17"/>
    <mergeCell ref="F18:H18"/>
    <mergeCell ref="B2:H3"/>
    <mergeCell ref="B52:H52"/>
    <mergeCell ref="D48:E48"/>
    <mergeCell ref="D35:E35"/>
    <mergeCell ref="D31:E31"/>
    <mergeCell ref="D45:E45"/>
    <mergeCell ref="D43:E43"/>
    <mergeCell ref="D44:E44"/>
    <mergeCell ref="D39:E39"/>
    <mergeCell ref="D40:E40"/>
    <mergeCell ref="D37:E37"/>
    <mergeCell ref="D36:E36"/>
    <mergeCell ref="D34:E34"/>
    <mergeCell ref="D33:E33"/>
    <mergeCell ref="D32:E32"/>
    <mergeCell ref="D38:E38"/>
    <mergeCell ref="D49:E49"/>
  </mergeCells>
  <conditionalFormatting sqref="A1:I4">
    <cfRule type="expression" dxfId="17" priority="2">
      <formula>UserQuestion="Taxing District Rep"</formula>
    </cfRule>
  </conditionalFormatting>
  <conditionalFormatting sqref="A6:I6">
    <cfRule type="expression" dxfId="16" priority="1">
      <formula>UserQuestion="Taxing District Rep"</formula>
    </cfRule>
  </conditionalFormatting>
  <conditionalFormatting sqref="B7">
    <cfRule type="expression" dxfId="15" priority="3">
      <formula>OR(UserQuestion="Taxing District Rep",RAAquestion="")</formula>
    </cfRule>
  </conditionalFormatting>
  <conditionalFormatting sqref="B52">
    <cfRule type="expression" dxfId="14" priority="6">
      <formula>OR(RAAquestion="",RAAquestion="No")</formula>
    </cfRule>
  </conditionalFormatting>
  <conditionalFormatting sqref="B8:H10">
    <cfRule type="expression" dxfId="13" priority="10">
      <formula>OR(DistrictType="Fire",DistrictType="Ambulance")</formula>
    </cfRule>
    <cfRule type="expression" dxfId="12" priority="15">
      <formula>OR(RAAquestion="",RAAquestion="No")</formula>
    </cfRule>
  </conditionalFormatting>
  <conditionalFormatting sqref="C11:C19">
    <cfRule type="expression" dxfId="11" priority="11">
      <formula>OR(RAAquestion="",RAAquestion="No")</formula>
    </cfRule>
  </conditionalFormatting>
  <conditionalFormatting sqref="D23:E40 D43:E49">
    <cfRule type="expression" dxfId="10" priority="9">
      <formula>OR(RAAquestion="",RAAquestion="No")</formula>
    </cfRule>
  </conditionalFormatting>
  <conditionalFormatting sqref="D11:H19">
    <cfRule type="expression" dxfId="9" priority="18">
      <formula>OR(RAAquestion="",RAAquestion="No")</formula>
    </cfRule>
  </conditionalFormatting>
  <conditionalFormatting sqref="H23:H40 H43:H49">
    <cfRule type="containsText" dxfId="8" priority="20" operator="containsText" text="Over Max">
      <formula>NOT(ISERROR(SEARCH("Over Max",H23)))</formula>
    </cfRule>
  </conditionalFormatting>
  <conditionalFormatting sqref="I7 A8:I60">
    <cfRule type="expression" dxfId="7" priority="5">
      <formula>OR(UserQuestion="Taxing District Rep",RAAquestion="")</formula>
    </cfRule>
  </conditionalFormatting>
  <dataValidations count="1">
    <dataValidation type="list" allowBlank="1" showInputMessage="1" showErrorMessage="1" errorTitle="Error" error="This is a Yes/No question. Do not enter numbers in this field." sqref="D6" xr:uid="{41898207-7A53-4612-8C6D-C418A359FDD2}">
      <formula1>"Yes,No"</formula1>
    </dataValidation>
  </dataValidations>
  <printOptions horizontalCentered="1"/>
  <pageMargins left="0.25" right="0.25" top="0.75" bottom="0.75" header="0.3" footer="0.3"/>
  <pageSetup scale="67"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3" id="{3188F5BF-F291-488B-8DD9-42D650D14EB3}">
            <xm:f>'1. Dashboard'!$G$12="School"</xm:f>
            <x14:dxf>
              <font>
                <b/>
                <i val="0"/>
              </font>
              <fill>
                <patternFill>
                  <bgColor rgb="FFFFFF99"/>
                </patternFill>
              </fill>
              <border>
                <left/>
                <right/>
                <top/>
                <bottom/>
              </border>
            </x14:dxf>
          </x14:cfRule>
          <xm:sqref>I42:M42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BC00-4536-5F47-8EAF-EA2B9D65D578}">
  <sheetPr codeName="Sheet11">
    <pageSetUpPr fitToPage="1"/>
  </sheetPr>
  <dimension ref="A1:I48"/>
  <sheetViews>
    <sheetView showGridLines="0" zoomScale="90" zoomScaleNormal="90" workbookViewId="0">
      <selection activeCell="H46" sqref="H46:I46"/>
    </sheetView>
  </sheetViews>
  <sheetFormatPr defaultColWidth="8.75" defaultRowHeight="16.899999999999999" customHeight="1" x14ac:dyDescent="0.25"/>
  <cols>
    <col min="1" max="1" width="2.75" style="4" customWidth="1"/>
    <col min="2" max="2" width="19.75" style="4" customWidth="1"/>
    <col min="3" max="4" width="14.75" style="4" customWidth="1"/>
    <col min="5" max="5" width="15.5" style="4" customWidth="1"/>
    <col min="6" max="6" width="19" style="4" customWidth="1"/>
    <col min="7" max="7" width="14.75" style="4" customWidth="1"/>
    <col min="8" max="8" width="17.75" style="4" bestFit="1" customWidth="1"/>
    <col min="9" max="9" width="14.25" style="4" customWidth="1"/>
    <col min="10" max="16384" width="8.75" style="4"/>
  </cols>
  <sheetData>
    <row r="1" spans="1:9" ht="16.899999999999999" customHeight="1" thickBot="1" x14ac:dyDescent="0.3">
      <c r="A1" s="54"/>
    </row>
    <row r="2" spans="1:9" ht="16.899999999999999" customHeight="1" x14ac:dyDescent="0.25">
      <c r="B2" s="677" t="str">
        <f>LEFT('1. Dashboard'!$B$8,4)&amp;" Voter Approved Fund Tracker
Attach to L-2 Form If Applicable"</f>
        <v>2026 Voter Approved Fund Tracker
Attach to L-2 Form If Applicable</v>
      </c>
      <c r="C2" s="678"/>
      <c r="D2" s="678"/>
      <c r="E2" s="678"/>
      <c r="F2" s="678"/>
      <c r="G2" s="678"/>
      <c r="H2" s="678"/>
      <c r="I2" s="679"/>
    </row>
    <row r="3" spans="1:9" ht="16.899999999999999" customHeight="1" thickBot="1" x14ac:dyDescent="0.3">
      <c r="B3" s="680"/>
      <c r="C3" s="681"/>
      <c r="D3" s="681"/>
      <c r="E3" s="681"/>
      <c r="F3" s="681"/>
      <c r="G3" s="681"/>
      <c r="H3" s="681"/>
      <c r="I3" s="682"/>
    </row>
    <row r="4" spans="1:9" ht="16.899999999999999" customHeight="1" x14ac:dyDescent="0.25">
      <c r="B4" s="57" t="s">
        <v>1</v>
      </c>
      <c r="C4" s="609" t="str">
        <f>IF('1. Dashboard'!G13&lt;&gt;0,'1. Dashboard'!G13,"")</f>
        <v/>
      </c>
      <c r="D4" s="609"/>
      <c r="E4" s="609"/>
      <c r="F4" s="609"/>
      <c r="G4" s="609"/>
      <c r="H4" s="609"/>
      <c r="I4" s="610"/>
    </row>
    <row r="5" spans="1:9" ht="16.899999999999999" customHeight="1" x14ac:dyDescent="0.25">
      <c r="B5" s="690" t="s">
        <v>37</v>
      </c>
      <c r="C5" s="691"/>
      <c r="D5" s="691"/>
      <c r="E5" s="692"/>
      <c r="F5" s="20" t="s">
        <v>49</v>
      </c>
      <c r="G5" s="707" t="s">
        <v>26</v>
      </c>
      <c r="H5" s="707" t="s">
        <v>38</v>
      </c>
      <c r="I5" s="704" t="s">
        <v>39</v>
      </c>
    </row>
    <row r="6" spans="1:9" ht="16.899999999999999" customHeight="1" x14ac:dyDescent="0.25">
      <c r="B6" s="693"/>
      <c r="C6" s="694"/>
      <c r="D6" s="694"/>
      <c r="E6" s="695"/>
      <c r="F6" s="746" t="s">
        <v>50</v>
      </c>
      <c r="G6" s="708"/>
      <c r="H6" s="708"/>
      <c r="I6" s="705"/>
    </row>
    <row r="7" spans="1:9" ht="16.899999999999999" customHeight="1" thickBot="1" x14ac:dyDescent="0.3">
      <c r="B7" s="696"/>
      <c r="C7" s="697"/>
      <c r="D7" s="697"/>
      <c r="E7" s="698"/>
      <c r="F7" s="747"/>
      <c r="G7" s="709"/>
      <c r="H7" s="709"/>
      <c r="I7" s="706"/>
    </row>
    <row r="8" spans="1:9" ht="4.9000000000000004" customHeight="1" thickBot="1" x14ac:dyDescent="0.3">
      <c r="B8" s="15"/>
      <c r="C8" s="15"/>
      <c r="D8" s="15"/>
      <c r="E8" s="15"/>
      <c r="F8" s="16"/>
      <c r="G8" s="17"/>
      <c r="H8" s="17"/>
      <c r="I8" s="17"/>
    </row>
    <row r="9" spans="1:9" ht="16.899999999999999" customHeight="1" thickBot="1" x14ac:dyDescent="0.3">
      <c r="B9" s="699" t="str">
        <f>IF('1. Dashboard'!G12="School", "Supplemental Funds", "Override Funds Available to All Districts")</f>
        <v>Override Funds Available to All Districts</v>
      </c>
      <c r="C9" s="700"/>
      <c r="D9" s="700"/>
      <c r="E9" s="700"/>
      <c r="F9" s="700"/>
      <c r="G9" s="700"/>
      <c r="H9" s="700"/>
      <c r="I9" s="701"/>
    </row>
    <row r="10" spans="1:9" ht="16.899999999999999" customHeight="1" x14ac:dyDescent="0.25">
      <c r="B10" s="744" t="str">
        <f>IF('1. Dashboard'!G12="School", "Temporary School Supplemental (IC §33-802(3))", "2 Yr Override I.C. §63-802")</f>
        <v>2 Yr Override I.C. §63-802</v>
      </c>
      <c r="C10" s="745"/>
      <c r="D10" s="745"/>
      <c r="E10" s="745"/>
      <c r="F10" s="115"/>
      <c r="G10" s="66"/>
      <c r="H10" s="66"/>
      <c r="I10" s="39"/>
    </row>
    <row r="11" spans="1:9" ht="16.899999999999999" customHeight="1" x14ac:dyDescent="0.25">
      <c r="B11" s="702" t="str">
        <f>IF('1. Dashboard'!G12="School", "Permanent School Supplemental (IC §33-802(5))", "Permanent Override I.C.§63-802")</f>
        <v>Permanent Override I.C.§63-802</v>
      </c>
      <c r="C11" s="703"/>
      <c r="D11" s="703"/>
      <c r="E11" s="703"/>
      <c r="F11" s="116"/>
      <c r="G11" s="37"/>
      <c r="H11" s="37"/>
      <c r="I11" s="40"/>
    </row>
    <row r="12" spans="1:9" ht="16.899999999999999" customHeight="1" x14ac:dyDescent="0.25">
      <c r="B12" s="702" t="str">
        <f>IF('1. Dashboard'!G12="School", "Plant Faciliites to Transfer to Supplemental (IC §33-804)*","")</f>
        <v/>
      </c>
      <c r="C12" s="703"/>
      <c r="D12" s="703"/>
      <c r="E12" s="703"/>
      <c r="F12" s="116"/>
      <c r="G12" s="37"/>
      <c r="H12" s="37"/>
      <c r="I12" s="40"/>
    </row>
    <row r="13" spans="1:9" s="19" customFormat="1" ht="4.9000000000000004" customHeight="1" thickBot="1" x14ac:dyDescent="0.3">
      <c r="B13" s="18"/>
      <c r="C13" s="18"/>
      <c r="D13" s="18"/>
      <c r="E13" s="18"/>
    </row>
    <row r="14" spans="1:9" ht="16.899999999999999" customHeight="1" thickBot="1" x14ac:dyDescent="0.3">
      <c r="B14" s="699" t="str">
        <f>IF('1. Dashboard'!G12="School", "Plant Facilities &amp; COSA Funds", "Plant Facilities Funds for Library, and Community College districts")</f>
        <v>Plant Facilities Funds for Library, and Community College districts</v>
      </c>
      <c r="C14" s="700"/>
      <c r="D14" s="700"/>
      <c r="E14" s="700"/>
      <c r="F14" s="700"/>
      <c r="G14" s="700"/>
      <c r="H14" s="700"/>
      <c r="I14" s="701"/>
    </row>
    <row r="15" spans="1:9" ht="16.899999999999999" customHeight="1" x14ac:dyDescent="0.25">
      <c r="B15" s="686" t="s">
        <v>40</v>
      </c>
      <c r="C15" s="687"/>
      <c r="D15" s="687"/>
      <c r="E15" s="687"/>
      <c r="F15" s="115"/>
      <c r="G15" s="66"/>
      <c r="H15" s="66"/>
      <c r="I15" s="39"/>
    </row>
    <row r="16" spans="1:9" ht="16.899999999999999" customHeight="1" thickBot="1" x14ac:dyDescent="0.3">
      <c r="B16" s="688" t="s">
        <v>41</v>
      </c>
      <c r="C16" s="689"/>
      <c r="D16" s="689"/>
      <c r="E16" s="689"/>
      <c r="F16" s="689"/>
      <c r="G16" s="689"/>
      <c r="H16" s="689"/>
      <c r="I16" s="41"/>
    </row>
    <row r="17" spans="2:9" ht="16.899999999999999" customHeight="1" x14ac:dyDescent="0.25">
      <c r="B17" s="686" t="str">
        <f>IF('1. Dashboard'!G12="School", "Safe School Plant Facilities (Maximum of 20 yrs)", "")</f>
        <v/>
      </c>
      <c r="C17" s="687"/>
      <c r="D17" s="687"/>
      <c r="E17" s="687"/>
      <c r="F17" s="115"/>
      <c r="G17" s="66"/>
      <c r="H17" s="66"/>
      <c r="I17" s="39"/>
    </row>
    <row r="18" spans="2:9" ht="16.899999999999999" customHeight="1" thickBot="1" x14ac:dyDescent="0.3">
      <c r="B18" s="688" t="str">
        <f>IF('1. Dashboard'!G12="School", "If voters approved an increase in the annual amount but did not change the term enter the amount of increase here:", "")</f>
        <v/>
      </c>
      <c r="C18" s="689"/>
      <c r="D18" s="689"/>
      <c r="E18" s="689"/>
      <c r="F18" s="689"/>
      <c r="G18" s="689"/>
      <c r="H18" s="689"/>
      <c r="I18" s="41"/>
    </row>
    <row r="19" spans="2:9" ht="16.899999999999999" customHeight="1" x14ac:dyDescent="0.25">
      <c r="B19" s="748" t="str">
        <f>IF('1. Dashboard'!G12="School", "COSA Funds (50% Voter Approval 10 year)", "")</f>
        <v/>
      </c>
      <c r="C19" s="749"/>
      <c r="D19" s="749"/>
      <c r="E19" s="750"/>
      <c r="F19" s="139"/>
      <c r="G19" s="140"/>
      <c r="H19" s="140"/>
      <c r="I19" s="44"/>
    </row>
    <row r="20" spans="2:9" ht="16.899999999999999" customHeight="1" x14ac:dyDescent="0.25">
      <c r="B20" s="741" t="str">
        <f>IF('1. Dashboard'!G12="School", "COSA Maintenance (2/3 Voter Approval 10 year)", "")</f>
        <v/>
      </c>
      <c r="C20" s="742"/>
      <c r="D20" s="742"/>
      <c r="E20" s="743"/>
      <c r="F20" s="141"/>
      <c r="G20" s="142"/>
      <c r="H20" s="142"/>
      <c r="I20" s="40"/>
    </row>
    <row r="21" spans="2:9" ht="16.899999999999999" customHeight="1" thickBot="1" x14ac:dyDescent="0.3">
      <c r="B21" s="738" t="str">
        <f>IF('1. Dashboard'!G12="School", "COSA Plant Facilities (3 years)", "")</f>
        <v/>
      </c>
      <c r="C21" s="739"/>
      <c r="D21" s="739"/>
      <c r="E21" s="740"/>
      <c r="F21" s="143"/>
      <c r="G21" s="144"/>
      <c r="H21" s="144"/>
      <c r="I21" s="41"/>
    </row>
    <row r="22" spans="2:9" ht="16.899999999999999" customHeight="1" x14ac:dyDescent="0.25">
      <c r="B22" s="685" t="str">
        <f>IF('1. Dashboard'!G12="School", "*Cannot exceed annual amount of Plant Facilities approved by voters.","")</f>
        <v/>
      </c>
      <c r="C22" s="685"/>
      <c r="D22" s="685"/>
      <c r="E22" s="685"/>
      <c r="F22" s="685"/>
      <c r="G22" s="685"/>
      <c r="H22" s="685"/>
      <c r="I22" s="685"/>
    </row>
    <row r="23" spans="2:9" ht="16.899999999999999" customHeight="1" thickBot="1" x14ac:dyDescent="0.3"/>
    <row r="24" spans="2:9" ht="16.899999999999999" customHeight="1" thickBot="1" x14ac:dyDescent="0.3">
      <c r="B24" s="699" t="s">
        <v>42</v>
      </c>
      <c r="C24" s="700"/>
      <c r="D24" s="700"/>
      <c r="E24" s="700"/>
      <c r="F24" s="700"/>
      <c r="G24" s="700"/>
      <c r="H24" s="700"/>
      <c r="I24" s="701"/>
    </row>
    <row r="25" spans="2:9" ht="16.899999999999999" customHeight="1" x14ac:dyDescent="0.25">
      <c r="B25" s="734" t="s">
        <v>48</v>
      </c>
      <c r="C25" s="683" t="s">
        <v>26</v>
      </c>
      <c r="D25" s="683" t="s">
        <v>38</v>
      </c>
      <c r="E25" s="683" t="s">
        <v>43</v>
      </c>
      <c r="F25" s="683" t="s">
        <v>44</v>
      </c>
      <c r="G25" s="683" t="s">
        <v>45</v>
      </c>
      <c r="H25" s="683" t="s">
        <v>51</v>
      </c>
      <c r="I25" s="729" t="s">
        <v>52</v>
      </c>
    </row>
    <row r="26" spans="2:9" ht="16.899999999999999" customHeight="1" x14ac:dyDescent="0.25">
      <c r="B26" s="735"/>
      <c r="C26" s="684"/>
      <c r="D26" s="684"/>
      <c r="E26" s="684"/>
      <c r="F26" s="684"/>
      <c r="G26" s="684"/>
      <c r="H26" s="684"/>
      <c r="I26" s="730"/>
    </row>
    <row r="27" spans="2:9" ht="16.899999999999999" customHeight="1" x14ac:dyDescent="0.25">
      <c r="B27" s="735"/>
      <c r="C27" s="684"/>
      <c r="D27" s="684"/>
      <c r="E27" s="684"/>
      <c r="F27" s="684"/>
      <c r="G27" s="684"/>
      <c r="H27" s="684"/>
      <c r="I27" s="730"/>
    </row>
    <row r="28" spans="2:9" ht="16.899999999999999" customHeight="1" x14ac:dyDescent="0.25">
      <c r="B28" s="117"/>
      <c r="C28" s="113"/>
      <c r="D28" s="113"/>
      <c r="E28" s="42"/>
      <c r="F28" s="43"/>
      <c r="G28" s="43"/>
      <c r="H28" s="33" t="str">
        <f>IF(F28="","",IF(AND(F28=0,G28=0),0,IF(F28=0,1,ROUND((G28/F28-1),2))))</f>
        <v/>
      </c>
      <c r="I28" s="34" t="str">
        <f>IF(AND(OR(H28&lt;-0.2, H28&gt;0.2),
        AND(F28&lt;&gt;"",G28&lt;&gt;"")),
    "YES","")</f>
        <v/>
      </c>
    </row>
    <row r="29" spans="2:9" ht="16.899999999999999" customHeight="1" x14ac:dyDescent="0.25">
      <c r="B29" s="117"/>
      <c r="C29" s="113"/>
      <c r="D29" s="113"/>
      <c r="E29" s="42"/>
      <c r="F29" s="43"/>
      <c r="G29" s="43"/>
      <c r="H29" s="33" t="str">
        <f t="shared" ref="H29:H34" si="0">IF(F29="","",IF(AND(F29=0,G29=0),0,IF(F29=0,1,ROUND((G29/F29-1),2))))</f>
        <v/>
      </c>
      <c r="I29" s="34" t="str">
        <f t="shared" ref="I29:I34" si="1">IF(AND(OR(H29&lt;-0.2, H29&gt;0.2),
        AND(F29&lt;&gt;"",G29&lt;&gt;"")),
    "YES","")</f>
        <v/>
      </c>
    </row>
    <row r="30" spans="2:9" ht="16.899999999999999" customHeight="1" x14ac:dyDescent="0.25">
      <c r="B30" s="117"/>
      <c r="C30" s="113"/>
      <c r="D30" s="113"/>
      <c r="E30" s="42"/>
      <c r="F30" s="43"/>
      <c r="G30" s="43"/>
      <c r="H30" s="33" t="str">
        <f t="shared" si="0"/>
        <v/>
      </c>
      <c r="I30" s="34" t="str">
        <f t="shared" si="1"/>
        <v/>
      </c>
    </row>
    <row r="31" spans="2:9" ht="16.899999999999999" customHeight="1" x14ac:dyDescent="0.25">
      <c r="B31" s="117"/>
      <c r="C31" s="113"/>
      <c r="D31" s="113"/>
      <c r="E31" s="42"/>
      <c r="F31" s="43"/>
      <c r="G31" s="43"/>
      <c r="H31" s="33" t="str">
        <f t="shared" si="0"/>
        <v/>
      </c>
      <c r="I31" s="34" t="str">
        <f t="shared" si="1"/>
        <v/>
      </c>
    </row>
    <row r="32" spans="2:9" ht="16.899999999999999" customHeight="1" x14ac:dyDescent="0.25">
      <c r="B32" s="117"/>
      <c r="C32" s="113"/>
      <c r="D32" s="113"/>
      <c r="E32" s="42"/>
      <c r="F32" s="43"/>
      <c r="G32" s="43"/>
      <c r="H32" s="33" t="str">
        <f t="shared" si="0"/>
        <v/>
      </c>
      <c r="I32" s="34" t="str">
        <f t="shared" si="1"/>
        <v/>
      </c>
    </row>
    <row r="33" spans="2:9" ht="16.899999999999999" customHeight="1" x14ac:dyDescent="0.25">
      <c r="B33" s="117"/>
      <c r="C33" s="113"/>
      <c r="D33" s="113"/>
      <c r="E33" s="42"/>
      <c r="F33" s="43"/>
      <c r="G33" s="43"/>
      <c r="H33" s="33" t="str">
        <f t="shared" si="0"/>
        <v/>
      </c>
      <c r="I33" s="34" t="str">
        <f t="shared" si="1"/>
        <v/>
      </c>
    </row>
    <row r="34" spans="2:9" ht="16.899999999999999" customHeight="1" thickBot="1" x14ac:dyDescent="0.3">
      <c r="B34" s="118"/>
      <c r="C34" s="119"/>
      <c r="D34" s="119"/>
      <c r="E34" s="76"/>
      <c r="F34" s="77"/>
      <c r="G34" s="77"/>
      <c r="H34" s="78" t="str">
        <f t="shared" si="0"/>
        <v/>
      </c>
      <c r="I34" s="79" t="str">
        <f t="shared" si="1"/>
        <v/>
      </c>
    </row>
    <row r="35" spans="2:9" ht="16.899999999999999" customHeight="1" thickBot="1" x14ac:dyDescent="0.3">
      <c r="B35" s="731" t="s">
        <v>46</v>
      </c>
      <c r="C35" s="732"/>
      <c r="D35" s="733"/>
      <c r="E35" s="733"/>
      <c r="F35" s="733"/>
      <c r="G35" s="75">
        <f>SUM(G28:G34)</f>
        <v>0</v>
      </c>
      <c r="H35" s="736"/>
      <c r="I35" s="737"/>
    </row>
    <row r="36" spans="2:9" ht="16.899999999999999" customHeight="1" x14ac:dyDescent="0.25">
      <c r="B36" s="13"/>
      <c r="C36" s="13"/>
      <c r="D36" s="9"/>
      <c r="E36" s="9"/>
      <c r="F36" s="9"/>
      <c r="G36" s="11"/>
      <c r="H36" s="12"/>
      <c r="I36" s="12"/>
    </row>
    <row r="37" spans="2:9" ht="16.899999999999999" customHeight="1" x14ac:dyDescent="0.25">
      <c r="B37" s="719" t="s">
        <v>47</v>
      </c>
      <c r="C37" s="719"/>
      <c r="D37" s="719"/>
      <c r="E37" s="719"/>
      <c r="F37" s="719"/>
      <c r="G37" s="719"/>
      <c r="H37" s="719"/>
      <c r="I37" s="719"/>
    </row>
    <row r="38" spans="2:9" ht="16.899999999999999" customHeight="1" x14ac:dyDescent="0.25">
      <c r="B38" s="726"/>
      <c r="C38" s="727"/>
      <c r="D38" s="727"/>
      <c r="E38" s="727"/>
      <c r="F38" s="727"/>
      <c r="G38" s="727"/>
      <c r="H38" s="727"/>
      <c r="I38" s="728"/>
    </row>
    <row r="39" spans="2:9" ht="16.899999999999999" customHeight="1" x14ac:dyDescent="0.25">
      <c r="B39" s="723"/>
      <c r="C39" s="724"/>
      <c r="D39" s="724"/>
      <c r="E39" s="724"/>
      <c r="F39" s="724"/>
      <c r="G39" s="724"/>
      <c r="H39" s="724"/>
      <c r="I39" s="725"/>
    </row>
    <row r="40" spans="2:9" ht="16.899999999999999" customHeight="1" x14ac:dyDescent="0.25">
      <c r="B40" s="723"/>
      <c r="C40" s="724"/>
      <c r="D40" s="724"/>
      <c r="E40" s="724"/>
      <c r="F40" s="724"/>
      <c r="G40" s="724"/>
      <c r="H40" s="724"/>
      <c r="I40" s="725"/>
    </row>
    <row r="41" spans="2:9" ht="16.899999999999999" customHeight="1" x14ac:dyDescent="0.25">
      <c r="B41" s="723"/>
      <c r="C41" s="724"/>
      <c r="D41" s="724"/>
      <c r="E41" s="724"/>
      <c r="F41" s="724"/>
      <c r="G41" s="724"/>
      <c r="H41" s="724"/>
      <c r="I41" s="725"/>
    </row>
    <row r="42" spans="2:9" ht="16.899999999999999" customHeight="1" x14ac:dyDescent="0.25">
      <c r="B42" s="723"/>
      <c r="C42" s="724"/>
      <c r="D42" s="724"/>
      <c r="E42" s="724"/>
      <c r="F42" s="724"/>
      <c r="G42" s="724"/>
      <c r="H42" s="724"/>
      <c r="I42" s="725"/>
    </row>
    <row r="43" spans="2:9" ht="16.899999999999999" customHeight="1" x14ac:dyDescent="0.25">
      <c r="B43" s="723"/>
      <c r="C43" s="724"/>
      <c r="D43" s="724"/>
      <c r="E43" s="724"/>
      <c r="F43" s="724"/>
      <c r="G43" s="724"/>
      <c r="H43" s="724"/>
      <c r="I43" s="725"/>
    </row>
    <row r="44" spans="2:9" ht="16.899999999999999" customHeight="1" x14ac:dyDescent="0.25">
      <c r="B44" s="720"/>
      <c r="C44" s="721"/>
      <c r="D44" s="721"/>
      <c r="E44" s="721"/>
      <c r="F44" s="721"/>
      <c r="G44" s="721"/>
      <c r="H44" s="721"/>
      <c r="I44" s="722"/>
    </row>
    <row r="45" spans="2:9" ht="16.899999999999999" customHeight="1" thickBot="1" x14ac:dyDescent="0.3"/>
    <row r="46" spans="2:9" ht="21" customHeight="1" thickBot="1" x14ac:dyDescent="0.3">
      <c r="B46" s="715" t="s">
        <v>1356</v>
      </c>
      <c r="C46" s="716"/>
      <c r="D46" s="716"/>
      <c r="E46" s="716"/>
      <c r="F46" s="716"/>
      <c r="G46" s="716"/>
      <c r="H46" s="717"/>
      <c r="I46" s="718"/>
    </row>
    <row r="47" spans="2:9" ht="21" customHeight="1" thickBot="1" x14ac:dyDescent="0.3">
      <c r="B47" s="710" t="s">
        <v>1357</v>
      </c>
      <c r="C47" s="711"/>
      <c r="D47" s="711"/>
      <c r="E47" s="711"/>
      <c r="F47" s="711"/>
      <c r="G47" s="712"/>
      <c r="H47" s="713"/>
      <c r="I47" s="714"/>
    </row>
    <row r="48" spans="2:9" ht="16.899999999999999" customHeight="1" x14ac:dyDescent="0.25">
      <c r="B48" s="4" t="s">
        <v>1388</v>
      </c>
    </row>
  </sheetData>
  <sheetProtection algorithmName="SHA-512" hashValue="SMq/OQ/sgB2PuHXPNMhIvrfqPhX6+wMcc7lME/3l0FXXDOjxPHorbIugsoE9qxJeLx7qdraT7jmTyFD00bCf+g==" saltValue="Kv98xd4EwLkc0kH/tK5Ibg==" spinCount="100000" sheet="1" selectLockedCells="1"/>
  <protectedRanges>
    <protectedRange password="D9AD" sqref="H28:I36" name="Computation_1_1"/>
  </protectedRanges>
  <mergeCells count="43">
    <mergeCell ref="G5:G7"/>
    <mergeCell ref="I25:I27"/>
    <mergeCell ref="B35:F35"/>
    <mergeCell ref="B25:B27"/>
    <mergeCell ref="E25:E27"/>
    <mergeCell ref="D25:D27"/>
    <mergeCell ref="C25:C27"/>
    <mergeCell ref="H35:I35"/>
    <mergeCell ref="B24:I24"/>
    <mergeCell ref="B12:E12"/>
    <mergeCell ref="B21:E21"/>
    <mergeCell ref="B20:E20"/>
    <mergeCell ref="B10:E10"/>
    <mergeCell ref="F6:F7"/>
    <mergeCell ref="B19:E19"/>
    <mergeCell ref="B47:G47"/>
    <mergeCell ref="H47:I47"/>
    <mergeCell ref="B46:G46"/>
    <mergeCell ref="H46:I46"/>
    <mergeCell ref="B37:I37"/>
    <mergeCell ref="B44:I44"/>
    <mergeCell ref="B43:I43"/>
    <mergeCell ref="B40:I40"/>
    <mergeCell ref="B39:I39"/>
    <mergeCell ref="B38:I38"/>
    <mergeCell ref="B42:I42"/>
    <mergeCell ref="B41:I41"/>
    <mergeCell ref="B2:I3"/>
    <mergeCell ref="H25:H27"/>
    <mergeCell ref="B22:I22"/>
    <mergeCell ref="B17:E17"/>
    <mergeCell ref="B18:H18"/>
    <mergeCell ref="G25:G27"/>
    <mergeCell ref="F25:F27"/>
    <mergeCell ref="C4:I4"/>
    <mergeCell ref="B5:E7"/>
    <mergeCell ref="B9:I9"/>
    <mergeCell ref="B16:H16"/>
    <mergeCell ref="B15:E15"/>
    <mergeCell ref="B14:I14"/>
    <mergeCell ref="B11:E11"/>
    <mergeCell ref="I5:I7"/>
    <mergeCell ref="H5:H7"/>
  </mergeCells>
  <conditionalFormatting sqref="B47:G47">
    <cfRule type="expression" dxfId="5" priority="2">
      <formula>$H$46&lt;&gt;"Yes"</formula>
    </cfRule>
  </conditionalFormatting>
  <conditionalFormatting sqref="B46:I46">
    <cfRule type="expression" dxfId="1" priority="1">
      <formula>$H$46="Yes"</formula>
    </cfRule>
  </conditionalFormatting>
  <conditionalFormatting sqref="H47:I48">
    <cfRule type="expression" dxfId="0" priority="3">
      <formula>$H$46&lt;&gt;"Yes"</formula>
    </cfRule>
  </conditionalFormatting>
  <dataValidations count="1">
    <dataValidation type="list" allowBlank="1" showInputMessage="1" showErrorMessage="1" errorTitle="Error" error="This is a Yes/No question. Do not enter numbers in this field." sqref="H46:I46" xr:uid="{6C517787-8C7E-42D3-B157-4F18F36CA711}">
      <formula1>"Yes,No"</formula1>
    </dataValidation>
  </dataValidations>
  <printOptions horizontalCentered="1"/>
  <pageMargins left="0.25" right="0.25" top="0.25" bottom="0.25" header="0.3" footer="0.3"/>
  <pageSetup scale="71"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 id="{51337A78-56D7-8241-AFD1-3E01DBE05A88}">
            <xm:f>AND('1. Dashboard'!$G$12&lt;&gt;"School",'1. Dashboard'!$G$12&lt;&gt;"")</xm:f>
            <x14:dxf>
              <font>
                <color theme="1"/>
              </font>
              <fill>
                <patternFill>
                  <bgColor theme="1"/>
                </patternFill>
              </fill>
            </x14:dxf>
          </x14:cfRule>
          <xm:sqref>B12:I12</xm:sqref>
        </x14:conditionalFormatting>
        <x14:conditionalFormatting xmlns:xm="http://schemas.microsoft.com/office/excel/2006/main">
          <x14:cfRule type="expression" priority="8" id="{B87C7E22-B607-414F-8923-A3B3F621472D}">
            <xm:f>'1. Dashboard'!$G$12&lt;&gt;"School"</xm:f>
            <x14:dxf>
              <font>
                <color auto="1"/>
              </font>
              <fill>
                <patternFill patternType="solid">
                  <bgColor auto="1"/>
                </patternFill>
              </fill>
              <border>
                <left/>
                <right/>
                <bottom/>
              </border>
            </x14:dxf>
          </x14:cfRule>
          <xm:sqref>B17:I17</xm:sqref>
        </x14:conditionalFormatting>
        <x14:conditionalFormatting xmlns:xm="http://schemas.microsoft.com/office/excel/2006/main">
          <x14:cfRule type="expression" priority="11" id="{C71A51DF-2236-064A-ABB3-80AA2D0F2E89}">
            <xm:f>'1. Dashboard'!$G$12&lt;&gt;"School"</xm:f>
            <x14:dxf>
              <font>
                <color auto="1"/>
              </font>
              <fill>
                <patternFill patternType="solid">
                  <bgColor theme="0"/>
                </patternFill>
              </fill>
              <border>
                <left/>
                <right/>
                <top/>
                <bottom/>
              </border>
            </x14:dxf>
          </x14:cfRule>
          <xm:sqref>B18:I21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9A29-5E5E-43AB-BCF2-5F746508E22C}">
  <sheetPr codeName="Sheet6"/>
  <dimension ref="A1:AI1142"/>
  <sheetViews>
    <sheetView zoomScale="70" zoomScaleNormal="70" workbookViewId="0">
      <pane xSplit="7" ySplit="1" topLeftCell="H965" activePane="bottomRight" state="frozen"/>
      <selection pane="topRight" activeCell="D1" sqref="D1"/>
      <selection pane="bottomLeft" activeCell="A2" sqref="A2"/>
      <selection pane="bottomRight" activeCell="I992" sqref="I992"/>
    </sheetView>
  </sheetViews>
  <sheetFormatPr defaultRowHeight="15.75" x14ac:dyDescent="0.25"/>
  <cols>
    <col min="1" max="1" width="10.625" customWidth="1"/>
    <col min="2" max="2" width="6.625" customWidth="1"/>
    <col min="3" max="3" width="12.5" bestFit="1" customWidth="1"/>
    <col min="4" max="4" width="9.875" customWidth="1"/>
    <col min="5" max="5" width="21.875" bestFit="1" customWidth="1"/>
    <col min="6" max="6" width="10.25" customWidth="1"/>
    <col min="7" max="7" width="32.25" bestFit="1" customWidth="1"/>
    <col min="8" max="8" width="9.375" customWidth="1"/>
    <col min="9" max="9" width="15.75" style="92" customWidth="1"/>
    <col min="10" max="10" width="24.25" customWidth="1"/>
    <col min="11" max="11" width="12.875" customWidth="1"/>
    <col min="12" max="12" width="20" customWidth="1"/>
    <col min="13" max="14" width="23.125" customWidth="1"/>
    <col min="15" max="15" width="33.875" customWidth="1"/>
    <col min="16" max="16" width="21.875" customWidth="1"/>
    <col min="17" max="27" width="21.625" customWidth="1"/>
    <col min="28" max="33" width="25.5" customWidth="1"/>
    <col min="34" max="34" width="51" bestFit="1" customWidth="1"/>
    <col min="35" max="35" width="40.625" customWidth="1"/>
  </cols>
  <sheetData>
    <row r="1" spans="1:35" x14ac:dyDescent="0.25">
      <c r="A1" t="s">
        <v>1146</v>
      </c>
      <c r="B1" t="s">
        <v>1105</v>
      </c>
      <c r="C1" s="92" t="s">
        <v>1058</v>
      </c>
      <c r="D1" s="92" t="s">
        <v>1106</v>
      </c>
      <c r="E1" s="92" t="s">
        <v>1059</v>
      </c>
      <c r="F1" s="92" t="s">
        <v>1107</v>
      </c>
      <c r="G1" s="92" t="s">
        <v>596</v>
      </c>
      <c r="H1" s="92" t="s">
        <v>1335</v>
      </c>
      <c r="I1" s="92" t="s">
        <v>1352</v>
      </c>
      <c r="J1" s="92" t="s">
        <v>1329</v>
      </c>
      <c r="K1" s="92" t="s">
        <v>1060</v>
      </c>
      <c r="L1" s="92" t="s">
        <v>1064</v>
      </c>
      <c r="M1" s="92" t="s">
        <v>1098</v>
      </c>
      <c r="N1" s="92" t="s">
        <v>1099</v>
      </c>
      <c r="O1" s="92" t="s">
        <v>1177</v>
      </c>
      <c r="P1" s="92" t="s">
        <v>1163</v>
      </c>
      <c r="Q1" s="92" t="s">
        <v>1176</v>
      </c>
      <c r="R1" s="92" t="s">
        <v>1323</v>
      </c>
      <c r="S1" s="92" t="s">
        <v>1178</v>
      </c>
      <c r="T1" s="92" t="s">
        <v>1179</v>
      </c>
      <c r="U1" s="92" t="s">
        <v>1324</v>
      </c>
      <c r="V1" s="92" t="s">
        <v>1190</v>
      </c>
      <c r="W1" s="92" t="s">
        <v>1189</v>
      </c>
      <c r="X1" s="92" t="s">
        <v>1325</v>
      </c>
      <c r="Y1" s="92" t="s">
        <v>1378</v>
      </c>
      <c r="Z1" s="92" t="s">
        <v>1379</v>
      </c>
      <c r="AA1" s="92" t="s">
        <v>1380</v>
      </c>
      <c r="AB1" s="92" t="s">
        <v>1185</v>
      </c>
      <c r="AC1" s="92" t="s">
        <v>1186</v>
      </c>
      <c r="AD1" s="92" t="s">
        <v>1326</v>
      </c>
      <c r="AE1" s="92" t="s">
        <v>1187</v>
      </c>
      <c r="AF1" s="92" t="s">
        <v>1188</v>
      </c>
      <c r="AG1" s="92" t="s">
        <v>1327</v>
      </c>
      <c r="AI1" s="92" t="s">
        <v>1377</v>
      </c>
    </row>
    <row r="2" spans="1:35" x14ac:dyDescent="0.25">
      <c r="A2" t="str">
        <f t="shared" ref="A2:A31" si="0">B2&amp;"-"&amp;D2&amp;"-"&amp;F2</f>
        <v>6-7-1</v>
      </c>
      <c r="B2">
        <v>6</v>
      </c>
      <c r="C2" s="92" t="s">
        <v>1020</v>
      </c>
      <c r="D2" s="92">
        <v>7</v>
      </c>
      <c r="E2" s="92" t="s">
        <v>586</v>
      </c>
      <c r="F2" s="92">
        <v>1</v>
      </c>
      <c r="G2" s="92" t="s">
        <v>139</v>
      </c>
      <c r="H2" s="92"/>
      <c r="I2" s="92">
        <v>0</v>
      </c>
      <c r="J2" s="92">
        <v>17158561</v>
      </c>
      <c r="K2" s="92" t="s">
        <v>1061</v>
      </c>
      <c r="L2" s="92">
        <v>2804</v>
      </c>
      <c r="M2" s="92">
        <v>338</v>
      </c>
      <c r="N2" s="92">
        <v>198</v>
      </c>
      <c r="O2" s="92">
        <v>198</v>
      </c>
      <c r="P2" s="92">
        <v>0</v>
      </c>
      <c r="Q2" s="92">
        <v>0</v>
      </c>
      <c r="R2" s="92">
        <v>0</v>
      </c>
      <c r="S2" s="92">
        <v>0</v>
      </c>
      <c r="T2" s="92">
        <v>0</v>
      </c>
      <c r="U2" s="92">
        <v>0</v>
      </c>
      <c r="V2" s="92">
        <v>0</v>
      </c>
      <c r="W2" s="92">
        <v>0</v>
      </c>
      <c r="X2" s="92">
        <v>0</v>
      </c>
      <c r="Y2" s="92">
        <v>0</v>
      </c>
      <c r="Z2" s="92">
        <v>0</v>
      </c>
      <c r="AA2" s="92">
        <v>0</v>
      </c>
      <c r="AB2" s="92">
        <v>44043</v>
      </c>
      <c r="AC2" s="92">
        <v>45622</v>
      </c>
      <c r="AD2" s="92">
        <v>47212</v>
      </c>
      <c r="AE2" s="92">
        <v>0</v>
      </c>
      <c r="AF2" s="92">
        <v>0</v>
      </c>
      <c r="AG2" s="92">
        <v>0</v>
      </c>
    </row>
    <row r="3" spans="1:35" x14ac:dyDescent="0.25">
      <c r="A3" t="str">
        <f t="shared" si="0"/>
        <v>6-14-61</v>
      </c>
      <c r="B3">
        <v>6</v>
      </c>
      <c r="C3" s="92" t="s">
        <v>1020</v>
      </c>
      <c r="D3" s="92">
        <v>14</v>
      </c>
      <c r="E3" s="92" t="s">
        <v>571</v>
      </c>
      <c r="F3" s="92">
        <v>61</v>
      </c>
      <c r="G3" s="92" t="s">
        <v>150</v>
      </c>
      <c r="H3" s="92"/>
      <c r="I3" s="92">
        <v>43442</v>
      </c>
      <c r="J3" s="92">
        <v>29738317</v>
      </c>
      <c r="K3" s="92" t="s">
        <v>1061</v>
      </c>
      <c r="L3" s="92">
        <v>13177</v>
      </c>
      <c r="M3" s="92">
        <v>1737</v>
      </c>
      <c r="N3" s="92">
        <v>837</v>
      </c>
      <c r="O3" s="92">
        <v>837</v>
      </c>
      <c r="P3" s="92">
        <v>0</v>
      </c>
      <c r="Q3" s="92">
        <v>0</v>
      </c>
      <c r="R3" s="92">
        <v>0</v>
      </c>
      <c r="S3" s="92">
        <v>0</v>
      </c>
      <c r="T3" s="92">
        <v>0</v>
      </c>
      <c r="U3" s="92">
        <v>0</v>
      </c>
      <c r="V3" s="92">
        <v>0</v>
      </c>
      <c r="W3" s="92">
        <v>0</v>
      </c>
      <c r="X3" s="92">
        <v>0</v>
      </c>
      <c r="Y3" s="92">
        <v>0</v>
      </c>
      <c r="Z3" s="92">
        <v>0</v>
      </c>
      <c r="AA3" s="92">
        <v>0</v>
      </c>
      <c r="AB3" s="92">
        <v>166270</v>
      </c>
      <c r="AC3" s="92">
        <v>172436</v>
      </c>
      <c r="AD3" s="92">
        <v>178457</v>
      </c>
      <c r="AE3" s="92">
        <v>0</v>
      </c>
      <c r="AF3" s="92">
        <v>0</v>
      </c>
      <c r="AG3" s="92">
        <v>0</v>
      </c>
      <c r="AI3" s="250">
        <v>3.7904099999999999E-4</v>
      </c>
    </row>
    <row r="4" spans="1:35" x14ac:dyDescent="0.25">
      <c r="A4" t="str">
        <f t="shared" si="0"/>
        <v>6-4-20</v>
      </c>
      <c r="B4">
        <v>6</v>
      </c>
      <c r="C4" s="92" t="s">
        <v>1020</v>
      </c>
      <c r="D4" s="92">
        <v>4</v>
      </c>
      <c r="E4" s="92" t="s">
        <v>66</v>
      </c>
      <c r="F4" s="92">
        <v>20</v>
      </c>
      <c r="G4" s="92" t="s">
        <v>677</v>
      </c>
      <c r="H4" s="92"/>
      <c r="I4" s="92">
        <v>0</v>
      </c>
      <c r="J4" s="92">
        <v>29738317</v>
      </c>
      <c r="K4" s="92" t="s">
        <v>1061</v>
      </c>
      <c r="L4" s="92">
        <v>41646</v>
      </c>
      <c r="M4" s="92">
        <v>19347</v>
      </c>
      <c r="N4" s="92">
        <v>7989</v>
      </c>
      <c r="O4" s="92">
        <v>7989</v>
      </c>
      <c r="P4" s="92">
        <v>0</v>
      </c>
      <c r="Q4" s="92">
        <v>0</v>
      </c>
      <c r="R4" s="92">
        <v>0</v>
      </c>
      <c r="S4" s="92">
        <v>0</v>
      </c>
      <c r="T4" s="92">
        <v>0</v>
      </c>
      <c r="U4" s="92">
        <v>0</v>
      </c>
      <c r="V4" s="92">
        <v>0</v>
      </c>
      <c r="W4" s="92">
        <v>0</v>
      </c>
      <c r="X4" s="92">
        <v>0</v>
      </c>
      <c r="Y4" s="92">
        <v>0</v>
      </c>
      <c r="Z4" s="92">
        <v>0</v>
      </c>
      <c r="AA4" s="92">
        <v>0</v>
      </c>
      <c r="AB4" s="92">
        <v>63167</v>
      </c>
      <c r="AC4" s="92">
        <v>65307</v>
      </c>
      <c r="AD4" s="92">
        <v>67396</v>
      </c>
      <c r="AE4" s="92">
        <v>0</v>
      </c>
      <c r="AF4" s="92">
        <v>0</v>
      </c>
      <c r="AG4" s="92">
        <v>0</v>
      </c>
    </row>
    <row r="5" spans="1:35" x14ac:dyDescent="0.25">
      <c r="A5" t="str">
        <f t="shared" si="0"/>
        <v>6-9-2</v>
      </c>
      <c r="B5">
        <v>6</v>
      </c>
      <c r="C5" s="92" t="s">
        <v>1020</v>
      </c>
      <c r="D5" s="92">
        <v>9</v>
      </c>
      <c r="E5" s="92" t="s">
        <v>588</v>
      </c>
      <c r="F5" s="92">
        <v>2</v>
      </c>
      <c r="G5" s="92" t="s">
        <v>683</v>
      </c>
      <c r="H5" s="92"/>
      <c r="I5" s="92">
        <v>9586</v>
      </c>
      <c r="J5" s="92">
        <v>0</v>
      </c>
      <c r="K5" s="92" t="s">
        <v>1061</v>
      </c>
      <c r="L5" s="92">
        <v>6747</v>
      </c>
      <c r="M5" s="92">
        <v>747</v>
      </c>
      <c r="N5" s="92">
        <v>304</v>
      </c>
      <c r="O5" s="92">
        <v>304</v>
      </c>
      <c r="P5" s="92">
        <v>0</v>
      </c>
      <c r="Q5" s="92">
        <v>0</v>
      </c>
      <c r="R5" s="92">
        <v>0</v>
      </c>
      <c r="S5" s="92">
        <v>0</v>
      </c>
      <c r="T5" s="92">
        <v>0</v>
      </c>
      <c r="U5" s="92">
        <v>0</v>
      </c>
      <c r="V5" s="92">
        <v>0</v>
      </c>
      <c r="W5" s="92">
        <v>0</v>
      </c>
      <c r="X5" s="92">
        <v>0</v>
      </c>
      <c r="Y5" s="92">
        <v>0</v>
      </c>
      <c r="Z5" s="92">
        <v>0</v>
      </c>
      <c r="AA5" s="92">
        <v>0</v>
      </c>
      <c r="AB5" s="92">
        <v>89066</v>
      </c>
      <c r="AC5" s="92">
        <v>92373</v>
      </c>
      <c r="AD5" s="92">
        <v>94343</v>
      </c>
      <c r="AE5" s="92">
        <v>0</v>
      </c>
      <c r="AF5" s="92">
        <v>0</v>
      </c>
      <c r="AG5" s="92">
        <v>0</v>
      </c>
      <c r="AI5" s="250">
        <v>2.1389400000000001E-4</v>
      </c>
    </row>
    <row r="6" spans="1:35" x14ac:dyDescent="0.25">
      <c r="A6" t="str">
        <f t="shared" si="0"/>
        <v>16-9-192</v>
      </c>
      <c r="B6">
        <v>16</v>
      </c>
      <c r="C6" s="92" t="s">
        <v>1029</v>
      </c>
      <c r="D6" s="92">
        <v>9</v>
      </c>
      <c r="E6" s="92" t="s">
        <v>588</v>
      </c>
      <c r="F6" s="92">
        <v>192</v>
      </c>
      <c r="G6" s="92" t="s">
        <v>776</v>
      </c>
      <c r="H6" s="92"/>
      <c r="I6" s="92">
        <v>0</v>
      </c>
      <c r="J6" s="92">
        <v>0</v>
      </c>
      <c r="K6" s="92" t="s">
        <v>1061</v>
      </c>
      <c r="L6" s="92">
        <v>0</v>
      </c>
      <c r="M6" s="92">
        <v>0</v>
      </c>
      <c r="N6" s="92">
        <v>0</v>
      </c>
      <c r="O6" s="92">
        <v>0</v>
      </c>
      <c r="P6" s="92">
        <v>0</v>
      </c>
      <c r="Q6" s="92">
        <v>0</v>
      </c>
      <c r="R6" s="92">
        <v>0</v>
      </c>
      <c r="S6" s="92">
        <v>0</v>
      </c>
      <c r="T6" s="92">
        <v>0</v>
      </c>
      <c r="U6" s="92">
        <v>0</v>
      </c>
      <c r="V6" s="92">
        <v>0</v>
      </c>
      <c r="W6" s="92">
        <v>0</v>
      </c>
      <c r="X6" s="92">
        <v>0</v>
      </c>
      <c r="Y6" s="92">
        <v>0</v>
      </c>
      <c r="Z6" s="92">
        <v>0</v>
      </c>
      <c r="AA6" s="92">
        <v>0</v>
      </c>
      <c r="AB6" s="92">
        <v>13450</v>
      </c>
      <c r="AC6" s="92">
        <v>13854</v>
      </c>
      <c r="AD6" s="92">
        <v>14270</v>
      </c>
      <c r="AE6" s="92">
        <v>0</v>
      </c>
      <c r="AF6" s="92">
        <v>0</v>
      </c>
      <c r="AG6" s="92">
        <v>0</v>
      </c>
      <c r="AI6" s="250">
        <v>4.4990900000000002E-4</v>
      </c>
    </row>
    <row r="7" spans="1:35" x14ac:dyDescent="0.25">
      <c r="A7" t="str">
        <f t="shared" si="0"/>
        <v>1-2-1</v>
      </c>
      <c r="B7">
        <v>1</v>
      </c>
      <c r="C7" s="92" t="s">
        <v>1016</v>
      </c>
      <c r="D7" s="92">
        <v>2</v>
      </c>
      <c r="E7" s="92" t="s">
        <v>53</v>
      </c>
      <c r="F7" s="92">
        <v>1</v>
      </c>
      <c r="G7" s="92" t="s">
        <v>80</v>
      </c>
      <c r="H7" s="92"/>
      <c r="I7" s="92">
        <v>28482584</v>
      </c>
      <c r="J7" s="92">
        <v>1143988583</v>
      </c>
      <c r="K7" s="92" t="s">
        <v>1061</v>
      </c>
      <c r="L7" s="92">
        <v>37976</v>
      </c>
      <c r="M7" s="92">
        <v>710933</v>
      </c>
      <c r="N7" s="92">
        <v>165768</v>
      </c>
      <c r="O7" s="92">
        <v>165768</v>
      </c>
      <c r="P7" s="92">
        <v>65343</v>
      </c>
      <c r="Q7" s="92">
        <v>88926</v>
      </c>
      <c r="R7" s="92">
        <v>110945</v>
      </c>
      <c r="S7" s="92">
        <v>5110</v>
      </c>
      <c r="T7" s="92">
        <v>4801</v>
      </c>
      <c r="U7" s="92">
        <v>14676</v>
      </c>
      <c r="V7" s="92">
        <v>0</v>
      </c>
      <c r="W7" s="92">
        <v>0</v>
      </c>
      <c r="X7" s="92">
        <v>0</v>
      </c>
      <c r="Y7" s="92">
        <v>0</v>
      </c>
      <c r="Z7" s="92">
        <v>0</v>
      </c>
      <c r="AA7" s="92">
        <v>0</v>
      </c>
      <c r="AB7" s="92">
        <v>154826415</v>
      </c>
      <c r="AC7" s="92">
        <v>160544678</v>
      </c>
      <c r="AD7" s="92">
        <v>169772321</v>
      </c>
      <c r="AE7" s="92">
        <v>0</v>
      </c>
      <c r="AF7" s="92">
        <v>0</v>
      </c>
      <c r="AG7" s="92">
        <v>0</v>
      </c>
    </row>
    <row r="8" spans="1:35" x14ac:dyDescent="0.25">
      <c r="A8" t="str">
        <f t="shared" si="0"/>
        <v>1-5-1</v>
      </c>
      <c r="B8">
        <v>1</v>
      </c>
      <c r="C8" s="92" t="s">
        <v>1016</v>
      </c>
      <c r="D8" s="92">
        <v>5</v>
      </c>
      <c r="E8" s="92" t="s">
        <v>200</v>
      </c>
      <c r="F8" s="92">
        <v>1</v>
      </c>
      <c r="G8" s="92" t="s">
        <v>82</v>
      </c>
      <c r="H8" s="92"/>
      <c r="I8" s="92">
        <v>94060</v>
      </c>
      <c r="J8" s="92">
        <v>1143988583</v>
      </c>
      <c r="K8" s="92" t="s">
        <v>1061</v>
      </c>
      <c r="L8" s="92">
        <v>1572</v>
      </c>
      <c r="M8" s="92">
        <v>37611</v>
      </c>
      <c r="N8" s="92">
        <v>8925</v>
      </c>
      <c r="O8" s="92">
        <v>8925</v>
      </c>
      <c r="P8" s="92">
        <v>3737</v>
      </c>
      <c r="Q8" s="92">
        <v>4788</v>
      </c>
      <c r="R8" s="92">
        <v>6013</v>
      </c>
      <c r="S8" s="92">
        <v>271</v>
      </c>
      <c r="T8" s="92">
        <v>255</v>
      </c>
      <c r="U8" s="92">
        <v>796</v>
      </c>
      <c r="V8" s="92">
        <v>0</v>
      </c>
      <c r="W8" s="92">
        <v>0</v>
      </c>
      <c r="X8" s="92">
        <v>0</v>
      </c>
      <c r="Y8" s="92">
        <v>0</v>
      </c>
      <c r="Z8" s="92">
        <v>0</v>
      </c>
      <c r="AA8" s="92">
        <v>0</v>
      </c>
      <c r="AB8" s="92">
        <v>8391930</v>
      </c>
      <c r="AC8" s="92">
        <v>8804593</v>
      </c>
      <c r="AD8" s="92">
        <v>9325586</v>
      </c>
      <c r="AE8" s="92">
        <v>0</v>
      </c>
      <c r="AF8" s="92">
        <v>0</v>
      </c>
      <c r="AG8" s="92">
        <v>0</v>
      </c>
      <c r="AI8">
        <v>8.1118000000000005E-5</v>
      </c>
    </row>
    <row r="9" spans="1:35" x14ac:dyDescent="0.25">
      <c r="A9" t="str">
        <f t="shared" si="0"/>
        <v>1-14-51</v>
      </c>
      <c r="B9">
        <v>1</v>
      </c>
      <c r="C9" s="92" t="s">
        <v>1016</v>
      </c>
      <c r="D9" s="92">
        <v>14</v>
      </c>
      <c r="E9" s="92" t="s">
        <v>571</v>
      </c>
      <c r="F9" s="92">
        <v>51</v>
      </c>
      <c r="G9" s="92" t="s">
        <v>90</v>
      </c>
      <c r="H9" s="92"/>
      <c r="I9" s="92">
        <v>650153</v>
      </c>
      <c r="J9" s="92">
        <v>298770670</v>
      </c>
      <c r="K9" s="92" t="s">
        <v>1061</v>
      </c>
      <c r="L9" s="92">
        <v>2246</v>
      </c>
      <c r="M9" s="92">
        <v>5564</v>
      </c>
      <c r="N9" s="92">
        <v>1209</v>
      </c>
      <c r="O9" s="92">
        <v>1209</v>
      </c>
      <c r="P9" s="92">
        <v>4526</v>
      </c>
      <c r="Q9" s="92">
        <v>6939</v>
      </c>
      <c r="R9" s="92">
        <v>8883</v>
      </c>
      <c r="S9" s="92">
        <v>64</v>
      </c>
      <c r="T9" s="92">
        <v>0</v>
      </c>
      <c r="U9" s="92">
        <v>114</v>
      </c>
      <c r="V9" s="92">
        <v>0</v>
      </c>
      <c r="W9" s="92">
        <v>0</v>
      </c>
      <c r="X9" s="92">
        <v>0</v>
      </c>
      <c r="Y9" s="92">
        <v>0</v>
      </c>
      <c r="Z9" s="92">
        <v>0</v>
      </c>
      <c r="AA9" s="92">
        <v>0</v>
      </c>
      <c r="AB9" s="92">
        <v>3297000</v>
      </c>
      <c r="AC9" s="92">
        <v>3511000</v>
      </c>
      <c r="AD9" s="92">
        <v>3741875</v>
      </c>
      <c r="AE9" s="92">
        <v>0</v>
      </c>
      <c r="AF9" s="92">
        <v>0</v>
      </c>
      <c r="AG9" s="92">
        <v>0</v>
      </c>
      <c r="AI9" s="250">
        <v>2.7173399999999998E-4</v>
      </c>
    </row>
    <row r="10" spans="1:35" x14ac:dyDescent="0.25">
      <c r="A10" t="str">
        <f t="shared" si="0"/>
        <v>1-8-6</v>
      </c>
      <c r="B10">
        <v>1</v>
      </c>
      <c r="C10" s="92" t="s">
        <v>1016</v>
      </c>
      <c r="D10" s="92">
        <v>8</v>
      </c>
      <c r="E10" s="92" t="s">
        <v>587</v>
      </c>
      <c r="F10" s="92">
        <v>6</v>
      </c>
      <c r="G10" s="92" t="s">
        <v>608</v>
      </c>
      <c r="H10" s="92"/>
      <c r="I10" s="92">
        <v>155443</v>
      </c>
      <c r="J10" s="92">
        <v>399616371</v>
      </c>
      <c r="K10" s="92" t="s">
        <v>1061</v>
      </c>
      <c r="L10" s="92">
        <v>1278</v>
      </c>
      <c r="M10" s="92">
        <v>2308</v>
      </c>
      <c r="N10" s="92">
        <v>411</v>
      </c>
      <c r="O10" s="92">
        <v>411</v>
      </c>
      <c r="P10" s="92">
        <v>2449</v>
      </c>
      <c r="Q10" s="92">
        <v>3165</v>
      </c>
      <c r="R10" s="92">
        <v>4016</v>
      </c>
      <c r="S10" s="92">
        <v>15</v>
      </c>
      <c r="T10" s="92">
        <v>0</v>
      </c>
      <c r="U10" s="92">
        <v>26</v>
      </c>
      <c r="V10" s="92">
        <v>0</v>
      </c>
      <c r="W10" s="92">
        <v>0</v>
      </c>
      <c r="X10" s="92">
        <v>0</v>
      </c>
      <c r="Y10" s="92">
        <v>0</v>
      </c>
      <c r="Z10" s="92">
        <v>0</v>
      </c>
      <c r="AA10" s="92">
        <v>0</v>
      </c>
      <c r="AB10" s="92">
        <v>780414</v>
      </c>
      <c r="AC10" s="92">
        <v>812927</v>
      </c>
      <c r="AD10" s="92">
        <v>845357</v>
      </c>
      <c r="AE10" s="92">
        <v>0</v>
      </c>
      <c r="AF10" s="92">
        <v>0</v>
      </c>
      <c r="AG10" s="92">
        <v>0</v>
      </c>
    </row>
    <row r="11" spans="1:35" x14ac:dyDescent="0.25">
      <c r="A11" t="str">
        <f t="shared" si="0"/>
        <v>1-11-69</v>
      </c>
      <c r="B11">
        <v>1</v>
      </c>
      <c r="C11" s="92" t="s">
        <v>1016</v>
      </c>
      <c r="D11" s="92">
        <v>11</v>
      </c>
      <c r="E11" s="92" t="s">
        <v>1062</v>
      </c>
      <c r="F11" s="92">
        <v>69</v>
      </c>
      <c r="G11" s="92" t="s">
        <v>614</v>
      </c>
      <c r="H11" s="92"/>
      <c r="I11" s="92">
        <v>8396267</v>
      </c>
      <c r="J11" s="92">
        <v>1143988583</v>
      </c>
      <c r="K11" s="92" t="s">
        <v>1061</v>
      </c>
      <c r="L11" s="92">
        <v>13554</v>
      </c>
      <c r="M11" s="92">
        <v>265060</v>
      </c>
      <c r="N11" s="92">
        <v>51758</v>
      </c>
      <c r="O11" s="92">
        <v>51758</v>
      </c>
      <c r="P11" s="92">
        <v>22366</v>
      </c>
      <c r="Q11" s="92">
        <v>27766</v>
      </c>
      <c r="R11" s="92">
        <v>33824</v>
      </c>
      <c r="S11" s="92">
        <v>1635</v>
      </c>
      <c r="T11" s="92">
        <v>1532</v>
      </c>
      <c r="U11" s="92">
        <v>4649</v>
      </c>
      <c r="V11" s="92">
        <v>0</v>
      </c>
      <c r="W11" s="92">
        <v>0</v>
      </c>
      <c r="X11" s="92">
        <v>0</v>
      </c>
      <c r="Y11" s="92">
        <v>0</v>
      </c>
      <c r="Z11" s="92">
        <v>0</v>
      </c>
      <c r="AA11" s="92">
        <v>0</v>
      </c>
      <c r="AB11" s="92">
        <v>47203000</v>
      </c>
      <c r="AC11" s="92">
        <v>51507000</v>
      </c>
      <c r="AD11" s="92">
        <v>55028100</v>
      </c>
      <c r="AE11" s="92">
        <v>0</v>
      </c>
      <c r="AF11" s="92">
        <v>1480718</v>
      </c>
      <c r="AG11" s="92">
        <v>1598895</v>
      </c>
    </row>
    <row r="12" spans="1:35" x14ac:dyDescent="0.25">
      <c r="A12" t="str">
        <f t="shared" si="0"/>
        <v>2-2-2</v>
      </c>
      <c r="B12">
        <v>2</v>
      </c>
      <c r="C12" s="92" t="s">
        <v>1017</v>
      </c>
      <c r="D12" s="92">
        <v>2</v>
      </c>
      <c r="E12" s="92" t="s">
        <v>53</v>
      </c>
      <c r="F12" s="92">
        <v>2</v>
      </c>
      <c r="G12" s="92" t="s">
        <v>94</v>
      </c>
      <c r="H12" s="92"/>
      <c r="I12" s="92">
        <v>687281</v>
      </c>
      <c r="J12" s="92">
        <v>103527055</v>
      </c>
      <c r="K12" s="92" t="s">
        <v>1061</v>
      </c>
      <c r="L12" s="92">
        <v>23520</v>
      </c>
      <c r="M12" s="92">
        <v>32828</v>
      </c>
      <c r="N12" s="92">
        <v>3638</v>
      </c>
      <c r="O12" s="92">
        <v>3638</v>
      </c>
      <c r="P12" s="92">
        <v>0</v>
      </c>
      <c r="Q12" s="92">
        <v>0</v>
      </c>
      <c r="R12" s="92">
        <v>0</v>
      </c>
      <c r="S12" s="92">
        <v>0</v>
      </c>
      <c r="T12" s="92">
        <v>0</v>
      </c>
      <c r="U12" s="92">
        <v>0</v>
      </c>
      <c r="V12" s="92">
        <v>0</v>
      </c>
      <c r="W12" s="92">
        <v>0</v>
      </c>
      <c r="X12" s="92">
        <v>0</v>
      </c>
      <c r="Y12" s="92">
        <v>0</v>
      </c>
      <c r="Z12" s="92">
        <v>0</v>
      </c>
      <c r="AA12" s="92">
        <v>0</v>
      </c>
      <c r="AB12" s="92">
        <v>2806484</v>
      </c>
      <c r="AC12" s="92">
        <v>2937891</v>
      </c>
      <c r="AD12" s="92">
        <v>3080739</v>
      </c>
      <c r="AE12" s="92">
        <v>0</v>
      </c>
      <c r="AF12" s="92">
        <v>0</v>
      </c>
      <c r="AG12" s="92">
        <v>0</v>
      </c>
    </row>
    <row r="13" spans="1:35" x14ac:dyDescent="0.25">
      <c r="A13" t="str">
        <f t="shared" si="0"/>
        <v>16-7-2</v>
      </c>
      <c r="B13">
        <v>16</v>
      </c>
      <c r="C13" s="92" t="s">
        <v>1029</v>
      </c>
      <c r="D13" s="92">
        <v>7</v>
      </c>
      <c r="E13" s="92" t="s">
        <v>586</v>
      </c>
      <c r="F13" s="92">
        <v>2</v>
      </c>
      <c r="G13" s="92" t="s">
        <v>270</v>
      </c>
      <c r="H13" s="92"/>
      <c r="I13" s="92">
        <v>0</v>
      </c>
      <c r="J13" s="92">
        <v>826940</v>
      </c>
      <c r="K13" s="92" t="s">
        <v>1061</v>
      </c>
      <c r="L13" s="92">
        <v>109</v>
      </c>
      <c r="M13" s="92">
        <v>78</v>
      </c>
      <c r="N13" s="92">
        <v>4</v>
      </c>
      <c r="O13" s="92">
        <v>4</v>
      </c>
      <c r="P13" s="92">
        <v>0</v>
      </c>
      <c r="Q13" s="92">
        <v>0</v>
      </c>
      <c r="R13" s="92">
        <v>0</v>
      </c>
      <c r="S13" s="92">
        <v>0</v>
      </c>
      <c r="T13" s="92">
        <v>0</v>
      </c>
      <c r="U13" s="92">
        <v>0</v>
      </c>
      <c r="V13" s="92">
        <v>0</v>
      </c>
      <c r="W13" s="92">
        <v>0</v>
      </c>
      <c r="X13" s="92">
        <v>0</v>
      </c>
      <c r="Y13" s="92">
        <v>0</v>
      </c>
      <c r="Z13" s="92">
        <v>0</v>
      </c>
      <c r="AA13" s="92">
        <v>0</v>
      </c>
      <c r="AB13" s="92">
        <v>7564</v>
      </c>
      <c r="AC13" s="92">
        <v>7652</v>
      </c>
      <c r="AD13" s="92">
        <v>7982</v>
      </c>
      <c r="AE13" s="92">
        <v>0</v>
      </c>
      <c r="AF13" s="92">
        <v>0</v>
      </c>
      <c r="AG13" s="92">
        <v>0</v>
      </c>
    </row>
    <row r="14" spans="1:35" x14ac:dyDescent="0.25">
      <c r="A14" t="str">
        <f t="shared" si="0"/>
        <v>16-9-1</v>
      </c>
      <c r="B14">
        <v>16</v>
      </c>
      <c r="C14" s="92" t="s">
        <v>1029</v>
      </c>
      <c r="D14" s="92">
        <v>9</v>
      </c>
      <c r="E14" s="92" t="s">
        <v>588</v>
      </c>
      <c r="F14" s="92">
        <v>1</v>
      </c>
      <c r="G14" s="92" t="s">
        <v>772</v>
      </c>
      <c r="H14" s="92"/>
      <c r="I14" s="92">
        <v>0</v>
      </c>
      <c r="J14" s="92">
        <v>0</v>
      </c>
      <c r="K14" s="92" t="s">
        <v>1061</v>
      </c>
      <c r="L14" s="92">
        <v>419</v>
      </c>
      <c r="M14" s="92">
        <v>264</v>
      </c>
      <c r="N14" s="92">
        <v>18</v>
      </c>
      <c r="O14" s="92">
        <v>18</v>
      </c>
      <c r="P14" s="92">
        <v>0</v>
      </c>
      <c r="Q14" s="92">
        <v>0</v>
      </c>
      <c r="R14" s="92">
        <v>0</v>
      </c>
      <c r="S14" s="92">
        <v>0</v>
      </c>
      <c r="T14" s="92">
        <v>0</v>
      </c>
      <c r="U14" s="92">
        <v>0</v>
      </c>
      <c r="V14" s="92">
        <v>0</v>
      </c>
      <c r="W14" s="92">
        <v>0</v>
      </c>
      <c r="X14" s="92">
        <v>0</v>
      </c>
      <c r="Y14" s="92">
        <v>0</v>
      </c>
      <c r="Z14" s="92">
        <v>0</v>
      </c>
      <c r="AA14" s="92">
        <v>0</v>
      </c>
      <c r="AB14" s="92">
        <v>29555</v>
      </c>
      <c r="AC14" s="92">
        <v>30657</v>
      </c>
      <c r="AD14" s="92">
        <v>32000</v>
      </c>
      <c r="AE14" s="92">
        <v>0</v>
      </c>
      <c r="AF14" s="92">
        <v>0</v>
      </c>
      <c r="AG14" s="92">
        <v>0</v>
      </c>
      <c r="AI14" s="250">
        <v>3.79124E-4</v>
      </c>
    </row>
    <row r="15" spans="1:35" x14ac:dyDescent="0.25">
      <c r="A15" t="str">
        <f t="shared" si="0"/>
        <v>16-11-1</v>
      </c>
      <c r="B15">
        <v>16</v>
      </c>
      <c r="C15" s="92" t="s">
        <v>1029</v>
      </c>
      <c r="D15" s="92">
        <v>11</v>
      </c>
      <c r="E15" s="92" t="s">
        <v>1062</v>
      </c>
      <c r="F15" s="92">
        <v>1</v>
      </c>
      <c r="G15" s="92" t="s">
        <v>777</v>
      </c>
      <c r="H15" s="92"/>
      <c r="I15" s="92">
        <v>14</v>
      </c>
      <c r="J15" s="92">
        <v>826940</v>
      </c>
      <c r="K15" s="92" t="s">
        <v>1061</v>
      </c>
      <c r="L15" s="92">
        <v>0</v>
      </c>
      <c r="M15" s="92">
        <v>67</v>
      </c>
      <c r="N15" s="92">
        <v>5</v>
      </c>
      <c r="O15" s="92">
        <v>2</v>
      </c>
      <c r="P15" s="92">
        <v>0</v>
      </c>
      <c r="Q15" s="92">
        <v>0</v>
      </c>
      <c r="R15" s="92">
        <v>0</v>
      </c>
      <c r="S15" s="92">
        <v>0</v>
      </c>
      <c r="T15" s="92">
        <v>0</v>
      </c>
      <c r="U15" s="92">
        <v>0</v>
      </c>
      <c r="V15" s="92">
        <v>0</v>
      </c>
      <c r="W15" s="92">
        <v>0</v>
      </c>
      <c r="X15" s="92">
        <v>0</v>
      </c>
      <c r="Y15" s="92">
        <v>0</v>
      </c>
      <c r="Z15" s="92">
        <v>0</v>
      </c>
      <c r="AA15" s="92">
        <v>0</v>
      </c>
      <c r="AB15" s="92">
        <v>8901</v>
      </c>
      <c r="AC15" s="92">
        <v>5119</v>
      </c>
      <c r="AD15" s="92">
        <v>0</v>
      </c>
      <c r="AE15" s="92">
        <v>0</v>
      </c>
      <c r="AF15" s="92">
        <v>0</v>
      </c>
      <c r="AG15" s="92">
        <v>0</v>
      </c>
    </row>
    <row r="16" spans="1:35" x14ac:dyDescent="0.25">
      <c r="A16" t="str">
        <f t="shared" si="0"/>
        <v>16-17-19</v>
      </c>
      <c r="B16">
        <v>16</v>
      </c>
      <c r="C16" s="92" t="s">
        <v>1029</v>
      </c>
      <c r="D16" s="92">
        <v>17</v>
      </c>
      <c r="E16" s="92" t="s">
        <v>593</v>
      </c>
      <c r="F16" s="92">
        <v>19</v>
      </c>
      <c r="G16" s="92" t="s">
        <v>277</v>
      </c>
      <c r="H16" s="92"/>
      <c r="I16" s="92">
        <v>0</v>
      </c>
      <c r="J16" s="92">
        <v>1115042</v>
      </c>
      <c r="K16" s="92" t="s">
        <v>1061</v>
      </c>
      <c r="L16" s="92">
        <v>302</v>
      </c>
      <c r="M16" s="92">
        <v>9</v>
      </c>
      <c r="N16" s="92">
        <v>0</v>
      </c>
      <c r="O16" s="92">
        <v>0</v>
      </c>
      <c r="P16" s="92">
        <v>0</v>
      </c>
      <c r="Q16" s="92">
        <v>0</v>
      </c>
      <c r="R16" s="92">
        <v>0</v>
      </c>
      <c r="S16" s="92">
        <v>0</v>
      </c>
      <c r="T16" s="92">
        <v>0</v>
      </c>
      <c r="U16" s="92">
        <v>0</v>
      </c>
      <c r="V16" s="92">
        <v>0</v>
      </c>
      <c r="W16" s="92">
        <v>0</v>
      </c>
      <c r="X16" s="92">
        <v>0</v>
      </c>
      <c r="Y16" s="92">
        <v>0</v>
      </c>
      <c r="Z16" s="92">
        <v>0</v>
      </c>
      <c r="AA16" s="92">
        <v>0</v>
      </c>
      <c r="AB16" s="92">
        <v>3822</v>
      </c>
      <c r="AC16" s="92">
        <v>3946</v>
      </c>
      <c r="AD16" s="92">
        <v>4074</v>
      </c>
      <c r="AE16" s="92">
        <v>0</v>
      </c>
      <c r="AF16" s="92">
        <v>0</v>
      </c>
      <c r="AG16" s="92">
        <v>0</v>
      </c>
    </row>
    <row r="17" spans="1:35" x14ac:dyDescent="0.25">
      <c r="A17" t="str">
        <f t="shared" si="0"/>
        <v>39-9-3</v>
      </c>
      <c r="B17">
        <v>39</v>
      </c>
      <c r="C17" s="92" t="s">
        <v>79</v>
      </c>
      <c r="D17" s="92">
        <v>9</v>
      </c>
      <c r="E17" s="92" t="s">
        <v>588</v>
      </c>
      <c r="F17" s="92">
        <v>3</v>
      </c>
      <c r="G17" s="92" t="s">
        <v>968</v>
      </c>
      <c r="H17" s="92"/>
      <c r="I17" s="92">
        <v>0</v>
      </c>
      <c r="J17" s="92">
        <v>0</v>
      </c>
      <c r="K17" s="92" t="s">
        <v>1061</v>
      </c>
      <c r="L17" s="92">
        <v>4244</v>
      </c>
      <c r="M17" s="92">
        <v>427</v>
      </c>
      <c r="N17" s="92">
        <v>159</v>
      </c>
      <c r="O17" s="92">
        <v>159</v>
      </c>
      <c r="P17" s="92">
        <v>2410.2151689740567</v>
      </c>
      <c r="Q17" s="92">
        <v>2600.7593804139583</v>
      </c>
      <c r="R17" s="92">
        <v>2735</v>
      </c>
      <c r="S17" s="92">
        <v>0</v>
      </c>
      <c r="T17" s="92">
        <v>0</v>
      </c>
      <c r="U17" s="92">
        <v>0</v>
      </c>
      <c r="V17" s="92">
        <v>0</v>
      </c>
      <c r="W17" s="92">
        <v>0</v>
      </c>
      <c r="X17" s="92">
        <v>0</v>
      </c>
      <c r="Y17" s="92">
        <v>0</v>
      </c>
      <c r="Z17" s="92">
        <v>0</v>
      </c>
      <c r="AA17" s="92">
        <v>0</v>
      </c>
      <c r="AB17" s="92">
        <v>67324</v>
      </c>
      <c r="AC17" s="92">
        <v>69955</v>
      </c>
      <c r="AD17" s="182">
        <f>73509+200000</f>
        <v>273509</v>
      </c>
      <c r="AE17" s="92">
        <v>0</v>
      </c>
      <c r="AF17" s="92">
        <v>0</v>
      </c>
      <c r="AG17" s="92">
        <v>0</v>
      </c>
      <c r="AI17" s="254">
        <v>3.3609900000000002E-4</v>
      </c>
    </row>
    <row r="18" spans="1:35" x14ac:dyDescent="0.25">
      <c r="A18" t="str">
        <f t="shared" si="0"/>
        <v>39-14-44</v>
      </c>
      <c r="B18">
        <v>39</v>
      </c>
      <c r="C18" s="92" t="s">
        <v>79</v>
      </c>
      <c r="D18" s="92">
        <v>14</v>
      </c>
      <c r="E18" s="92" t="s">
        <v>571</v>
      </c>
      <c r="F18" s="92">
        <v>44</v>
      </c>
      <c r="G18" s="92" t="s">
        <v>529</v>
      </c>
      <c r="H18" s="92"/>
      <c r="I18" s="92">
        <v>0</v>
      </c>
      <c r="J18" s="92">
        <v>264495175</v>
      </c>
      <c r="K18" s="92" t="s">
        <v>1061</v>
      </c>
      <c r="L18" s="92">
        <v>8694</v>
      </c>
      <c r="M18" s="92">
        <v>5420</v>
      </c>
      <c r="N18" s="92">
        <v>2827</v>
      </c>
      <c r="O18" s="92">
        <v>2827</v>
      </c>
      <c r="P18" s="92">
        <v>6472.4487688374102</v>
      </c>
      <c r="Q18" s="92">
        <v>7224</v>
      </c>
      <c r="R18" s="92">
        <v>8007</v>
      </c>
      <c r="S18" s="92">
        <v>0</v>
      </c>
      <c r="T18" s="92">
        <v>0</v>
      </c>
      <c r="U18" s="92">
        <v>0</v>
      </c>
      <c r="V18" s="92">
        <v>0</v>
      </c>
      <c r="W18" s="92">
        <v>0</v>
      </c>
      <c r="X18" s="92">
        <v>0</v>
      </c>
      <c r="Y18" s="92">
        <v>0</v>
      </c>
      <c r="Z18" s="92">
        <v>0</v>
      </c>
      <c r="AA18" s="92">
        <v>0</v>
      </c>
      <c r="AB18" s="92">
        <v>437724</v>
      </c>
      <c r="AC18" s="92">
        <v>452586</v>
      </c>
      <c r="AD18" s="182">
        <v>470597</v>
      </c>
      <c r="AE18" s="92">
        <v>0</v>
      </c>
      <c r="AF18" s="92">
        <v>0</v>
      </c>
      <c r="AG18" s="92">
        <v>0</v>
      </c>
      <c r="AI18" s="250">
        <v>3.0185100000000001E-4</v>
      </c>
    </row>
    <row r="19" spans="1:35" x14ac:dyDescent="0.25">
      <c r="A19" t="str">
        <f t="shared" si="0"/>
        <v>16-4-155</v>
      </c>
      <c r="B19">
        <v>16</v>
      </c>
      <c r="C19" s="92" t="s">
        <v>1029</v>
      </c>
      <c r="D19" s="92">
        <v>4</v>
      </c>
      <c r="E19" s="92" t="s">
        <v>66</v>
      </c>
      <c r="F19" s="92">
        <v>155</v>
      </c>
      <c r="G19" s="92" t="s">
        <v>768</v>
      </c>
      <c r="H19" s="92"/>
      <c r="I19" s="92">
        <v>0</v>
      </c>
      <c r="J19" s="92">
        <v>4333411</v>
      </c>
      <c r="K19" s="92">
        <v>1</v>
      </c>
      <c r="L19" s="92">
        <v>74106</v>
      </c>
      <c r="M19" s="92">
        <v>50350</v>
      </c>
      <c r="N19" s="92">
        <v>20780</v>
      </c>
      <c r="O19" s="92">
        <v>20780</v>
      </c>
      <c r="P19" s="92">
        <v>46347.054128681186</v>
      </c>
      <c r="Q19" s="92">
        <v>41434</v>
      </c>
      <c r="R19" s="92">
        <v>42685</v>
      </c>
      <c r="S19" s="92">
        <v>0</v>
      </c>
      <c r="T19" s="92">
        <v>0</v>
      </c>
      <c r="U19" s="92">
        <v>0</v>
      </c>
      <c r="V19" s="92">
        <v>15898</v>
      </c>
      <c r="W19" s="92">
        <v>0</v>
      </c>
      <c r="X19" s="92">
        <v>0</v>
      </c>
      <c r="Y19" s="92">
        <v>0</v>
      </c>
      <c r="Z19" s="92">
        <v>0</v>
      </c>
      <c r="AA19" s="92">
        <v>0</v>
      </c>
      <c r="AB19" s="92">
        <v>87788</v>
      </c>
      <c r="AC19" s="92">
        <v>0</v>
      </c>
      <c r="AD19" s="92">
        <v>0</v>
      </c>
      <c r="AE19" s="92">
        <v>0</v>
      </c>
      <c r="AF19" s="92">
        <v>0</v>
      </c>
      <c r="AG19" s="92">
        <v>0</v>
      </c>
    </row>
    <row r="20" spans="1:35" x14ac:dyDescent="0.25">
      <c r="A20" t="str">
        <f t="shared" si="0"/>
        <v>39-4-155</v>
      </c>
      <c r="B20">
        <v>39</v>
      </c>
      <c r="C20" s="92" t="s">
        <v>79</v>
      </c>
      <c r="D20" s="92">
        <v>4</v>
      </c>
      <c r="E20" s="92" t="s">
        <v>66</v>
      </c>
      <c r="F20" s="92">
        <v>155</v>
      </c>
      <c r="G20" s="92" t="s">
        <v>768</v>
      </c>
      <c r="H20" s="92"/>
      <c r="I20" s="92">
        <v>0</v>
      </c>
      <c r="J20" s="92">
        <v>264495175</v>
      </c>
      <c r="K20" s="92">
        <v>1</v>
      </c>
      <c r="L20" s="92">
        <v>74106</v>
      </c>
      <c r="M20" s="92">
        <v>50350</v>
      </c>
      <c r="N20" s="92">
        <v>20780</v>
      </c>
      <c r="O20" s="92">
        <v>20780</v>
      </c>
      <c r="P20" s="92">
        <v>46347.054128681186</v>
      </c>
      <c r="Q20" s="92">
        <v>41434</v>
      </c>
      <c r="R20" s="92">
        <v>42685</v>
      </c>
      <c r="S20" s="92">
        <v>0</v>
      </c>
      <c r="T20" s="92">
        <v>0</v>
      </c>
      <c r="U20" s="92">
        <v>0</v>
      </c>
      <c r="V20" s="92">
        <v>15898</v>
      </c>
      <c r="W20" s="92">
        <v>0</v>
      </c>
      <c r="X20" s="92">
        <v>0</v>
      </c>
      <c r="Y20" s="92">
        <v>0</v>
      </c>
      <c r="Z20" s="92">
        <v>0</v>
      </c>
      <c r="AA20" s="92">
        <v>0</v>
      </c>
      <c r="AB20" s="92">
        <v>87788</v>
      </c>
      <c r="AC20" s="92">
        <v>0</v>
      </c>
      <c r="AD20" s="92">
        <v>0</v>
      </c>
      <c r="AE20" s="92">
        <v>0</v>
      </c>
      <c r="AF20" s="92">
        <v>0</v>
      </c>
      <c r="AG20" s="92">
        <v>0</v>
      </c>
    </row>
    <row r="21" spans="1:35" x14ac:dyDescent="0.25">
      <c r="A21" t="str">
        <f t="shared" si="0"/>
        <v>10-7-3</v>
      </c>
      <c r="B21">
        <v>10</v>
      </c>
      <c r="C21" s="92" t="s">
        <v>1023</v>
      </c>
      <c r="D21" s="92">
        <v>7</v>
      </c>
      <c r="E21" s="92" t="s">
        <v>586</v>
      </c>
      <c r="F21" s="92">
        <v>3</v>
      </c>
      <c r="G21" s="92" t="s">
        <v>201</v>
      </c>
      <c r="H21" s="92"/>
      <c r="I21" s="92">
        <v>0</v>
      </c>
      <c r="J21" s="92">
        <v>19382625</v>
      </c>
      <c r="K21" s="92" t="s">
        <v>1061</v>
      </c>
      <c r="L21" s="92">
        <v>64</v>
      </c>
      <c r="M21" s="92">
        <v>1501</v>
      </c>
      <c r="N21" s="92">
        <v>466</v>
      </c>
      <c r="O21" s="92">
        <v>466</v>
      </c>
      <c r="P21" s="92">
        <v>0</v>
      </c>
      <c r="Q21" s="92">
        <v>0</v>
      </c>
      <c r="R21" s="92">
        <v>0</v>
      </c>
      <c r="S21" s="92">
        <v>10</v>
      </c>
      <c r="T21" s="92">
        <v>4</v>
      </c>
      <c r="U21" s="92">
        <v>59</v>
      </c>
      <c r="V21" s="92">
        <v>0</v>
      </c>
      <c r="W21" s="92">
        <v>0</v>
      </c>
      <c r="X21" s="92">
        <v>0</v>
      </c>
      <c r="Y21" s="92">
        <v>0</v>
      </c>
      <c r="Z21" s="92">
        <v>0</v>
      </c>
      <c r="AA21" s="92">
        <v>0</v>
      </c>
      <c r="AB21" s="92">
        <v>155423</v>
      </c>
      <c r="AC21" s="92">
        <v>164981</v>
      </c>
      <c r="AD21" s="92">
        <v>175308</v>
      </c>
      <c r="AE21" s="92">
        <v>0</v>
      </c>
      <c r="AF21" s="92">
        <v>0</v>
      </c>
      <c r="AG21" s="92">
        <v>0</v>
      </c>
    </row>
    <row r="22" spans="1:35" x14ac:dyDescent="0.25">
      <c r="A22" t="str">
        <f t="shared" si="0"/>
        <v>39-4-158</v>
      </c>
      <c r="B22">
        <v>39</v>
      </c>
      <c r="C22" s="92" t="s">
        <v>79</v>
      </c>
      <c r="D22" s="92">
        <v>4</v>
      </c>
      <c r="E22" s="92" t="s">
        <v>66</v>
      </c>
      <c r="F22" s="92">
        <v>158</v>
      </c>
      <c r="G22" s="92" t="s">
        <v>966</v>
      </c>
      <c r="H22" s="92"/>
      <c r="I22" s="92">
        <v>0</v>
      </c>
      <c r="J22" s="92">
        <v>8569699</v>
      </c>
      <c r="K22" s="92" t="s">
        <v>1061</v>
      </c>
      <c r="L22" s="92">
        <v>2770</v>
      </c>
      <c r="M22" s="92">
        <v>74</v>
      </c>
      <c r="N22" s="92">
        <v>31</v>
      </c>
      <c r="O22" s="92">
        <v>31</v>
      </c>
      <c r="P22" s="92">
        <v>0</v>
      </c>
      <c r="Q22" s="92">
        <v>0</v>
      </c>
      <c r="R22" s="92">
        <v>0</v>
      </c>
      <c r="S22" s="92">
        <v>0</v>
      </c>
      <c r="T22" s="92">
        <v>0</v>
      </c>
      <c r="U22" s="92">
        <v>0</v>
      </c>
      <c r="V22" s="92">
        <v>0</v>
      </c>
      <c r="W22" s="92">
        <v>0</v>
      </c>
      <c r="X22" s="92">
        <v>0</v>
      </c>
      <c r="Y22" s="92">
        <v>0</v>
      </c>
      <c r="Z22" s="92">
        <v>0</v>
      </c>
      <c r="AA22" s="92">
        <v>0</v>
      </c>
      <c r="AB22" s="92">
        <v>605</v>
      </c>
      <c r="AC22" s="92">
        <v>625</v>
      </c>
      <c r="AD22" s="92">
        <v>644</v>
      </c>
      <c r="AE22" s="92">
        <v>0</v>
      </c>
      <c r="AF22" s="92">
        <v>0</v>
      </c>
      <c r="AG22" s="92">
        <v>0</v>
      </c>
    </row>
    <row r="23" spans="1:35" x14ac:dyDescent="0.25">
      <c r="A23" t="str">
        <f t="shared" si="0"/>
        <v>3-7-4</v>
      </c>
      <c r="B23">
        <v>3</v>
      </c>
      <c r="C23" s="92" t="s">
        <v>1018</v>
      </c>
      <c r="D23" s="92">
        <v>7</v>
      </c>
      <c r="E23" s="92" t="s">
        <v>586</v>
      </c>
      <c r="F23" s="92">
        <v>4</v>
      </c>
      <c r="G23" s="92" t="s">
        <v>106</v>
      </c>
      <c r="H23" s="92"/>
      <c r="I23" s="92">
        <v>0</v>
      </c>
      <c r="J23" s="92">
        <v>46489083</v>
      </c>
      <c r="K23" s="92" t="s">
        <v>1061</v>
      </c>
      <c r="L23" s="92">
        <v>952</v>
      </c>
      <c r="M23" s="92">
        <v>40</v>
      </c>
      <c r="N23" s="92">
        <v>59</v>
      </c>
      <c r="O23" s="92">
        <v>59</v>
      </c>
      <c r="P23" s="92">
        <v>0</v>
      </c>
      <c r="Q23" s="92">
        <v>0</v>
      </c>
      <c r="R23" s="92">
        <v>0</v>
      </c>
      <c r="S23" s="92">
        <v>0</v>
      </c>
      <c r="T23" s="92">
        <v>0</v>
      </c>
      <c r="U23" s="92">
        <v>0</v>
      </c>
      <c r="V23" s="92">
        <v>0</v>
      </c>
      <c r="W23" s="92">
        <v>0</v>
      </c>
      <c r="X23" s="92">
        <v>0</v>
      </c>
      <c r="Y23" s="92">
        <v>0</v>
      </c>
      <c r="Z23" s="92">
        <v>0</v>
      </c>
      <c r="AA23" s="92">
        <v>0</v>
      </c>
      <c r="AB23" s="92">
        <v>18020</v>
      </c>
      <c r="AC23" s="92">
        <v>22139</v>
      </c>
      <c r="AD23" s="92">
        <v>23123</v>
      </c>
      <c r="AE23" s="92">
        <v>0</v>
      </c>
      <c r="AF23" s="92">
        <v>0</v>
      </c>
      <c r="AG23" s="92">
        <v>0</v>
      </c>
    </row>
    <row r="24" spans="1:35" x14ac:dyDescent="0.25">
      <c r="A24" t="str">
        <f t="shared" si="0"/>
        <v>3-9-151</v>
      </c>
      <c r="B24">
        <v>3</v>
      </c>
      <c r="C24" s="92" t="s">
        <v>1018</v>
      </c>
      <c r="D24" s="92">
        <v>9</v>
      </c>
      <c r="E24" s="92" t="s">
        <v>588</v>
      </c>
      <c r="F24" s="92">
        <v>151</v>
      </c>
      <c r="G24" s="92" t="s">
        <v>650</v>
      </c>
      <c r="H24" s="92"/>
      <c r="I24" s="92">
        <v>53</v>
      </c>
      <c r="J24" s="92">
        <v>0</v>
      </c>
      <c r="K24" s="92" t="s">
        <v>1061</v>
      </c>
      <c r="L24" s="92">
        <v>0</v>
      </c>
      <c r="M24" s="92">
        <v>0</v>
      </c>
      <c r="N24" s="92">
        <v>0</v>
      </c>
      <c r="O24" s="92">
        <v>0</v>
      </c>
      <c r="P24" s="92">
        <v>0</v>
      </c>
      <c r="Q24" s="92">
        <v>0</v>
      </c>
      <c r="R24" s="92">
        <v>0</v>
      </c>
      <c r="S24" s="92">
        <v>0</v>
      </c>
      <c r="T24" s="92">
        <v>0</v>
      </c>
      <c r="U24" s="92">
        <v>0</v>
      </c>
      <c r="V24" s="92">
        <v>0</v>
      </c>
      <c r="W24" s="92">
        <v>0</v>
      </c>
      <c r="X24" s="92">
        <v>0</v>
      </c>
      <c r="Y24" s="92">
        <v>0</v>
      </c>
      <c r="Z24" s="92">
        <v>0</v>
      </c>
      <c r="AA24" s="92">
        <v>0</v>
      </c>
      <c r="AB24" s="92">
        <v>12074</v>
      </c>
      <c r="AC24" s="92">
        <v>12204</v>
      </c>
      <c r="AD24" s="92">
        <v>13121</v>
      </c>
      <c r="AE24" s="92">
        <v>0</v>
      </c>
      <c r="AF24" s="92">
        <v>0</v>
      </c>
      <c r="AG24" s="92">
        <v>0</v>
      </c>
      <c r="AI24" s="250">
        <v>3.4695400000000001E-4</v>
      </c>
    </row>
    <row r="25" spans="1:35" x14ac:dyDescent="0.25">
      <c r="A25" t="str">
        <f t="shared" si="0"/>
        <v>35-9-188</v>
      </c>
      <c r="B25">
        <v>35</v>
      </c>
      <c r="C25" s="92" t="s">
        <v>1195</v>
      </c>
      <c r="D25" s="92">
        <v>9</v>
      </c>
      <c r="E25" s="92" t="s">
        <v>588</v>
      </c>
      <c r="F25" s="92">
        <v>188</v>
      </c>
      <c r="G25" s="92" t="s">
        <v>501</v>
      </c>
      <c r="H25" s="92"/>
      <c r="I25" s="92">
        <v>1774</v>
      </c>
      <c r="J25" s="92">
        <v>0</v>
      </c>
      <c r="K25" s="92" t="s">
        <v>1061</v>
      </c>
      <c r="L25" s="92">
        <v>0</v>
      </c>
      <c r="M25" s="92">
        <v>0</v>
      </c>
      <c r="N25" s="92">
        <v>0</v>
      </c>
      <c r="O25" s="92">
        <v>0</v>
      </c>
      <c r="P25" s="92">
        <v>0</v>
      </c>
      <c r="Q25" s="92">
        <v>0</v>
      </c>
      <c r="R25" s="92">
        <v>0</v>
      </c>
      <c r="S25" s="92">
        <v>0</v>
      </c>
      <c r="T25" s="92">
        <v>0</v>
      </c>
      <c r="U25" s="92">
        <v>0</v>
      </c>
      <c r="V25" s="92">
        <v>0</v>
      </c>
      <c r="W25" s="92">
        <v>0</v>
      </c>
      <c r="X25" s="92">
        <v>0</v>
      </c>
      <c r="Y25" s="92">
        <v>0</v>
      </c>
      <c r="Z25" s="92">
        <v>0</v>
      </c>
      <c r="AA25" s="92">
        <v>0</v>
      </c>
      <c r="AB25" s="92">
        <v>8328</v>
      </c>
      <c r="AC25" s="92">
        <v>8328</v>
      </c>
      <c r="AD25" s="92">
        <v>8328</v>
      </c>
      <c r="AE25" s="92">
        <v>0</v>
      </c>
      <c r="AF25" s="92">
        <v>0</v>
      </c>
      <c r="AG25" s="92">
        <v>0</v>
      </c>
      <c r="AI25" s="250">
        <v>2.93257E-4</v>
      </c>
    </row>
    <row r="26" spans="1:35" x14ac:dyDescent="0.25">
      <c r="A26" t="str">
        <f t="shared" si="0"/>
        <v>30-21-16</v>
      </c>
      <c r="B26">
        <v>30</v>
      </c>
      <c r="C26" s="92" t="s">
        <v>1043</v>
      </c>
      <c r="D26" s="92">
        <v>21</v>
      </c>
      <c r="E26" s="92" t="s">
        <v>594</v>
      </c>
      <c r="F26" s="92">
        <v>16</v>
      </c>
      <c r="G26" s="92" t="s">
        <v>457</v>
      </c>
      <c r="H26" s="92"/>
      <c r="I26" s="92">
        <v>3088</v>
      </c>
      <c r="J26" s="92">
        <v>48759</v>
      </c>
      <c r="K26" s="92" t="s">
        <v>1061</v>
      </c>
      <c r="L26" s="92">
        <v>0</v>
      </c>
      <c r="M26" s="92">
        <v>1</v>
      </c>
      <c r="N26" s="92">
        <v>0</v>
      </c>
      <c r="O26" s="92">
        <v>0</v>
      </c>
      <c r="P26" s="92">
        <v>0</v>
      </c>
      <c r="Q26" s="92">
        <v>0</v>
      </c>
      <c r="R26" s="92">
        <v>0</v>
      </c>
      <c r="S26" s="92">
        <v>0</v>
      </c>
      <c r="T26" s="92">
        <v>0</v>
      </c>
      <c r="U26" s="92">
        <v>0</v>
      </c>
      <c r="V26" s="92">
        <v>0</v>
      </c>
      <c r="W26" s="92">
        <v>0</v>
      </c>
      <c r="X26" s="92">
        <v>0</v>
      </c>
      <c r="Y26" s="92">
        <v>0</v>
      </c>
      <c r="Z26" s="92">
        <v>0</v>
      </c>
      <c r="AA26" s="92">
        <v>0</v>
      </c>
      <c r="AB26" s="92">
        <v>11284</v>
      </c>
      <c r="AC26" s="92">
        <v>12187</v>
      </c>
      <c r="AD26" s="92">
        <v>12696</v>
      </c>
      <c r="AE26" s="92">
        <v>0</v>
      </c>
      <c r="AF26" s="92">
        <v>0</v>
      </c>
      <c r="AG26" s="92">
        <v>0</v>
      </c>
    </row>
    <row r="27" spans="1:35" x14ac:dyDescent="0.25">
      <c r="A27" t="str">
        <f t="shared" si="0"/>
        <v>20-9-116</v>
      </c>
      <c r="B27">
        <v>20</v>
      </c>
      <c r="C27" s="92" t="s">
        <v>1033</v>
      </c>
      <c r="D27" s="92">
        <v>9</v>
      </c>
      <c r="E27" s="92" t="s">
        <v>588</v>
      </c>
      <c r="F27" s="92">
        <v>116</v>
      </c>
      <c r="G27" s="92" t="s">
        <v>828</v>
      </c>
      <c r="H27" s="92"/>
      <c r="I27" s="92">
        <v>0</v>
      </c>
      <c r="J27" s="92">
        <v>0</v>
      </c>
      <c r="K27" s="92" t="s">
        <v>1061</v>
      </c>
      <c r="L27" s="92">
        <v>0</v>
      </c>
      <c r="M27" s="92">
        <v>33</v>
      </c>
      <c r="N27" s="92">
        <v>0</v>
      </c>
      <c r="O27" s="92">
        <v>0</v>
      </c>
      <c r="P27" s="92">
        <v>0</v>
      </c>
      <c r="Q27" s="92">
        <v>0</v>
      </c>
      <c r="R27" s="92">
        <v>0</v>
      </c>
      <c r="S27" s="92">
        <v>0</v>
      </c>
      <c r="T27" s="92">
        <v>0</v>
      </c>
      <c r="U27" s="92">
        <v>0</v>
      </c>
      <c r="V27" s="92">
        <v>0</v>
      </c>
      <c r="W27" s="92">
        <v>0</v>
      </c>
      <c r="X27" s="92">
        <v>0</v>
      </c>
      <c r="Y27" s="92">
        <v>0</v>
      </c>
      <c r="Z27" s="92">
        <v>0</v>
      </c>
      <c r="AA27" s="92">
        <v>0</v>
      </c>
      <c r="AB27" s="92">
        <v>23366</v>
      </c>
      <c r="AC27" s="92">
        <v>24780</v>
      </c>
      <c r="AD27" s="92">
        <v>24780</v>
      </c>
      <c r="AE27" s="92">
        <v>0</v>
      </c>
      <c r="AF27" s="92">
        <v>0</v>
      </c>
      <c r="AG27" s="92">
        <v>0</v>
      </c>
      <c r="AI27" s="250">
        <v>1.0820129999999999E-3</v>
      </c>
    </row>
    <row r="28" spans="1:35" x14ac:dyDescent="0.25">
      <c r="A28" t="str">
        <f t="shared" si="0"/>
        <v>20-11-108</v>
      </c>
      <c r="B28">
        <v>20</v>
      </c>
      <c r="C28" s="92" t="s">
        <v>1033</v>
      </c>
      <c r="D28" s="92">
        <v>11</v>
      </c>
      <c r="E28" s="92" t="s">
        <v>1062</v>
      </c>
      <c r="F28" s="92">
        <v>108</v>
      </c>
      <c r="G28" s="92" t="s">
        <v>310</v>
      </c>
      <c r="H28" s="92"/>
      <c r="I28" s="92">
        <v>5380</v>
      </c>
      <c r="J28" s="92">
        <v>378604</v>
      </c>
      <c r="K28" s="92" t="s">
        <v>1061</v>
      </c>
      <c r="L28" s="92">
        <v>0</v>
      </c>
      <c r="M28" s="92">
        <v>400</v>
      </c>
      <c r="N28" s="92">
        <v>0</v>
      </c>
      <c r="O28" s="92">
        <v>0</v>
      </c>
      <c r="P28" s="92">
        <v>0</v>
      </c>
      <c r="Q28" s="92">
        <v>0</v>
      </c>
      <c r="R28" s="92">
        <v>0</v>
      </c>
      <c r="S28" s="92">
        <v>0</v>
      </c>
      <c r="T28" s="92">
        <v>0</v>
      </c>
      <c r="U28" s="92">
        <v>0</v>
      </c>
      <c r="V28" s="92">
        <v>0</v>
      </c>
      <c r="W28" s="92">
        <v>0</v>
      </c>
      <c r="X28" s="92">
        <v>0</v>
      </c>
      <c r="Y28" s="92">
        <v>0</v>
      </c>
      <c r="Z28" s="92">
        <v>0</v>
      </c>
      <c r="AA28" s="92">
        <v>0</v>
      </c>
      <c r="AB28" s="92">
        <v>29049</v>
      </c>
      <c r="AC28" s="92">
        <v>30759</v>
      </c>
      <c r="AD28" s="92">
        <v>21694</v>
      </c>
      <c r="AE28" s="92">
        <v>0</v>
      </c>
      <c r="AF28" s="92">
        <v>0</v>
      </c>
      <c r="AG28" s="92">
        <v>0</v>
      </c>
    </row>
    <row r="29" spans="1:35" x14ac:dyDescent="0.25">
      <c r="A29" t="str">
        <f t="shared" si="0"/>
        <v>40-20-2</v>
      </c>
      <c r="B29">
        <v>40</v>
      </c>
      <c r="C29" s="92" t="s">
        <v>1051</v>
      </c>
      <c r="D29" s="92">
        <v>20</v>
      </c>
      <c r="E29" s="92" t="s">
        <v>153</v>
      </c>
      <c r="F29" s="92">
        <v>2</v>
      </c>
      <c r="G29" s="92" t="s">
        <v>1175</v>
      </c>
      <c r="H29" s="92"/>
      <c r="I29" s="92">
        <v>329</v>
      </c>
      <c r="J29" s="92">
        <v>198939</v>
      </c>
      <c r="K29" s="92"/>
      <c r="L29" s="92">
        <v>0</v>
      </c>
      <c r="M29" s="92">
        <v>43</v>
      </c>
      <c r="N29" s="92">
        <v>0</v>
      </c>
      <c r="O29" s="92">
        <v>0</v>
      </c>
      <c r="P29" s="92">
        <v>0</v>
      </c>
      <c r="Q29" s="92">
        <v>0</v>
      </c>
      <c r="R29" s="92">
        <v>0</v>
      </c>
      <c r="S29" s="92">
        <v>0</v>
      </c>
      <c r="T29" s="92">
        <v>0</v>
      </c>
      <c r="U29" s="92">
        <v>0</v>
      </c>
      <c r="V29" s="92">
        <v>0</v>
      </c>
      <c r="W29" s="92">
        <v>0</v>
      </c>
      <c r="X29" s="92">
        <v>0</v>
      </c>
      <c r="Y29" s="92">
        <v>0</v>
      </c>
      <c r="Z29" s="92">
        <v>0</v>
      </c>
      <c r="AA29" s="92">
        <v>0</v>
      </c>
      <c r="AB29" s="92">
        <v>0</v>
      </c>
      <c r="AC29" s="92">
        <v>4340</v>
      </c>
      <c r="AD29" s="92">
        <v>2979</v>
      </c>
      <c r="AE29" s="92">
        <v>0</v>
      </c>
      <c r="AF29" s="92">
        <v>0</v>
      </c>
      <c r="AG29" s="92">
        <v>0</v>
      </c>
    </row>
    <row r="30" spans="1:35" x14ac:dyDescent="0.25">
      <c r="A30" t="str">
        <f t="shared" si="0"/>
        <v>40-4-163</v>
      </c>
      <c r="B30">
        <v>40</v>
      </c>
      <c r="C30" s="92" t="s">
        <v>1051</v>
      </c>
      <c r="D30" s="92">
        <v>4</v>
      </c>
      <c r="E30" s="92" t="s">
        <v>66</v>
      </c>
      <c r="F30" s="92">
        <v>163</v>
      </c>
      <c r="G30" s="92" t="s">
        <v>974</v>
      </c>
      <c r="H30" s="92"/>
      <c r="I30" s="92">
        <v>0</v>
      </c>
      <c r="J30" s="92">
        <v>6337633</v>
      </c>
      <c r="K30" s="92" t="s">
        <v>1061</v>
      </c>
      <c r="L30" s="92">
        <v>0</v>
      </c>
      <c r="M30" s="92">
        <v>3063</v>
      </c>
      <c r="N30" s="92">
        <v>119</v>
      </c>
      <c r="O30" s="92">
        <v>119</v>
      </c>
      <c r="P30" s="92">
        <v>0</v>
      </c>
      <c r="Q30" s="92">
        <v>0</v>
      </c>
      <c r="R30" s="92">
        <v>0</v>
      </c>
      <c r="S30" s="92">
        <v>0</v>
      </c>
      <c r="T30" s="92">
        <v>0</v>
      </c>
      <c r="U30" s="92">
        <v>0</v>
      </c>
      <c r="V30" s="92">
        <v>0</v>
      </c>
      <c r="W30" s="92">
        <v>0</v>
      </c>
      <c r="X30" s="92">
        <v>0</v>
      </c>
      <c r="Y30" s="92">
        <v>0</v>
      </c>
      <c r="Z30" s="92">
        <v>0</v>
      </c>
      <c r="AA30" s="92">
        <v>0</v>
      </c>
      <c r="AB30" s="92">
        <v>4386</v>
      </c>
      <c r="AC30" s="92">
        <v>4256</v>
      </c>
      <c r="AD30" s="92">
        <v>4256</v>
      </c>
      <c r="AE30" s="92">
        <v>0</v>
      </c>
      <c r="AF30" s="92">
        <v>0</v>
      </c>
      <c r="AG30" s="92">
        <v>0</v>
      </c>
    </row>
    <row r="31" spans="1:35" x14ac:dyDescent="0.25">
      <c r="A31" t="str">
        <f t="shared" si="0"/>
        <v>1-30-3</v>
      </c>
      <c r="B31">
        <v>1</v>
      </c>
      <c r="C31" s="92" t="s">
        <v>1016</v>
      </c>
      <c r="D31" s="92">
        <v>30</v>
      </c>
      <c r="E31" s="92" t="s">
        <v>590</v>
      </c>
      <c r="F31" s="92">
        <v>3</v>
      </c>
      <c r="G31" s="92" t="s">
        <v>621</v>
      </c>
      <c r="H31" s="92"/>
      <c r="I31" s="92">
        <v>0</v>
      </c>
      <c r="J31" s="92">
        <v>0</v>
      </c>
      <c r="K31" s="92">
        <v>1</v>
      </c>
      <c r="L31" s="92">
        <v>0</v>
      </c>
      <c r="M31" s="92">
        <v>0</v>
      </c>
      <c r="N31" s="92">
        <v>0</v>
      </c>
      <c r="O31" s="92">
        <v>0</v>
      </c>
      <c r="P31" s="92">
        <v>0</v>
      </c>
      <c r="Q31" s="92">
        <v>0</v>
      </c>
      <c r="R31" s="92">
        <v>0</v>
      </c>
      <c r="S31" s="92">
        <v>0</v>
      </c>
      <c r="T31" s="92">
        <v>0</v>
      </c>
      <c r="U31" s="92">
        <v>0</v>
      </c>
      <c r="V31" s="92">
        <v>0</v>
      </c>
      <c r="W31" s="92">
        <v>0</v>
      </c>
      <c r="X31" s="92">
        <v>0</v>
      </c>
      <c r="Y31" s="92">
        <v>0</v>
      </c>
      <c r="Z31" s="92">
        <v>0</v>
      </c>
      <c r="AA31" s="92">
        <v>0</v>
      </c>
      <c r="AB31" s="92">
        <v>10722</v>
      </c>
      <c r="AC31" s="92">
        <v>11580</v>
      </c>
      <c r="AD31" s="92">
        <v>12168</v>
      </c>
      <c r="AE31" s="92">
        <v>0</v>
      </c>
      <c r="AF31" s="92">
        <v>0</v>
      </c>
      <c r="AG31" s="92">
        <v>0</v>
      </c>
    </row>
    <row r="32" spans="1:35" x14ac:dyDescent="0.25">
      <c r="A32" s="177" t="s">
        <v>1168</v>
      </c>
      <c r="B32">
        <v>8</v>
      </c>
      <c r="C32" s="92" t="s">
        <v>1021</v>
      </c>
      <c r="D32" s="92">
        <v>30</v>
      </c>
      <c r="E32" s="92" t="s">
        <v>590</v>
      </c>
      <c r="F32" s="92">
        <v>3</v>
      </c>
      <c r="G32" s="92" t="s">
        <v>621</v>
      </c>
      <c r="H32" s="92"/>
      <c r="I32" s="92">
        <v>0</v>
      </c>
      <c r="J32" s="92">
        <v>0</v>
      </c>
      <c r="K32" s="92">
        <v>1</v>
      </c>
      <c r="L32" s="92">
        <v>0</v>
      </c>
      <c r="M32" s="92">
        <v>0</v>
      </c>
      <c r="N32" s="92">
        <v>0</v>
      </c>
      <c r="O32" s="92">
        <v>0</v>
      </c>
      <c r="P32" s="92">
        <v>0</v>
      </c>
      <c r="Q32" s="92">
        <v>0</v>
      </c>
      <c r="R32" s="92">
        <v>0</v>
      </c>
      <c r="S32" s="92">
        <v>0</v>
      </c>
      <c r="T32" s="92">
        <v>0</v>
      </c>
      <c r="U32" s="92">
        <v>0</v>
      </c>
      <c r="V32" s="92">
        <v>0</v>
      </c>
      <c r="W32" s="92">
        <v>0</v>
      </c>
      <c r="X32" s="92">
        <v>0</v>
      </c>
      <c r="Y32" s="92">
        <v>0</v>
      </c>
      <c r="Z32" s="92">
        <v>0</v>
      </c>
      <c r="AA32" s="92">
        <v>0</v>
      </c>
      <c r="AB32" s="92">
        <v>10722</v>
      </c>
      <c r="AC32" s="92">
        <v>11580</v>
      </c>
      <c r="AD32" s="92">
        <v>12168</v>
      </c>
      <c r="AE32" s="92">
        <v>0</v>
      </c>
      <c r="AF32" s="92">
        <v>0</v>
      </c>
      <c r="AG32" s="92">
        <v>0</v>
      </c>
    </row>
    <row r="33" spans="1:35" x14ac:dyDescent="0.25">
      <c r="A33" s="177" t="s">
        <v>1169</v>
      </c>
      <c r="B33">
        <v>23</v>
      </c>
      <c r="C33" s="92" t="s">
        <v>1036</v>
      </c>
      <c r="D33" s="92">
        <v>30</v>
      </c>
      <c r="E33" s="92" t="s">
        <v>590</v>
      </c>
      <c r="F33" s="92">
        <v>3</v>
      </c>
      <c r="G33" s="92" t="s">
        <v>621</v>
      </c>
      <c r="H33" s="92"/>
      <c r="I33" s="92">
        <v>0</v>
      </c>
      <c r="J33" s="92">
        <v>0</v>
      </c>
      <c r="K33" s="92">
        <v>1</v>
      </c>
      <c r="L33" s="92">
        <v>0</v>
      </c>
      <c r="M33" s="92">
        <v>0</v>
      </c>
      <c r="N33" s="92">
        <v>0</v>
      </c>
      <c r="O33" s="92">
        <v>0</v>
      </c>
      <c r="P33" s="92">
        <v>0</v>
      </c>
      <c r="Q33" s="92">
        <v>0</v>
      </c>
      <c r="R33" s="92">
        <v>0</v>
      </c>
      <c r="S33" s="92">
        <v>0</v>
      </c>
      <c r="T33" s="92">
        <v>0</v>
      </c>
      <c r="U33" s="92">
        <v>0</v>
      </c>
      <c r="V33" s="92">
        <v>0</v>
      </c>
      <c r="W33" s="92">
        <v>0</v>
      </c>
      <c r="X33" s="92">
        <v>0</v>
      </c>
      <c r="Y33" s="92">
        <v>0</v>
      </c>
      <c r="Z33" s="92">
        <v>0</v>
      </c>
      <c r="AA33" s="92">
        <v>0</v>
      </c>
      <c r="AB33" s="92">
        <v>10722</v>
      </c>
      <c r="AC33" s="92">
        <v>11580</v>
      </c>
      <c r="AD33" s="92">
        <v>12168</v>
      </c>
      <c r="AE33" s="92">
        <v>0</v>
      </c>
      <c r="AF33" s="92">
        <v>0</v>
      </c>
      <c r="AG33" s="92">
        <v>0</v>
      </c>
    </row>
    <row r="34" spans="1:35" x14ac:dyDescent="0.25">
      <c r="A34" t="str">
        <f t="shared" ref="A34:A65" si="1">B34&amp;"-"&amp;D34&amp;"-"&amp;F34</f>
        <v>4-9-108</v>
      </c>
      <c r="B34">
        <v>4</v>
      </c>
      <c r="C34" s="92" t="s">
        <v>1194</v>
      </c>
      <c r="D34" s="92">
        <v>9</v>
      </c>
      <c r="E34" s="92" t="s">
        <v>588</v>
      </c>
      <c r="F34" s="92">
        <v>108</v>
      </c>
      <c r="G34" s="92" t="s">
        <v>658</v>
      </c>
      <c r="H34" s="92"/>
      <c r="I34" s="92">
        <v>231</v>
      </c>
      <c r="J34" s="92">
        <v>0</v>
      </c>
      <c r="K34" s="92">
        <v>1</v>
      </c>
      <c r="L34" s="92">
        <v>2</v>
      </c>
      <c r="M34" s="92">
        <v>1</v>
      </c>
      <c r="N34" s="92">
        <v>0</v>
      </c>
      <c r="O34" s="92">
        <v>0</v>
      </c>
      <c r="P34" s="92">
        <v>0</v>
      </c>
      <c r="Q34" s="92">
        <v>0</v>
      </c>
      <c r="R34" s="92">
        <v>0</v>
      </c>
      <c r="S34" s="92">
        <v>0</v>
      </c>
      <c r="T34" s="92">
        <v>0</v>
      </c>
      <c r="U34" s="92">
        <v>0</v>
      </c>
      <c r="V34" s="92">
        <v>0</v>
      </c>
      <c r="W34" s="92">
        <v>0</v>
      </c>
      <c r="X34" s="92">
        <v>0</v>
      </c>
      <c r="Y34" s="92">
        <v>0</v>
      </c>
      <c r="Z34" s="92">
        <v>0</v>
      </c>
      <c r="AA34" s="92">
        <v>0</v>
      </c>
      <c r="AB34" s="92">
        <v>6404</v>
      </c>
      <c r="AC34" s="92">
        <v>6694</v>
      </c>
      <c r="AD34" s="92">
        <v>6895</v>
      </c>
      <c r="AE34" s="92">
        <v>0</v>
      </c>
      <c r="AF34" s="92">
        <v>0</v>
      </c>
      <c r="AG34" s="92">
        <v>0</v>
      </c>
      <c r="AI34" s="250">
        <v>1.3582000000000001E-4</v>
      </c>
    </row>
    <row r="35" spans="1:35" x14ac:dyDescent="0.25">
      <c r="A35" t="str">
        <f t="shared" si="1"/>
        <v>15-9-108</v>
      </c>
      <c r="B35">
        <v>15</v>
      </c>
      <c r="C35" s="92" t="s">
        <v>1028</v>
      </c>
      <c r="D35" s="92">
        <v>9</v>
      </c>
      <c r="E35" s="92" t="s">
        <v>588</v>
      </c>
      <c r="F35" s="92">
        <v>108</v>
      </c>
      <c r="G35" s="92" t="s">
        <v>658</v>
      </c>
      <c r="H35" s="92"/>
      <c r="I35" s="92">
        <v>231</v>
      </c>
      <c r="J35" s="92">
        <v>0</v>
      </c>
      <c r="K35" s="92">
        <v>1</v>
      </c>
      <c r="L35" s="92">
        <v>2</v>
      </c>
      <c r="M35" s="92">
        <v>1</v>
      </c>
      <c r="N35" s="92">
        <v>0</v>
      </c>
      <c r="O35" s="92">
        <v>0</v>
      </c>
      <c r="P35" s="92">
        <v>0</v>
      </c>
      <c r="Q35" s="92">
        <v>0</v>
      </c>
      <c r="R35" s="92">
        <v>0</v>
      </c>
      <c r="S35" s="92">
        <v>0</v>
      </c>
      <c r="T35" s="92">
        <v>0</v>
      </c>
      <c r="U35" s="92">
        <v>0</v>
      </c>
      <c r="V35" s="92">
        <v>0</v>
      </c>
      <c r="W35" s="92">
        <v>0</v>
      </c>
      <c r="X35" s="92">
        <v>0</v>
      </c>
      <c r="Y35" s="92">
        <v>0</v>
      </c>
      <c r="Z35" s="92">
        <v>0</v>
      </c>
      <c r="AA35" s="92">
        <v>0</v>
      </c>
      <c r="AB35" s="92">
        <v>6404</v>
      </c>
      <c r="AC35" s="92">
        <v>6694</v>
      </c>
      <c r="AD35" s="92">
        <v>6895</v>
      </c>
      <c r="AE35" s="92">
        <v>0</v>
      </c>
      <c r="AF35" s="92">
        <v>0</v>
      </c>
      <c r="AG35" s="92">
        <v>0</v>
      </c>
      <c r="AI35" s="250">
        <v>1.3582000000000001E-4</v>
      </c>
    </row>
    <row r="36" spans="1:35" x14ac:dyDescent="0.25">
      <c r="A36" t="str">
        <f t="shared" si="1"/>
        <v>15-7-5</v>
      </c>
      <c r="B36">
        <v>15</v>
      </c>
      <c r="C36" s="92" t="s">
        <v>1028</v>
      </c>
      <c r="D36" s="92">
        <v>7</v>
      </c>
      <c r="E36" s="92" t="s">
        <v>586</v>
      </c>
      <c r="F36" s="92">
        <v>5</v>
      </c>
      <c r="G36" s="92" t="s">
        <v>256</v>
      </c>
      <c r="H36" s="92"/>
      <c r="I36" s="92">
        <v>0</v>
      </c>
      <c r="J36" s="92">
        <v>57392993</v>
      </c>
      <c r="K36" s="92" t="s">
        <v>1061</v>
      </c>
      <c r="L36" s="92">
        <v>548</v>
      </c>
      <c r="M36" s="92">
        <v>186</v>
      </c>
      <c r="N36" s="92">
        <v>69</v>
      </c>
      <c r="O36" s="92">
        <v>69</v>
      </c>
      <c r="P36" s="92">
        <v>0</v>
      </c>
      <c r="Q36" s="92">
        <v>0</v>
      </c>
      <c r="R36" s="92">
        <v>0</v>
      </c>
      <c r="S36" s="92">
        <v>0</v>
      </c>
      <c r="T36" s="92">
        <v>0</v>
      </c>
      <c r="U36" s="92">
        <v>0</v>
      </c>
      <c r="V36" s="92">
        <v>0</v>
      </c>
      <c r="W36" s="92">
        <v>0</v>
      </c>
      <c r="X36" s="92">
        <v>0</v>
      </c>
      <c r="Y36" s="92">
        <v>0</v>
      </c>
      <c r="Z36" s="92">
        <v>0</v>
      </c>
      <c r="AA36" s="92">
        <v>0</v>
      </c>
      <c r="AB36" s="92">
        <v>4005</v>
      </c>
      <c r="AC36" s="92">
        <v>4758</v>
      </c>
      <c r="AD36" s="92">
        <v>4975</v>
      </c>
      <c r="AE36" s="92">
        <v>0</v>
      </c>
      <c r="AF36" s="92">
        <v>0</v>
      </c>
      <c r="AG36" s="92">
        <v>0</v>
      </c>
    </row>
    <row r="37" spans="1:35" x14ac:dyDescent="0.25">
      <c r="A37" t="str">
        <f t="shared" si="1"/>
        <v>3-15-25</v>
      </c>
      <c r="B37">
        <v>3</v>
      </c>
      <c r="C37" s="92" t="s">
        <v>1018</v>
      </c>
      <c r="D37" s="92">
        <v>15</v>
      </c>
      <c r="E37" s="92" t="s">
        <v>152</v>
      </c>
      <c r="F37" s="92">
        <v>25</v>
      </c>
      <c r="G37" s="92" t="s">
        <v>654</v>
      </c>
      <c r="H37" s="92"/>
      <c r="I37" s="92">
        <v>156179</v>
      </c>
      <c r="J37" s="92">
        <v>610432209</v>
      </c>
      <c r="K37" s="92" t="s">
        <v>1061</v>
      </c>
      <c r="L37" s="92">
        <v>0</v>
      </c>
      <c r="M37" s="92">
        <v>2805</v>
      </c>
      <c r="N37" s="92">
        <v>513</v>
      </c>
      <c r="O37" s="92">
        <v>513</v>
      </c>
      <c r="P37" s="92">
        <v>0</v>
      </c>
      <c r="Q37" s="92">
        <v>0</v>
      </c>
      <c r="R37" s="92">
        <v>0</v>
      </c>
      <c r="S37" s="92">
        <v>0</v>
      </c>
      <c r="T37" s="92">
        <v>0</v>
      </c>
      <c r="U37" s="92">
        <v>0</v>
      </c>
      <c r="V37" s="92">
        <v>0</v>
      </c>
      <c r="W37" s="92">
        <v>0</v>
      </c>
      <c r="X37" s="92">
        <v>0</v>
      </c>
      <c r="Y37" s="92">
        <v>0</v>
      </c>
      <c r="Z37" s="92">
        <v>0</v>
      </c>
      <c r="AA37" s="92">
        <v>0</v>
      </c>
      <c r="AB37" s="92">
        <v>177339</v>
      </c>
      <c r="AC37" s="92">
        <v>177339</v>
      </c>
      <c r="AD37" s="92">
        <v>177339</v>
      </c>
      <c r="AE37" s="92">
        <v>0</v>
      </c>
      <c r="AF37" s="92">
        <v>0</v>
      </c>
      <c r="AG37" s="92">
        <v>0</v>
      </c>
    </row>
    <row r="38" spans="1:35" x14ac:dyDescent="0.25">
      <c r="A38" t="str">
        <f t="shared" si="1"/>
        <v>3-5-10</v>
      </c>
      <c r="B38">
        <v>3</v>
      </c>
      <c r="C38" s="92" t="s">
        <v>1018</v>
      </c>
      <c r="D38" s="92">
        <v>5</v>
      </c>
      <c r="E38" s="92" t="s">
        <v>200</v>
      </c>
      <c r="F38" s="92">
        <v>10</v>
      </c>
      <c r="G38" s="92" t="s">
        <v>643</v>
      </c>
      <c r="H38" s="92"/>
      <c r="I38" s="92">
        <v>290298</v>
      </c>
      <c r="J38" s="92">
        <v>610432209</v>
      </c>
      <c r="K38" s="92" t="s">
        <v>1061</v>
      </c>
      <c r="L38" s="92">
        <v>2820</v>
      </c>
      <c r="M38" s="92">
        <v>20267</v>
      </c>
      <c r="N38" s="92">
        <v>6130</v>
      </c>
      <c r="O38" s="92">
        <v>6130</v>
      </c>
      <c r="P38" s="92">
        <v>0</v>
      </c>
      <c r="Q38" s="92">
        <v>0</v>
      </c>
      <c r="R38" s="92">
        <v>0</v>
      </c>
      <c r="S38" s="92">
        <v>0</v>
      </c>
      <c r="T38" s="92">
        <v>0</v>
      </c>
      <c r="U38" s="92">
        <v>0</v>
      </c>
      <c r="V38" s="92">
        <v>0</v>
      </c>
      <c r="W38" s="92">
        <v>0</v>
      </c>
      <c r="X38" s="92">
        <v>0</v>
      </c>
      <c r="Y38" s="92">
        <v>0</v>
      </c>
      <c r="Z38" s="92">
        <v>0</v>
      </c>
      <c r="AA38" s="92">
        <v>0</v>
      </c>
      <c r="AB38" s="92">
        <v>2120164</v>
      </c>
      <c r="AC38" s="92">
        <v>2197973</v>
      </c>
      <c r="AD38" s="92">
        <v>2289107</v>
      </c>
      <c r="AE38" s="92">
        <v>0</v>
      </c>
      <c r="AF38" s="92">
        <v>0</v>
      </c>
      <c r="AG38" s="92">
        <v>0</v>
      </c>
      <c r="AI38">
        <v>2.22282E-4</v>
      </c>
    </row>
    <row r="39" spans="1:35" x14ac:dyDescent="0.25">
      <c r="A39" t="str">
        <f t="shared" si="1"/>
        <v>3-11-71</v>
      </c>
      <c r="B39">
        <v>3</v>
      </c>
      <c r="C39" s="92" t="s">
        <v>1018</v>
      </c>
      <c r="D39" s="92">
        <v>11</v>
      </c>
      <c r="E39" s="92" t="s">
        <v>1062</v>
      </c>
      <c r="F39" s="92">
        <v>71</v>
      </c>
      <c r="G39" s="92" t="s">
        <v>652</v>
      </c>
      <c r="H39" s="92">
        <v>1</v>
      </c>
      <c r="I39" s="92">
        <v>0</v>
      </c>
      <c r="J39" s="92">
        <v>479733977</v>
      </c>
      <c r="K39" s="92"/>
      <c r="L39" s="92">
        <v>0</v>
      </c>
      <c r="M39" s="92">
        <v>0</v>
      </c>
      <c r="N39" s="92">
        <v>0</v>
      </c>
      <c r="O39" s="92">
        <v>0</v>
      </c>
      <c r="P39" s="92">
        <v>0</v>
      </c>
      <c r="Q39" s="92">
        <v>0</v>
      </c>
      <c r="R39" s="92">
        <v>0</v>
      </c>
      <c r="S39" s="92">
        <v>0</v>
      </c>
      <c r="T39" s="92">
        <v>0</v>
      </c>
      <c r="U39" s="92">
        <v>0</v>
      </c>
      <c r="V39" s="92">
        <v>0</v>
      </c>
      <c r="W39" s="92">
        <v>0</v>
      </c>
      <c r="X39" s="92">
        <v>0</v>
      </c>
      <c r="Y39" s="92">
        <v>0</v>
      </c>
      <c r="Z39" s="92">
        <v>0</v>
      </c>
      <c r="AA39" s="92">
        <v>0</v>
      </c>
      <c r="AB39" s="92">
        <v>2557709</v>
      </c>
      <c r="AC39" s="92">
        <v>2299242</v>
      </c>
      <c r="AD39" s="92">
        <v>2240935</v>
      </c>
      <c r="AE39" s="92">
        <v>0</v>
      </c>
      <c r="AF39" s="92">
        <v>0</v>
      </c>
      <c r="AG39" s="92">
        <v>0</v>
      </c>
    </row>
    <row r="40" spans="1:35" x14ac:dyDescent="0.25">
      <c r="A40" t="str">
        <f t="shared" si="1"/>
        <v>3-2-3</v>
      </c>
      <c r="B40">
        <v>3</v>
      </c>
      <c r="C40" s="92" t="s">
        <v>1018</v>
      </c>
      <c r="D40" s="92">
        <v>2</v>
      </c>
      <c r="E40" s="92" t="s">
        <v>53</v>
      </c>
      <c r="F40" s="92">
        <v>3</v>
      </c>
      <c r="G40" s="92" t="s">
        <v>98</v>
      </c>
      <c r="H40" s="92"/>
      <c r="I40" s="92">
        <v>3112141</v>
      </c>
      <c r="J40" s="92">
        <v>610432209</v>
      </c>
      <c r="K40" s="92"/>
      <c r="L40" s="92">
        <v>66253</v>
      </c>
      <c r="M40" s="92">
        <v>267568</v>
      </c>
      <c r="N40" s="92">
        <v>88984</v>
      </c>
      <c r="O40" s="92">
        <v>86393</v>
      </c>
      <c r="P40" s="92">
        <v>0</v>
      </c>
      <c r="Q40" s="92">
        <v>0</v>
      </c>
      <c r="R40" s="92">
        <v>0</v>
      </c>
      <c r="S40" s="92">
        <v>0</v>
      </c>
      <c r="T40" s="92">
        <v>0</v>
      </c>
      <c r="U40" s="92">
        <v>0</v>
      </c>
      <c r="V40" s="92">
        <v>0</v>
      </c>
      <c r="W40" s="92">
        <v>0</v>
      </c>
      <c r="X40" s="92">
        <v>0</v>
      </c>
      <c r="Y40" s="92">
        <v>0</v>
      </c>
      <c r="Z40" s="92">
        <v>0</v>
      </c>
      <c r="AA40" s="92">
        <v>0</v>
      </c>
      <c r="AB40" s="92">
        <v>26618178</v>
      </c>
      <c r="AC40" s="92">
        <v>27629033</v>
      </c>
      <c r="AD40" s="92">
        <v>29037412</v>
      </c>
      <c r="AE40" s="92">
        <v>0</v>
      </c>
      <c r="AF40" s="92">
        <v>0</v>
      </c>
      <c r="AG40" s="92">
        <v>0</v>
      </c>
      <c r="AH40" s="92" t="s">
        <v>1121</v>
      </c>
    </row>
    <row r="41" spans="1:35" x14ac:dyDescent="0.25">
      <c r="A41" t="str">
        <f t="shared" si="1"/>
        <v>6-7-6</v>
      </c>
      <c r="B41">
        <v>6</v>
      </c>
      <c r="C41" s="92" t="s">
        <v>1020</v>
      </c>
      <c r="D41" s="92">
        <v>7</v>
      </c>
      <c r="E41" s="92" t="s">
        <v>586</v>
      </c>
      <c r="F41" s="92">
        <v>6</v>
      </c>
      <c r="G41" s="92" t="s">
        <v>140</v>
      </c>
      <c r="H41" s="92"/>
      <c r="I41" s="92">
        <v>0</v>
      </c>
      <c r="J41" s="92">
        <v>23899362</v>
      </c>
      <c r="K41" s="92" t="s">
        <v>1061</v>
      </c>
      <c r="L41" s="92">
        <v>1253</v>
      </c>
      <c r="M41" s="92">
        <v>253</v>
      </c>
      <c r="N41" s="92">
        <v>120</v>
      </c>
      <c r="O41" s="92">
        <v>120</v>
      </c>
      <c r="P41" s="92">
        <v>0</v>
      </c>
      <c r="Q41" s="92">
        <v>0</v>
      </c>
      <c r="R41" s="92">
        <v>0</v>
      </c>
      <c r="S41" s="92">
        <v>0</v>
      </c>
      <c r="T41" s="92">
        <v>0</v>
      </c>
      <c r="U41" s="92">
        <v>0</v>
      </c>
      <c r="V41" s="92">
        <v>0</v>
      </c>
      <c r="W41" s="92">
        <v>0</v>
      </c>
      <c r="X41" s="92">
        <v>0</v>
      </c>
      <c r="Y41" s="92">
        <v>0</v>
      </c>
      <c r="Z41" s="92">
        <v>0</v>
      </c>
      <c r="AA41" s="92">
        <v>0</v>
      </c>
      <c r="AB41" s="92">
        <v>41000</v>
      </c>
      <c r="AC41" s="92">
        <v>42888</v>
      </c>
      <c r="AD41" s="92">
        <v>45255</v>
      </c>
      <c r="AE41" s="92">
        <v>0</v>
      </c>
      <c r="AF41" s="92">
        <v>0</v>
      </c>
      <c r="AG41" s="92">
        <v>0</v>
      </c>
    </row>
    <row r="42" spans="1:35" x14ac:dyDescent="0.25">
      <c r="A42" t="str">
        <f t="shared" si="1"/>
        <v>8-4-26</v>
      </c>
      <c r="B42">
        <v>8</v>
      </c>
      <c r="C42" s="92" t="s">
        <v>1021</v>
      </c>
      <c r="D42" s="92">
        <v>4</v>
      </c>
      <c r="E42" s="92" t="s">
        <v>66</v>
      </c>
      <c r="F42" s="92">
        <v>26</v>
      </c>
      <c r="G42" s="92" t="s">
        <v>699</v>
      </c>
      <c r="H42" s="92"/>
      <c r="I42" s="92">
        <v>0</v>
      </c>
      <c r="J42" s="92">
        <v>7605911</v>
      </c>
      <c r="K42" s="92" t="s">
        <v>1061</v>
      </c>
      <c r="L42" s="92">
        <v>149</v>
      </c>
      <c r="M42" s="92">
        <v>1508</v>
      </c>
      <c r="N42" s="92">
        <v>142</v>
      </c>
      <c r="O42" s="92">
        <v>142</v>
      </c>
      <c r="P42" s="92">
        <v>0</v>
      </c>
      <c r="Q42" s="92">
        <v>0</v>
      </c>
      <c r="R42" s="92">
        <v>0</v>
      </c>
      <c r="S42" s="92">
        <v>0</v>
      </c>
      <c r="T42" s="92">
        <v>0</v>
      </c>
      <c r="U42" s="92">
        <v>0</v>
      </c>
      <c r="V42" s="92">
        <v>0</v>
      </c>
      <c r="W42" s="92">
        <v>0</v>
      </c>
      <c r="X42" s="92">
        <v>0</v>
      </c>
      <c r="Y42" s="92">
        <v>0</v>
      </c>
      <c r="Z42" s="92">
        <v>0</v>
      </c>
      <c r="AA42" s="92">
        <v>0</v>
      </c>
      <c r="AB42" s="92">
        <v>43780</v>
      </c>
      <c r="AC42" s="92">
        <v>46031</v>
      </c>
      <c r="AD42" s="92">
        <v>48114</v>
      </c>
      <c r="AE42" s="92">
        <v>0</v>
      </c>
      <c r="AF42" s="92">
        <v>0</v>
      </c>
      <c r="AG42" s="92">
        <v>0</v>
      </c>
    </row>
    <row r="43" spans="1:35" x14ac:dyDescent="0.25">
      <c r="A43" t="str">
        <f t="shared" si="1"/>
        <v>41-7-7</v>
      </c>
      <c r="B43">
        <v>41</v>
      </c>
      <c r="C43" s="92" t="s">
        <v>1052</v>
      </c>
      <c r="D43" s="92">
        <v>7</v>
      </c>
      <c r="E43" s="92" t="s">
        <v>586</v>
      </c>
      <c r="F43" s="92">
        <v>7</v>
      </c>
      <c r="G43" s="92" t="s">
        <v>546</v>
      </c>
      <c r="H43" s="92"/>
      <c r="I43" s="92">
        <v>114</v>
      </c>
      <c r="J43" s="92">
        <v>822588</v>
      </c>
      <c r="K43" s="92" t="s">
        <v>1061</v>
      </c>
      <c r="L43" s="92">
        <v>18</v>
      </c>
      <c r="M43" s="92">
        <v>10</v>
      </c>
      <c r="N43" s="92">
        <v>0</v>
      </c>
      <c r="O43" s="92">
        <v>0</v>
      </c>
      <c r="P43" s="92">
        <v>0</v>
      </c>
      <c r="Q43" s="92">
        <v>0</v>
      </c>
      <c r="R43" s="92">
        <v>0</v>
      </c>
      <c r="S43" s="92">
        <v>0</v>
      </c>
      <c r="T43" s="92">
        <v>0</v>
      </c>
      <c r="U43" s="92">
        <v>0</v>
      </c>
      <c r="V43" s="92">
        <v>0</v>
      </c>
      <c r="W43" s="92">
        <v>0</v>
      </c>
      <c r="X43" s="92">
        <v>0</v>
      </c>
      <c r="Y43" s="92">
        <v>0</v>
      </c>
      <c r="Z43" s="92">
        <v>0</v>
      </c>
      <c r="AA43" s="92">
        <v>0</v>
      </c>
      <c r="AB43" s="92">
        <v>6980</v>
      </c>
      <c r="AC43" s="92">
        <v>7541</v>
      </c>
      <c r="AD43" s="92">
        <v>7383</v>
      </c>
      <c r="AE43" s="92">
        <v>0</v>
      </c>
      <c r="AF43" s="92">
        <v>0</v>
      </c>
      <c r="AG43" s="92">
        <v>0</v>
      </c>
    </row>
    <row r="44" spans="1:35" x14ac:dyDescent="0.25">
      <c r="A44" t="str">
        <f t="shared" si="1"/>
        <v>19-15-6</v>
      </c>
      <c r="B44">
        <v>19</v>
      </c>
      <c r="C44" s="92" t="s">
        <v>1032</v>
      </c>
      <c r="D44" s="92">
        <v>15</v>
      </c>
      <c r="E44" s="92" t="s">
        <v>152</v>
      </c>
      <c r="F44" s="92">
        <v>6</v>
      </c>
      <c r="G44" s="92" t="s">
        <v>819</v>
      </c>
      <c r="H44" s="92"/>
      <c r="I44" s="92">
        <v>0</v>
      </c>
      <c r="J44" s="92">
        <v>4648056</v>
      </c>
      <c r="K44" s="92" t="s">
        <v>1061</v>
      </c>
      <c r="L44" s="92">
        <v>0</v>
      </c>
      <c r="M44" s="92">
        <v>101</v>
      </c>
      <c r="N44" s="92">
        <v>1</v>
      </c>
      <c r="O44" s="92">
        <v>1</v>
      </c>
      <c r="P44" s="92">
        <v>0</v>
      </c>
      <c r="Q44" s="92">
        <v>0</v>
      </c>
      <c r="R44" s="92">
        <v>0</v>
      </c>
      <c r="S44" s="92">
        <v>0</v>
      </c>
      <c r="T44" s="92">
        <v>0</v>
      </c>
      <c r="U44" s="92">
        <v>0</v>
      </c>
      <c r="V44" s="92">
        <v>0</v>
      </c>
      <c r="W44" s="92">
        <v>0</v>
      </c>
      <c r="X44" s="92">
        <v>0</v>
      </c>
      <c r="Y44" s="92">
        <v>0</v>
      </c>
      <c r="Z44" s="92">
        <v>0</v>
      </c>
      <c r="AA44" s="92">
        <v>0</v>
      </c>
      <c r="AB44" s="92">
        <v>22090</v>
      </c>
      <c r="AC44" s="92">
        <v>22973</v>
      </c>
      <c r="AD44" s="92">
        <v>23665</v>
      </c>
      <c r="AE44" s="92">
        <v>0</v>
      </c>
      <c r="AF44" s="92">
        <v>0</v>
      </c>
      <c r="AG44" s="92">
        <v>0</v>
      </c>
    </row>
    <row r="45" spans="1:35" x14ac:dyDescent="0.25">
      <c r="A45" t="str">
        <f t="shared" si="1"/>
        <v>9-17-37</v>
      </c>
      <c r="B45">
        <v>9</v>
      </c>
      <c r="C45" s="92" t="s">
        <v>1022</v>
      </c>
      <c r="D45" s="92">
        <v>17</v>
      </c>
      <c r="E45" s="92" t="s">
        <v>593</v>
      </c>
      <c r="F45" s="92">
        <v>37</v>
      </c>
      <c r="G45" s="92" t="s">
        <v>721</v>
      </c>
      <c r="H45" s="92"/>
      <c r="I45" s="92">
        <v>0</v>
      </c>
      <c r="J45" s="92">
        <v>56840</v>
      </c>
      <c r="K45" s="92" t="s">
        <v>1061</v>
      </c>
      <c r="L45" s="92">
        <v>0</v>
      </c>
      <c r="M45" s="92">
        <v>0</v>
      </c>
      <c r="N45" s="92">
        <v>0</v>
      </c>
      <c r="O45" s="92">
        <v>0</v>
      </c>
      <c r="P45" s="92">
        <v>0</v>
      </c>
      <c r="Q45" s="92">
        <v>0</v>
      </c>
      <c r="R45" s="92">
        <v>0</v>
      </c>
      <c r="S45" s="92">
        <v>0</v>
      </c>
      <c r="T45" s="92">
        <v>0</v>
      </c>
      <c r="U45" s="92">
        <v>0</v>
      </c>
      <c r="V45" s="92">
        <v>0</v>
      </c>
      <c r="W45" s="92">
        <v>0</v>
      </c>
      <c r="X45" s="92">
        <v>0</v>
      </c>
      <c r="Y45" s="92">
        <v>0</v>
      </c>
      <c r="Z45" s="92">
        <v>0</v>
      </c>
      <c r="AA45" s="92">
        <v>0</v>
      </c>
      <c r="AB45" s="92">
        <v>13044</v>
      </c>
      <c r="AC45" s="92">
        <v>13828</v>
      </c>
      <c r="AD45" s="92">
        <v>14370</v>
      </c>
      <c r="AE45" s="92">
        <v>0</v>
      </c>
      <c r="AF45" s="92">
        <v>0</v>
      </c>
      <c r="AG45" s="92">
        <v>0</v>
      </c>
    </row>
    <row r="46" spans="1:35" x14ac:dyDescent="0.25">
      <c r="A46" t="str">
        <f t="shared" si="1"/>
        <v>7-9-193</v>
      </c>
      <c r="B46">
        <v>7</v>
      </c>
      <c r="C46" s="92" t="s">
        <v>1057</v>
      </c>
      <c r="D46" s="92">
        <v>9</v>
      </c>
      <c r="E46" s="92" t="s">
        <v>588</v>
      </c>
      <c r="F46" s="92">
        <v>193</v>
      </c>
      <c r="G46" s="92" t="s">
        <v>1226</v>
      </c>
      <c r="H46" s="92"/>
      <c r="I46" s="92">
        <v>0</v>
      </c>
      <c r="J46" s="92">
        <v>0</v>
      </c>
      <c r="K46" s="92">
        <v>1</v>
      </c>
      <c r="L46" s="92">
        <v>1151</v>
      </c>
      <c r="M46" s="92">
        <v>2602</v>
      </c>
      <c r="N46" s="92">
        <v>813</v>
      </c>
      <c r="O46" s="92">
        <v>813</v>
      </c>
      <c r="P46" s="92">
        <v>0</v>
      </c>
      <c r="Q46" s="92">
        <v>0</v>
      </c>
      <c r="R46" s="92">
        <v>0</v>
      </c>
      <c r="S46" s="92">
        <v>0</v>
      </c>
      <c r="T46" s="92">
        <v>0</v>
      </c>
      <c r="U46" s="92">
        <v>0</v>
      </c>
      <c r="V46" s="92">
        <v>0</v>
      </c>
      <c r="W46" s="92">
        <v>0</v>
      </c>
      <c r="X46" s="92">
        <v>0</v>
      </c>
      <c r="Y46" s="92">
        <v>0</v>
      </c>
      <c r="Z46" s="92">
        <v>0</v>
      </c>
      <c r="AA46" s="92">
        <v>0</v>
      </c>
      <c r="AB46" s="92">
        <f>20362+1277513</f>
        <v>1297875</v>
      </c>
      <c r="AC46" s="92">
        <f>20974+1311669</f>
        <v>1332643</v>
      </c>
      <c r="AD46" s="92">
        <v>1393879</v>
      </c>
      <c r="AE46" s="92">
        <v>36982</v>
      </c>
      <c r="AF46" s="92">
        <v>0</v>
      </c>
      <c r="AG46" s="92">
        <v>0</v>
      </c>
      <c r="AI46" s="250">
        <v>5.6721600000000005E-4</v>
      </c>
    </row>
    <row r="47" spans="1:35" x14ac:dyDescent="0.25">
      <c r="A47" t="str">
        <f t="shared" si="1"/>
        <v>13-9-193</v>
      </c>
      <c r="B47">
        <v>13</v>
      </c>
      <c r="C47" s="92" t="s">
        <v>1026</v>
      </c>
      <c r="D47" s="92">
        <v>9</v>
      </c>
      <c r="E47" s="92" t="s">
        <v>588</v>
      </c>
      <c r="F47" s="92">
        <v>193</v>
      </c>
      <c r="G47" s="92" t="s">
        <v>1226</v>
      </c>
      <c r="H47" s="92"/>
      <c r="I47" s="92">
        <v>0</v>
      </c>
      <c r="J47" s="92">
        <v>0</v>
      </c>
      <c r="K47" s="92">
        <v>1</v>
      </c>
      <c r="L47" s="92">
        <v>1151</v>
      </c>
      <c r="M47" s="92">
        <v>2602</v>
      </c>
      <c r="N47" s="92">
        <v>813</v>
      </c>
      <c r="O47" s="92">
        <v>813</v>
      </c>
      <c r="P47" s="92">
        <v>0</v>
      </c>
      <c r="Q47" s="92">
        <v>0</v>
      </c>
      <c r="R47" s="92">
        <v>0</v>
      </c>
      <c r="S47" s="92">
        <v>0</v>
      </c>
      <c r="T47" s="92">
        <v>0</v>
      </c>
      <c r="U47" s="92">
        <v>0</v>
      </c>
      <c r="V47" s="92">
        <v>0</v>
      </c>
      <c r="W47" s="92">
        <v>0</v>
      </c>
      <c r="X47" s="92">
        <v>0</v>
      </c>
      <c r="Y47" s="92">
        <v>0</v>
      </c>
      <c r="Z47" s="92">
        <v>0</v>
      </c>
      <c r="AA47" s="92">
        <v>0</v>
      </c>
      <c r="AB47" s="92">
        <f>20362+1277513</f>
        <v>1297875</v>
      </c>
      <c r="AC47" s="92">
        <f>20974+1311669</f>
        <v>1332643</v>
      </c>
      <c r="AD47" s="92">
        <v>1393879</v>
      </c>
      <c r="AE47" s="92">
        <v>36982</v>
      </c>
      <c r="AF47" s="92">
        <v>0</v>
      </c>
      <c r="AG47" s="92">
        <v>0</v>
      </c>
      <c r="AI47" s="250">
        <v>5.6721600000000005E-4</v>
      </c>
    </row>
    <row r="48" spans="1:35" x14ac:dyDescent="0.25">
      <c r="A48" t="str">
        <f t="shared" si="1"/>
        <v>2-7-192</v>
      </c>
      <c r="B48">
        <v>2</v>
      </c>
      <c r="C48" s="92" t="s">
        <v>1017</v>
      </c>
      <c r="D48" s="92">
        <v>7</v>
      </c>
      <c r="E48" s="92" t="s">
        <v>586</v>
      </c>
      <c r="F48" s="92">
        <v>192</v>
      </c>
      <c r="G48" s="92" t="s">
        <v>95</v>
      </c>
      <c r="H48" s="92"/>
      <c r="I48" s="92">
        <v>263</v>
      </c>
      <c r="J48" s="92">
        <v>26468369</v>
      </c>
      <c r="K48" s="92" t="s">
        <v>1061</v>
      </c>
      <c r="L48" s="92">
        <v>3</v>
      </c>
      <c r="M48" s="92">
        <v>15</v>
      </c>
      <c r="N48" s="92">
        <v>5</v>
      </c>
      <c r="O48" s="92">
        <v>5</v>
      </c>
      <c r="P48" s="92">
        <v>0</v>
      </c>
      <c r="Q48" s="92">
        <v>0</v>
      </c>
      <c r="R48" s="92">
        <v>0</v>
      </c>
      <c r="S48" s="92">
        <v>0</v>
      </c>
      <c r="T48" s="92">
        <v>0</v>
      </c>
      <c r="U48" s="92">
        <v>0</v>
      </c>
      <c r="V48" s="92">
        <v>0</v>
      </c>
      <c r="W48" s="92">
        <v>0</v>
      </c>
      <c r="X48" s="92">
        <v>0</v>
      </c>
      <c r="Y48" s="92">
        <v>0</v>
      </c>
      <c r="Z48" s="92">
        <v>0</v>
      </c>
      <c r="AA48" s="92">
        <v>0</v>
      </c>
      <c r="AB48" s="92">
        <v>3717</v>
      </c>
      <c r="AC48" s="92">
        <v>3717</v>
      </c>
      <c r="AD48" s="92">
        <v>3717</v>
      </c>
      <c r="AE48" s="92">
        <v>0</v>
      </c>
      <c r="AF48" s="92">
        <v>0</v>
      </c>
      <c r="AG48" s="92">
        <v>0</v>
      </c>
    </row>
    <row r="49" spans="1:35" x14ac:dyDescent="0.25">
      <c r="A49" t="str">
        <f t="shared" si="1"/>
        <v>4-9-121</v>
      </c>
      <c r="B49">
        <v>4</v>
      </c>
      <c r="C49" s="92" t="s">
        <v>1194</v>
      </c>
      <c r="D49" s="92">
        <v>9</v>
      </c>
      <c r="E49" s="92" t="s">
        <v>588</v>
      </c>
      <c r="F49" s="92">
        <v>121</v>
      </c>
      <c r="G49" s="92" t="s">
        <v>659</v>
      </c>
      <c r="H49" s="92"/>
      <c r="I49" s="92">
        <v>183509</v>
      </c>
      <c r="J49" s="92">
        <v>395000</v>
      </c>
      <c r="K49" s="92" t="s">
        <v>1061</v>
      </c>
      <c r="L49" s="92">
        <v>3617</v>
      </c>
      <c r="M49" s="92">
        <v>860</v>
      </c>
      <c r="N49" s="92">
        <v>144</v>
      </c>
      <c r="O49" s="92">
        <v>144</v>
      </c>
      <c r="P49" s="92">
        <v>0</v>
      </c>
      <c r="Q49" s="92">
        <v>0</v>
      </c>
      <c r="R49" s="92">
        <v>0</v>
      </c>
      <c r="S49" s="92">
        <v>0</v>
      </c>
      <c r="T49" s="92">
        <v>0</v>
      </c>
      <c r="U49" s="92">
        <v>0</v>
      </c>
      <c r="V49" s="92">
        <v>0</v>
      </c>
      <c r="W49" s="92">
        <v>0</v>
      </c>
      <c r="X49" s="92">
        <v>0</v>
      </c>
      <c r="Y49" s="92">
        <v>0</v>
      </c>
      <c r="Z49" s="92">
        <v>0</v>
      </c>
      <c r="AA49" s="92">
        <v>0</v>
      </c>
      <c r="AB49" s="92">
        <v>343287</v>
      </c>
      <c r="AC49" s="92">
        <v>362078</v>
      </c>
      <c r="AD49" s="92">
        <v>362078</v>
      </c>
      <c r="AE49" s="92">
        <v>10009</v>
      </c>
      <c r="AF49" s="92">
        <v>9662</v>
      </c>
      <c r="AG49" s="92">
        <v>0</v>
      </c>
      <c r="AI49" s="250">
        <v>2.00929E-4</v>
      </c>
    </row>
    <row r="50" spans="1:35" x14ac:dyDescent="0.25">
      <c r="A50" t="str">
        <f t="shared" si="1"/>
        <v>4-11-72</v>
      </c>
      <c r="B50">
        <v>4</v>
      </c>
      <c r="C50" s="92" t="s">
        <v>1194</v>
      </c>
      <c r="D50" s="92">
        <v>11</v>
      </c>
      <c r="E50" s="92" t="s">
        <v>1062</v>
      </c>
      <c r="F50" s="92">
        <v>72</v>
      </c>
      <c r="G50" s="92" t="s">
        <v>660</v>
      </c>
      <c r="H50" s="92">
        <v>1</v>
      </c>
      <c r="I50" s="92">
        <v>0</v>
      </c>
      <c r="J50" s="92">
        <v>222042374</v>
      </c>
      <c r="K50" s="92" t="s">
        <v>1061</v>
      </c>
      <c r="L50" s="92">
        <v>0</v>
      </c>
      <c r="M50" s="92">
        <v>0</v>
      </c>
      <c r="N50" s="92">
        <v>0</v>
      </c>
      <c r="O50" s="92">
        <v>0</v>
      </c>
      <c r="P50" s="92">
        <v>0</v>
      </c>
      <c r="Q50" s="92">
        <v>0</v>
      </c>
      <c r="R50" s="92">
        <v>0</v>
      </c>
      <c r="S50" s="92">
        <v>0</v>
      </c>
      <c r="T50" s="92">
        <v>0</v>
      </c>
      <c r="U50" s="92">
        <v>0</v>
      </c>
      <c r="V50" s="92">
        <v>0</v>
      </c>
      <c r="W50" s="92">
        <v>0</v>
      </c>
      <c r="X50" s="92">
        <v>0</v>
      </c>
      <c r="Y50" s="92">
        <v>0</v>
      </c>
      <c r="Z50" s="92">
        <v>0</v>
      </c>
      <c r="AA50" s="92">
        <v>0</v>
      </c>
      <c r="AB50" s="92">
        <v>708265</v>
      </c>
      <c r="AC50" s="92">
        <v>994015</v>
      </c>
      <c r="AD50" s="92">
        <v>1069202</v>
      </c>
      <c r="AE50" s="92">
        <v>0</v>
      </c>
      <c r="AF50" s="92">
        <v>0</v>
      </c>
      <c r="AG50" s="92">
        <v>0</v>
      </c>
    </row>
    <row r="51" spans="1:35" x14ac:dyDescent="0.25">
      <c r="A51" t="str">
        <f t="shared" si="1"/>
        <v>4-2-4</v>
      </c>
      <c r="B51">
        <v>4</v>
      </c>
      <c r="C51" s="92" t="s">
        <v>1194</v>
      </c>
      <c r="D51" s="92">
        <v>2</v>
      </c>
      <c r="E51" s="92" t="s">
        <v>53</v>
      </c>
      <c r="F51" s="92">
        <v>4</v>
      </c>
      <c r="G51" s="92" t="s">
        <v>113</v>
      </c>
      <c r="H51" s="92"/>
      <c r="I51" s="92">
        <v>0</v>
      </c>
      <c r="J51" s="92">
        <v>222042374</v>
      </c>
      <c r="K51" s="92" t="s">
        <v>1061</v>
      </c>
      <c r="L51" s="92">
        <v>30856</v>
      </c>
      <c r="M51" s="92">
        <v>25165</v>
      </c>
      <c r="N51" s="92">
        <v>8974</v>
      </c>
      <c r="O51" s="92">
        <v>8835</v>
      </c>
      <c r="P51" s="92">
        <v>0</v>
      </c>
      <c r="Q51" s="92">
        <v>0</v>
      </c>
      <c r="R51" s="92">
        <v>0</v>
      </c>
      <c r="S51" s="92">
        <v>0</v>
      </c>
      <c r="T51" s="92">
        <v>0</v>
      </c>
      <c r="U51" s="92">
        <v>0</v>
      </c>
      <c r="V51" s="92">
        <v>0</v>
      </c>
      <c r="W51" s="92">
        <v>0</v>
      </c>
      <c r="X51" s="92">
        <v>0</v>
      </c>
      <c r="Y51" s="92">
        <v>0</v>
      </c>
      <c r="Z51" s="92">
        <v>0</v>
      </c>
      <c r="AA51" s="92">
        <v>0</v>
      </c>
      <c r="AB51" s="92">
        <f>3380804+708265</f>
        <v>4089069</v>
      </c>
      <c r="AC51" s="92">
        <f>3317172+994015</f>
        <v>4311187</v>
      </c>
      <c r="AD51" s="92">
        <f>3467575+1069202</f>
        <v>4536777</v>
      </c>
      <c r="AE51" s="92">
        <v>0</v>
      </c>
      <c r="AF51" s="92">
        <v>0</v>
      </c>
      <c r="AG51" s="92">
        <v>0</v>
      </c>
    </row>
    <row r="52" spans="1:35" x14ac:dyDescent="0.25">
      <c r="A52" t="str">
        <f t="shared" si="1"/>
        <v>4-14-2</v>
      </c>
      <c r="B52">
        <v>4</v>
      </c>
      <c r="C52" s="92" t="s">
        <v>1194</v>
      </c>
      <c r="D52" s="92">
        <v>14</v>
      </c>
      <c r="E52" s="92" t="s">
        <v>571</v>
      </c>
      <c r="F52" s="92">
        <v>2</v>
      </c>
      <c r="G52" s="92" t="s">
        <v>661</v>
      </c>
      <c r="H52" s="92"/>
      <c r="I52" s="92">
        <v>0</v>
      </c>
      <c r="J52" s="92">
        <v>222042374</v>
      </c>
      <c r="K52" s="92" t="s">
        <v>1061</v>
      </c>
      <c r="L52" s="92">
        <v>2775</v>
      </c>
      <c r="M52" s="92">
        <v>2365</v>
      </c>
      <c r="N52" s="92">
        <v>781</v>
      </c>
      <c r="O52" s="92">
        <v>781</v>
      </c>
      <c r="P52" s="92">
        <v>0</v>
      </c>
      <c r="Q52" s="92">
        <v>0</v>
      </c>
      <c r="R52" s="92">
        <v>0</v>
      </c>
      <c r="S52" s="92">
        <v>0</v>
      </c>
      <c r="T52" s="92">
        <v>0</v>
      </c>
      <c r="U52" s="92">
        <v>0</v>
      </c>
      <c r="V52" s="92">
        <v>0</v>
      </c>
      <c r="W52" s="92">
        <v>0</v>
      </c>
      <c r="X52" s="92">
        <v>0</v>
      </c>
      <c r="Y52" s="92">
        <v>0</v>
      </c>
      <c r="Z52" s="92">
        <v>0</v>
      </c>
      <c r="AA52" s="92">
        <v>0</v>
      </c>
      <c r="AB52" s="92">
        <v>374134</v>
      </c>
      <c r="AC52" s="92">
        <v>394456</v>
      </c>
      <c r="AD52" s="92">
        <v>415086</v>
      </c>
      <c r="AE52" s="92">
        <v>0</v>
      </c>
      <c r="AF52" s="92">
        <v>0</v>
      </c>
      <c r="AG52" s="92">
        <v>0</v>
      </c>
      <c r="AI52" s="250">
        <v>1.7779499999999999E-4</v>
      </c>
    </row>
    <row r="53" spans="1:35" x14ac:dyDescent="0.25">
      <c r="A53" t="str">
        <f t="shared" si="1"/>
        <v>4-4-13</v>
      </c>
      <c r="B53">
        <v>4</v>
      </c>
      <c r="C53" s="92" t="s">
        <v>1194</v>
      </c>
      <c r="D53" s="92">
        <v>4</v>
      </c>
      <c r="E53" s="92" t="s">
        <v>66</v>
      </c>
      <c r="F53" s="92">
        <v>13</v>
      </c>
      <c r="G53" s="92" t="s">
        <v>656</v>
      </c>
      <c r="H53" s="92"/>
      <c r="I53" s="92">
        <v>0</v>
      </c>
      <c r="J53" s="92">
        <v>215799244</v>
      </c>
      <c r="K53" s="92" t="s">
        <v>1061</v>
      </c>
      <c r="L53" s="92">
        <v>2126</v>
      </c>
      <c r="M53" s="92">
        <v>12071</v>
      </c>
      <c r="N53" s="92">
        <v>2517</v>
      </c>
      <c r="O53" s="92">
        <v>2517</v>
      </c>
      <c r="P53" s="92">
        <v>0</v>
      </c>
      <c r="Q53" s="92">
        <v>0</v>
      </c>
      <c r="R53" s="92">
        <v>0</v>
      </c>
      <c r="S53" s="92">
        <v>0</v>
      </c>
      <c r="T53" s="92">
        <v>0</v>
      </c>
      <c r="U53" s="92">
        <v>0</v>
      </c>
      <c r="V53" s="92">
        <v>0</v>
      </c>
      <c r="W53" s="92">
        <v>0</v>
      </c>
      <c r="X53" s="92">
        <v>0</v>
      </c>
      <c r="Y53" s="92">
        <v>0</v>
      </c>
      <c r="Z53" s="92">
        <v>0</v>
      </c>
      <c r="AA53" s="92">
        <v>0</v>
      </c>
      <c r="AB53" s="92">
        <v>75020</v>
      </c>
      <c r="AC53" s="92">
        <v>107602</v>
      </c>
      <c r="AD53" s="92">
        <v>107000</v>
      </c>
      <c r="AE53" s="92">
        <v>0</v>
      </c>
      <c r="AF53" s="92">
        <v>0</v>
      </c>
      <c r="AG53" s="92">
        <v>0</v>
      </c>
    </row>
    <row r="54" spans="1:35" x14ac:dyDescent="0.25">
      <c r="A54" t="str">
        <f t="shared" si="1"/>
        <v>4-15-1</v>
      </c>
      <c r="B54">
        <v>4</v>
      </c>
      <c r="C54" s="92" t="s">
        <v>1194</v>
      </c>
      <c r="D54" s="92">
        <v>15</v>
      </c>
      <c r="E54" s="92" t="s">
        <v>152</v>
      </c>
      <c r="F54" s="92">
        <v>1</v>
      </c>
      <c r="G54" s="92" t="s">
        <v>129</v>
      </c>
      <c r="H54" s="92"/>
      <c r="I54" s="92">
        <v>4565</v>
      </c>
      <c r="J54" s="92">
        <v>106470314</v>
      </c>
      <c r="K54" s="92" t="s">
        <v>1061</v>
      </c>
      <c r="L54" s="92">
        <v>1100</v>
      </c>
      <c r="M54" s="92">
        <v>2014</v>
      </c>
      <c r="N54" s="92">
        <v>596</v>
      </c>
      <c r="O54" s="92">
        <v>596</v>
      </c>
      <c r="P54" s="92">
        <v>0</v>
      </c>
      <c r="Q54" s="92">
        <v>0</v>
      </c>
      <c r="R54" s="92">
        <v>0</v>
      </c>
      <c r="S54" s="92">
        <v>0</v>
      </c>
      <c r="T54" s="92">
        <v>0</v>
      </c>
      <c r="U54" s="92">
        <v>0</v>
      </c>
      <c r="V54" s="92">
        <v>0</v>
      </c>
      <c r="W54" s="92">
        <v>0</v>
      </c>
      <c r="X54" s="92">
        <v>0</v>
      </c>
      <c r="Y54" s="92">
        <v>0</v>
      </c>
      <c r="Z54" s="92">
        <v>0</v>
      </c>
      <c r="AA54" s="92">
        <v>0</v>
      </c>
      <c r="AB54" s="92">
        <v>112713</v>
      </c>
      <c r="AC54" s="92">
        <v>114409</v>
      </c>
      <c r="AD54" s="92">
        <v>119323</v>
      </c>
      <c r="AE54" s="92">
        <v>3274</v>
      </c>
      <c r="AF54" s="92">
        <v>0</v>
      </c>
      <c r="AG54" s="92">
        <v>0</v>
      </c>
    </row>
    <row r="55" spans="1:35" x14ac:dyDescent="0.25">
      <c r="A55" t="str">
        <f t="shared" si="1"/>
        <v>7-7-8</v>
      </c>
      <c r="B55">
        <v>7</v>
      </c>
      <c r="C55" s="92" t="s">
        <v>1057</v>
      </c>
      <c r="D55" s="92">
        <v>7</v>
      </c>
      <c r="E55" s="92" t="s">
        <v>586</v>
      </c>
      <c r="F55" s="92">
        <v>8</v>
      </c>
      <c r="G55" s="92" t="s">
        <v>161</v>
      </c>
      <c r="H55" s="92"/>
      <c r="I55" s="92">
        <v>0</v>
      </c>
      <c r="J55" s="92">
        <v>11326395</v>
      </c>
      <c r="K55" s="92" t="s">
        <v>1061</v>
      </c>
      <c r="L55" s="92">
        <v>52</v>
      </c>
      <c r="M55" s="92">
        <v>224</v>
      </c>
      <c r="N55" s="92">
        <v>44</v>
      </c>
      <c r="O55" s="92">
        <v>44</v>
      </c>
      <c r="P55" s="92">
        <v>0</v>
      </c>
      <c r="Q55" s="92">
        <v>0</v>
      </c>
      <c r="R55" s="92">
        <v>0</v>
      </c>
      <c r="S55" s="92">
        <v>0</v>
      </c>
      <c r="T55" s="92">
        <v>0</v>
      </c>
      <c r="U55" s="92">
        <v>0</v>
      </c>
      <c r="V55" s="92">
        <v>0</v>
      </c>
      <c r="W55" s="92">
        <v>0</v>
      </c>
      <c r="X55" s="92">
        <v>0</v>
      </c>
      <c r="Y55" s="92">
        <v>0</v>
      </c>
      <c r="Z55" s="92">
        <v>0</v>
      </c>
      <c r="AA55" s="92">
        <v>0</v>
      </c>
      <c r="AB55" s="92">
        <v>28447</v>
      </c>
      <c r="AC55" s="92">
        <v>29566</v>
      </c>
      <c r="AD55" s="92">
        <v>30681</v>
      </c>
      <c r="AE55" s="92">
        <v>0</v>
      </c>
      <c r="AF55" s="92">
        <v>0</v>
      </c>
      <c r="AG55" s="92">
        <v>0</v>
      </c>
    </row>
    <row r="56" spans="1:35" x14ac:dyDescent="0.25">
      <c r="A56" t="str">
        <f t="shared" si="1"/>
        <v>5-11-73</v>
      </c>
      <c r="B56">
        <v>5</v>
      </c>
      <c r="C56" s="92" t="s">
        <v>1019</v>
      </c>
      <c r="D56" s="92">
        <v>11</v>
      </c>
      <c r="E56" s="92" t="s">
        <v>1062</v>
      </c>
      <c r="F56" s="92">
        <v>73</v>
      </c>
      <c r="G56" s="92" t="s">
        <v>672</v>
      </c>
      <c r="H56" s="92">
        <v>1</v>
      </c>
      <c r="I56" s="92">
        <v>0</v>
      </c>
      <c r="J56" s="92">
        <v>19060257</v>
      </c>
      <c r="K56" s="92"/>
      <c r="L56" s="92">
        <v>0</v>
      </c>
      <c r="M56" s="92">
        <v>0</v>
      </c>
      <c r="N56" s="92">
        <v>0</v>
      </c>
      <c r="O56" s="92">
        <v>0</v>
      </c>
      <c r="P56" s="92">
        <v>0</v>
      </c>
      <c r="Q56" s="92">
        <v>0</v>
      </c>
      <c r="R56" s="92">
        <v>0</v>
      </c>
      <c r="S56" s="92">
        <v>0</v>
      </c>
      <c r="T56" s="92">
        <v>0</v>
      </c>
      <c r="U56" s="92">
        <v>0</v>
      </c>
      <c r="V56" s="92">
        <v>0</v>
      </c>
      <c r="W56" s="92">
        <v>0</v>
      </c>
      <c r="X56" s="92">
        <v>0</v>
      </c>
      <c r="Y56" s="92">
        <v>0</v>
      </c>
      <c r="Z56" s="92">
        <v>0</v>
      </c>
      <c r="AA56" s="92">
        <v>0</v>
      </c>
      <c r="AB56" s="92">
        <v>669200</v>
      </c>
      <c r="AC56" s="92">
        <v>311000</v>
      </c>
      <c r="AD56" s="92">
        <v>482246</v>
      </c>
      <c r="AE56" s="92">
        <v>0</v>
      </c>
      <c r="AF56" s="92">
        <v>0</v>
      </c>
      <c r="AG56" s="92">
        <v>0</v>
      </c>
    </row>
    <row r="57" spans="1:35" x14ac:dyDescent="0.25">
      <c r="A57" t="str">
        <f t="shared" si="1"/>
        <v>5-2-5</v>
      </c>
      <c r="B57">
        <v>5</v>
      </c>
      <c r="C57" s="92" t="s">
        <v>1019</v>
      </c>
      <c r="D57" s="92">
        <v>2</v>
      </c>
      <c r="E57" s="92" t="s">
        <v>53</v>
      </c>
      <c r="F57" s="92">
        <v>5</v>
      </c>
      <c r="G57" s="92" t="s">
        <v>130</v>
      </c>
      <c r="H57" s="92"/>
      <c r="I57" s="92">
        <v>0</v>
      </c>
      <c r="J57" s="92">
        <v>31193727</v>
      </c>
      <c r="K57" s="92"/>
      <c r="L57" s="92">
        <v>30958</v>
      </c>
      <c r="M57" s="92">
        <v>64059</v>
      </c>
      <c r="N57" s="92">
        <v>11009</v>
      </c>
      <c r="O57" s="92">
        <v>10601</v>
      </c>
      <c r="P57" s="92">
        <v>0</v>
      </c>
      <c r="Q57" s="92">
        <v>0</v>
      </c>
      <c r="R57" s="92">
        <v>0</v>
      </c>
      <c r="S57" s="92">
        <v>0</v>
      </c>
      <c r="T57" s="92">
        <v>0</v>
      </c>
      <c r="U57" s="92">
        <v>0</v>
      </c>
      <c r="V57" s="92">
        <v>0</v>
      </c>
      <c r="W57" s="92">
        <v>0</v>
      </c>
      <c r="X57" s="92">
        <v>0</v>
      </c>
      <c r="Y57" s="92">
        <v>0</v>
      </c>
      <c r="Z57" s="92">
        <v>0</v>
      </c>
      <c r="AA57" s="92">
        <v>0</v>
      </c>
      <c r="AB57" s="92">
        <v>3890021</v>
      </c>
      <c r="AC57" s="92">
        <v>4482146</v>
      </c>
      <c r="AD57" s="92">
        <v>4526307</v>
      </c>
      <c r="AE57" s="92">
        <v>0</v>
      </c>
      <c r="AF57" s="92">
        <v>0</v>
      </c>
      <c r="AG57" s="92">
        <v>0</v>
      </c>
      <c r="AH57" s="92" t="s">
        <v>1121</v>
      </c>
    </row>
    <row r="58" spans="1:35" x14ac:dyDescent="0.25">
      <c r="A58" t="str">
        <f t="shared" si="1"/>
        <v>5-14-3</v>
      </c>
      <c r="B58">
        <v>5</v>
      </c>
      <c r="C58" s="92" t="s">
        <v>1019</v>
      </c>
      <c r="D58" s="92">
        <v>14</v>
      </c>
      <c r="E58" s="92" t="s">
        <v>571</v>
      </c>
      <c r="F58" s="92">
        <v>3</v>
      </c>
      <c r="G58" s="92" t="s">
        <v>673</v>
      </c>
      <c r="H58" s="92"/>
      <c r="I58" s="92">
        <v>0</v>
      </c>
      <c r="J58" s="92">
        <v>29437806</v>
      </c>
      <c r="K58" s="92" t="s">
        <v>1061</v>
      </c>
      <c r="L58" s="92">
        <v>740</v>
      </c>
      <c r="M58" s="92">
        <v>2484</v>
      </c>
      <c r="N58" s="92">
        <v>428</v>
      </c>
      <c r="O58" s="92">
        <v>428</v>
      </c>
      <c r="P58" s="92">
        <v>0</v>
      </c>
      <c r="Q58" s="92">
        <v>0</v>
      </c>
      <c r="R58" s="92">
        <v>0</v>
      </c>
      <c r="S58" s="92">
        <v>0</v>
      </c>
      <c r="T58" s="92">
        <v>0</v>
      </c>
      <c r="U58" s="92">
        <v>0</v>
      </c>
      <c r="V58" s="92">
        <v>0</v>
      </c>
      <c r="W58" s="92">
        <v>0</v>
      </c>
      <c r="X58" s="92">
        <v>0</v>
      </c>
      <c r="Y58" s="92">
        <v>0</v>
      </c>
      <c r="Z58" s="92">
        <v>0</v>
      </c>
      <c r="AA58" s="92">
        <v>0</v>
      </c>
      <c r="AB58" s="92">
        <v>214000</v>
      </c>
      <c r="AC58" s="92">
        <v>225719</v>
      </c>
      <c r="AD58" s="92">
        <v>236137</v>
      </c>
      <c r="AE58" s="92">
        <v>0</v>
      </c>
      <c r="AF58" s="92">
        <v>0</v>
      </c>
      <c r="AG58" s="92">
        <v>0</v>
      </c>
      <c r="AI58" s="250">
        <v>2.00965E-4</v>
      </c>
    </row>
    <row r="59" spans="1:35" x14ac:dyDescent="0.25">
      <c r="A59" t="str">
        <f t="shared" si="1"/>
        <v>4-7-9</v>
      </c>
      <c r="B59">
        <v>4</v>
      </c>
      <c r="C59" s="92" t="s">
        <v>1194</v>
      </c>
      <c r="D59" s="92">
        <v>7</v>
      </c>
      <c r="E59" s="92" t="s">
        <v>586</v>
      </c>
      <c r="F59" s="92">
        <v>9</v>
      </c>
      <c r="G59" s="92" t="s">
        <v>118</v>
      </c>
      <c r="H59" s="92"/>
      <c r="I59" s="92">
        <v>0</v>
      </c>
      <c r="J59" s="92">
        <v>5374514</v>
      </c>
      <c r="K59" s="92" t="s">
        <v>1061</v>
      </c>
      <c r="L59" s="92">
        <v>91</v>
      </c>
      <c r="M59" s="92">
        <v>8</v>
      </c>
      <c r="N59" s="92">
        <v>4</v>
      </c>
      <c r="O59" s="92">
        <v>4</v>
      </c>
      <c r="P59" s="92">
        <v>0</v>
      </c>
      <c r="Q59" s="92">
        <v>0</v>
      </c>
      <c r="R59" s="92">
        <v>0</v>
      </c>
      <c r="S59" s="92">
        <v>0</v>
      </c>
      <c r="T59" s="92">
        <v>0</v>
      </c>
      <c r="U59" s="92">
        <v>0</v>
      </c>
      <c r="V59" s="92">
        <v>0</v>
      </c>
      <c r="W59" s="92">
        <v>0</v>
      </c>
      <c r="X59" s="92">
        <v>0</v>
      </c>
      <c r="Y59" s="92">
        <v>0</v>
      </c>
      <c r="Z59" s="92">
        <v>0</v>
      </c>
      <c r="AA59" s="92">
        <v>0</v>
      </c>
      <c r="AB59" s="92">
        <v>5533</v>
      </c>
      <c r="AC59" s="92">
        <v>5703</v>
      </c>
      <c r="AD59" s="92">
        <v>5881</v>
      </c>
      <c r="AE59" s="92">
        <v>0</v>
      </c>
      <c r="AF59" s="92">
        <v>0</v>
      </c>
      <c r="AG59" s="92">
        <v>0</v>
      </c>
    </row>
    <row r="60" spans="1:35" x14ac:dyDescent="0.25">
      <c r="A60" t="str">
        <f t="shared" si="1"/>
        <v>4-7-191</v>
      </c>
      <c r="B60">
        <v>4</v>
      </c>
      <c r="C60" s="92" t="s">
        <v>1194</v>
      </c>
      <c r="D60" s="92">
        <v>7</v>
      </c>
      <c r="E60" s="92" t="s">
        <v>586</v>
      </c>
      <c r="F60" s="92">
        <v>191</v>
      </c>
      <c r="G60" s="92" t="s">
        <v>119</v>
      </c>
      <c r="H60" s="92"/>
      <c r="I60" s="92">
        <v>0</v>
      </c>
      <c r="J60" s="92">
        <v>8735790</v>
      </c>
      <c r="K60" s="92" t="s">
        <v>1061</v>
      </c>
      <c r="L60" s="92">
        <v>63</v>
      </c>
      <c r="M60" s="92">
        <v>43</v>
      </c>
      <c r="N60" s="92">
        <v>24</v>
      </c>
      <c r="O60" s="92">
        <v>24</v>
      </c>
      <c r="P60" s="92">
        <v>0</v>
      </c>
      <c r="Q60" s="92">
        <v>0</v>
      </c>
      <c r="R60" s="92">
        <v>0</v>
      </c>
      <c r="S60" s="92">
        <v>0</v>
      </c>
      <c r="T60" s="92">
        <v>0</v>
      </c>
      <c r="U60" s="92">
        <v>0</v>
      </c>
      <c r="V60" s="92">
        <v>0</v>
      </c>
      <c r="W60" s="92">
        <v>0</v>
      </c>
      <c r="X60" s="92">
        <v>0</v>
      </c>
      <c r="Y60" s="92">
        <v>0</v>
      </c>
      <c r="Z60" s="92">
        <v>0</v>
      </c>
      <c r="AA60" s="92">
        <v>0</v>
      </c>
      <c r="AB60" s="92">
        <v>5346</v>
      </c>
      <c r="AC60" s="92">
        <v>5512</v>
      </c>
      <c r="AD60" s="92">
        <v>5687</v>
      </c>
      <c r="AE60" s="92">
        <v>0</v>
      </c>
      <c r="AF60" s="92">
        <v>0</v>
      </c>
      <c r="AG60" s="92">
        <v>0</v>
      </c>
    </row>
    <row r="61" spans="1:35" x14ac:dyDescent="0.25">
      <c r="A61" t="str">
        <f t="shared" si="1"/>
        <v>4-17-40</v>
      </c>
      <c r="B61">
        <v>4</v>
      </c>
      <c r="C61" s="92" t="s">
        <v>1194</v>
      </c>
      <c r="D61" s="92">
        <v>17</v>
      </c>
      <c r="E61" s="92" t="s">
        <v>593</v>
      </c>
      <c r="F61" s="92">
        <v>40</v>
      </c>
      <c r="G61" s="92" t="s">
        <v>1173</v>
      </c>
      <c r="H61" s="92"/>
      <c r="I61" s="92">
        <v>0</v>
      </c>
      <c r="J61" s="92">
        <v>8735790</v>
      </c>
      <c r="K61" s="92" t="s">
        <v>1061</v>
      </c>
      <c r="L61" s="92">
        <v>0</v>
      </c>
      <c r="M61" s="92">
        <v>0</v>
      </c>
      <c r="N61" s="92">
        <v>0</v>
      </c>
      <c r="O61" s="92">
        <v>0</v>
      </c>
      <c r="P61" s="92"/>
      <c r="Q61" s="92">
        <v>0</v>
      </c>
      <c r="R61" s="92">
        <v>0</v>
      </c>
      <c r="S61" s="92">
        <v>0</v>
      </c>
      <c r="T61" s="92">
        <v>0</v>
      </c>
      <c r="U61" s="92">
        <v>0</v>
      </c>
      <c r="V61" s="92">
        <v>0</v>
      </c>
      <c r="W61" s="92">
        <v>0</v>
      </c>
      <c r="X61" s="92">
        <v>0</v>
      </c>
      <c r="Y61" s="92">
        <v>0</v>
      </c>
      <c r="Z61" s="92">
        <v>0</v>
      </c>
      <c r="AA61" s="92">
        <v>0</v>
      </c>
      <c r="AB61" s="92">
        <v>0</v>
      </c>
      <c r="AC61" s="92">
        <v>8500</v>
      </c>
      <c r="AD61" s="92">
        <v>8764</v>
      </c>
      <c r="AE61" s="92">
        <v>0</v>
      </c>
      <c r="AF61" s="92">
        <v>0</v>
      </c>
      <c r="AG61" s="92">
        <v>0</v>
      </c>
    </row>
    <row r="62" spans="1:35" x14ac:dyDescent="0.25">
      <c r="A62" t="str">
        <f t="shared" si="1"/>
        <v>18-9-124</v>
      </c>
      <c r="B62">
        <v>18</v>
      </c>
      <c r="C62" s="92" t="s">
        <v>1031</v>
      </c>
      <c r="D62" s="92">
        <v>9</v>
      </c>
      <c r="E62" s="92" t="s">
        <v>588</v>
      </c>
      <c r="F62" s="92">
        <v>124</v>
      </c>
      <c r="G62" s="92" t="s">
        <v>796</v>
      </c>
      <c r="H62" s="92"/>
      <c r="I62" s="92">
        <v>2472</v>
      </c>
      <c r="J62" s="92">
        <v>0</v>
      </c>
      <c r="K62" s="92">
        <v>1</v>
      </c>
      <c r="L62" s="92">
        <v>261</v>
      </c>
      <c r="M62" s="92">
        <v>203</v>
      </c>
      <c r="N62" s="92">
        <v>0</v>
      </c>
      <c r="O62" s="92">
        <v>0</v>
      </c>
      <c r="P62" s="92">
        <v>0</v>
      </c>
      <c r="Q62" s="92">
        <v>0</v>
      </c>
      <c r="R62" s="92">
        <v>0</v>
      </c>
      <c r="S62" s="92">
        <v>0</v>
      </c>
      <c r="T62" s="92">
        <v>5</v>
      </c>
      <c r="U62" s="92">
        <v>0</v>
      </c>
      <c r="V62" s="92">
        <v>0</v>
      </c>
      <c r="W62" s="92">
        <v>0</v>
      </c>
      <c r="X62" s="92">
        <v>0</v>
      </c>
      <c r="Y62" s="92">
        <v>0</v>
      </c>
      <c r="Z62" s="92">
        <v>0</v>
      </c>
      <c r="AA62" s="92">
        <v>0</v>
      </c>
      <c r="AB62" s="92">
        <v>26469</v>
      </c>
      <c r="AC62" s="92">
        <v>27501</v>
      </c>
      <c r="AD62" s="92">
        <v>28746</v>
      </c>
      <c r="AE62" s="92">
        <v>0</v>
      </c>
      <c r="AF62" s="92">
        <v>0</v>
      </c>
      <c r="AG62" s="92">
        <v>0</v>
      </c>
      <c r="AI62" s="250">
        <v>6.5795700000000003E-4</v>
      </c>
    </row>
    <row r="63" spans="1:35" x14ac:dyDescent="0.25">
      <c r="A63" t="str">
        <f t="shared" si="1"/>
        <v>35-9-124</v>
      </c>
      <c r="B63">
        <v>35</v>
      </c>
      <c r="C63" s="92" t="s">
        <v>1195</v>
      </c>
      <c r="D63" s="92">
        <v>9</v>
      </c>
      <c r="E63" s="92" t="s">
        <v>588</v>
      </c>
      <c r="F63" s="92">
        <v>124</v>
      </c>
      <c r="G63" s="92" t="s">
        <v>796</v>
      </c>
      <c r="H63" s="92"/>
      <c r="I63" s="92">
        <v>2472</v>
      </c>
      <c r="J63" s="92">
        <v>71331</v>
      </c>
      <c r="K63" s="92">
        <v>1</v>
      </c>
      <c r="L63" s="92">
        <v>261</v>
      </c>
      <c r="M63" s="92">
        <v>203</v>
      </c>
      <c r="N63" s="92">
        <v>0</v>
      </c>
      <c r="O63" s="92">
        <v>0</v>
      </c>
      <c r="P63" s="92">
        <v>0</v>
      </c>
      <c r="Q63" s="92">
        <v>0</v>
      </c>
      <c r="R63" s="92">
        <v>0</v>
      </c>
      <c r="S63" s="92">
        <v>0</v>
      </c>
      <c r="T63" s="92">
        <v>5</v>
      </c>
      <c r="U63" s="92">
        <v>0</v>
      </c>
      <c r="V63" s="92">
        <v>0</v>
      </c>
      <c r="W63" s="92">
        <v>0</v>
      </c>
      <c r="X63" s="92">
        <v>0</v>
      </c>
      <c r="Y63" s="92">
        <v>0</v>
      </c>
      <c r="Z63" s="92">
        <v>0</v>
      </c>
      <c r="AA63" s="92">
        <v>0</v>
      </c>
      <c r="AB63" s="92">
        <v>26469</v>
      </c>
      <c r="AC63" s="92">
        <v>27501</v>
      </c>
      <c r="AD63" s="92">
        <v>28746</v>
      </c>
      <c r="AE63" s="92">
        <v>0</v>
      </c>
      <c r="AF63" s="92">
        <v>0</v>
      </c>
      <c r="AG63" s="92">
        <v>0</v>
      </c>
      <c r="AI63" s="250">
        <v>6.5795700000000003E-4</v>
      </c>
    </row>
    <row r="64" spans="1:35" x14ac:dyDescent="0.25">
      <c r="A64" t="str">
        <f t="shared" si="1"/>
        <v>19-7-10</v>
      </c>
      <c r="B64">
        <v>19</v>
      </c>
      <c r="C64" s="92" t="s">
        <v>1032</v>
      </c>
      <c r="D64" s="92">
        <v>7</v>
      </c>
      <c r="E64" s="92" t="s">
        <v>586</v>
      </c>
      <c r="F64" s="92">
        <v>10</v>
      </c>
      <c r="G64" s="92" t="s">
        <v>302</v>
      </c>
      <c r="H64" s="92"/>
      <c r="I64" s="92">
        <v>520</v>
      </c>
      <c r="J64" s="92">
        <v>6091880</v>
      </c>
      <c r="K64" s="92" t="s">
        <v>1061</v>
      </c>
      <c r="L64" s="92">
        <v>607</v>
      </c>
      <c r="M64" s="92">
        <v>204</v>
      </c>
      <c r="N64" s="92">
        <v>77</v>
      </c>
      <c r="O64" s="92">
        <v>77</v>
      </c>
      <c r="P64" s="92">
        <v>0</v>
      </c>
      <c r="Q64" s="92">
        <v>0</v>
      </c>
      <c r="R64" s="92">
        <v>0</v>
      </c>
      <c r="S64" s="92">
        <v>0</v>
      </c>
      <c r="T64" s="92">
        <v>0</v>
      </c>
      <c r="U64" s="92">
        <v>0</v>
      </c>
      <c r="V64" s="92">
        <v>0</v>
      </c>
      <c r="W64" s="92">
        <v>0</v>
      </c>
      <c r="X64" s="92">
        <v>0</v>
      </c>
      <c r="Y64" s="92">
        <v>0</v>
      </c>
      <c r="Z64" s="92">
        <v>0</v>
      </c>
      <c r="AA64" s="92">
        <v>0</v>
      </c>
      <c r="AB64" s="92">
        <v>25674</v>
      </c>
      <c r="AC64" s="92">
        <v>25674</v>
      </c>
      <c r="AD64" s="92">
        <v>25674</v>
      </c>
      <c r="AE64" s="92">
        <v>0</v>
      </c>
      <c r="AF64" s="92">
        <v>0</v>
      </c>
      <c r="AG64" s="92">
        <v>0</v>
      </c>
    </row>
    <row r="65" spans="1:35" x14ac:dyDescent="0.25">
      <c r="A65" t="str">
        <f t="shared" si="1"/>
        <v>7-10-12</v>
      </c>
      <c r="B65">
        <v>7</v>
      </c>
      <c r="C65" s="92" t="s">
        <v>1057</v>
      </c>
      <c r="D65" s="92">
        <v>10</v>
      </c>
      <c r="E65" s="92" t="s">
        <v>589</v>
      </c>
      <c r="F65" s="92">
        <v>12</v>
      </c>
      <c r="G65" s="92" t="s">
        <v>166</v>
      </c>
      <c r="H65" s="92"/>
      <c r="I65" s="92">
        <v>1012</v>
      </c>
      <c r="J65" s="92">
        <v>0</v>
      </c>
      <c r="K65" s="92" t="s">
        <v>1061</v>
      </c>
      <c r="L65" s="92">
        <v>0</v>
      </c>
      <c r="M65" s="92">
        <v>0</v>
      </c>
      <c r="N65" s="92">
        <v>0</v>
      </c>
      <c r="O65" s="92">
        <v>0</v>
      </c>
      <c r="P65" s="92">
        <v>0</v>
      </c>
      <c r="Q65" s="92">
        <v>0</v>
      </c>
      <c r="R65" s="92">
        <v>0</v>
      </c>
      <c r="S65" s="92">
        <v>0</v>
      </c>
      <c r="T65" s="92">
        <v>0</v>
      </c>
      <c r="U65" s="92">
        <v>1</v>
      </c>
      <c r="V65" s="92">
        <v>0</v>
      </c>
      <c r="W65" s="92">
        <v>0</v>
      </c>
      <c r="X65" s="92">
        <v>0</v>
      </c>
      <c r="Y65" s="92">
        <v>0</v>
      </c>
      <c r="Z65" s="92">
        <v>0</v>
      </c>
      <c r="AA65" s="92">
        <v>0</v>
      </c>
      <c r="AB65" s="92">
        <v>55609</v>
      </c>
      <c r="AC65" s="92">
        <v>58452</v>
      </c>
      <c r="AD65" s="92">
        <v>61108</v>
      </c>
      <c r="AE65" s="92">
        <v>0</v>
      </c>
      <c r="AF65" s="92">
        <v>0</v>
      </c>
      <c r="AG65" s="92">
        <v>0</v>
      </c>
    </row>
    <row r="66" spans="1:35" x14ac:dyDescent="0.25">
      <c r="A66" t="str">
        <f t="shared" ref="A66:A97" si="2">B66&amp;"-"&amp;D66&amp;"-"&amp;F66</f>
        <v>6-15-15</v>
      </c>
      <c r="B66">
        <v>6</v>
      </c>
      <c r="C66" s="92" t="s">
        <v>1020</v>
      </c>
      <c r="D66" s="92">
        <v>15</v>
      </c>
      <c r="E66" s="92" t="s">
        <v>152</v>
      </c>
      <c r="F66" s="92">
        <v>15</v>
      </c>
      <c r="G66" s="92" t="s">
        <v>688</v>
      </c>
      <c r="H66" s="92"/>
      <c r="I66" s="92">
        <v>207694</v>
      </c>
      <c r="J66" s="92">
        <v>220774855</v>
      </c>
      <c r="K66" s="92" t="s">
        <v>1061</v>
      </c>
      <c r="L66" s="92">
        <v>0</v>
      </c>
      <c r="M66" s="92">
        <v>6559</v>
      </c>
      <c r="N66" s="92">
        <v>1781</v>
      </c>
      <c r="O66" s="92">
        <v>1781</v>
      </c>
      <c r="P66" s="92">
        <v>0</v>
      </c>
      <c r="Q66" s="92">
        <v>0</v>
      </c>
      <c r="R66" s="92">
        <v>0</v>
      </c>
      <c r="S66" s="92">
        <v>0</v>
      </c>
      <c r="T66" s="92">
        <v>0</v>
      </c>
      <c r="U66" s="92">
        <v>0</v>
      </c>
      <c r="V66" s="92">
        <v>0</v>
      </c>
      <c r="W66" s="92">
        <v>0</v>
      </c>
      <c r="X66" s="92">
        <v>0</v>
      </c>
      <c r="Y66" s="92">
        <v>0</v>
      </c>
      <c r="Z66" s="92">
        <v>0</v>
      </c>
      <c r="AA66" s="92">
        <v>0</v>
      </c>
      <c r="AB66" s="92">
        <v>571000</v>
      </c>
      <c r="AC66" s="92">
        <v>599572</v>
      </c>
      <c r="AD66" s="92">
        <v>599572</v>
      </c>
      <c r="AE66" s="92">
        <v>0</v>
      </c>
      <c r="AF66" s="92">
        <v>0</v>
      </c>
      <c r="AG66" s="92">
        <v>0</v>
      </c>
    </row>
    <row r="67" spans="1:35" x14ac:dyDescent="0.25">
      <c r="A67" t="str">
        <f t="shared" si="2"/>
        <v>6-5-9</v>
      </c>
      <c r="B67">
        <v>6</v>
      </c>
      <c r="C67" s="92" t="s">
        <v>1020</v>
      </c>
      <c r="D67" s="92">
        <v>5</v>
      </c>
      <c r="E67" s="92" t="s">
        <v>200</v>
      </c>
      <c r="F67" s="92">
        <v>9</v>
      </c>
      <c r="G67" s="92" t="s">
        <v>681</v>
      </c>
      <c r="H67" s="92"/>
      <c r="I67" s="92">
        <v>0</v>
      </c>
      <c r="J67" s="92">
        <v>220774855</v>
      </c>
      <c r="K67" s="92" t="s">
        <v>1061</v>
      </c>
      <c r="L67" s="92">
        <v>23886</v>
      </c>
      <c r="M67" s="92">
        <v>10554</v>
      </c>
      <c r="N67" s="92">
        <v>3512</v>
      </c>
      <c r="O67" s="92">
        <v>3512</v>
      </c>
      <c r="P67" s="92">
        <v>0</v>
      </c>
      <c r="Q67" s="92">
        <v>0</v>
      </c>
      <c r="R67" s="92">
        <v>0</v>
      </c>
      <c r="S67" s="92">
        <v>0</v>
      </c>
      <c r="T67" s="92">
        <v>0</v>
      </c>
      <c r="U67" s="92">
        <v>0</v>
      </c>
      <c r="V67" s="92">
        <v>0</v>
      </c>
      <c r="W67" s="92">
        <v>0</v>
      </c>
      <c r="X67" s="92">
        <v>0</v>
      </c>
      <c r="Y67" s="92">
        <v>0</v>
      </c>
      <c r="Z67" s="92">
        <v>0</v>
      </c>
      <c r="AA67" s="92">
        <v>0</v>
      </c>
      <c r="AB67" s="92">
        <v>1126849</v>
      </c>
      <c r="AC67" s="92">
        <v>1184492</v>
      </c>
      <c r="AD67" s="92">
        <v>1244718</v>
      </c>
      <c r="AE67" s="92">
        <v>0</v>
      </c>
      <c r="AF67" s="92">
        <v>0</v>
      </c>
      <c r="AG67" s="92">
        <v>0</v>
      </c>
      <c r="AI67">
        <v>2.4174900000000001E-4</v>
      </c>
    </row>
    <row r="68" spans="1:35" x14ac:dyDescent="0.25">
      <c r="A68" t="str">
        <f t="shared" si="2"/>
        <v>6-11-74</v>
      </c>
      <c r="B68">
        <v>6</v>
      </c>
      <c r="C68" s="92" t="s">
        <v>1020</v>
      </c>
      <c r="D68" s="92">
        <v>11</v>
      </c>
      <c r="E68" s="92" t="s">
        <v>1062</v>
      </c>
      <c r="F68" s="92">
        <v>74</v>
      </c>
      <c r="G68" s="92" t="s">
        <v>686</v>
      </c>
      <c r="H68" s="92">
        <v>1</v>
      </c>
      <c r="I68" s="92">
        <v>0</v>
      </c>
      <c r="J68" s="92">
        <v>220774855</v>
      </c>
      <c r="K68" s="92" t="s">
        <v>1061</v>
      </c>
      <c r="L68" s="92">
        <v>0</v>
      </c>
      <c r="M68" s="92">
        <v>0</v>
      </c>
      <c r="N68" s="92">
        <v>0</v>
      </c>
      <c r="O68" s="92">
        <v>0</v>
      </c>
      <c r="P68" s="92">
        <v>0</v>
      </c>
      <c r="Q68" s="92">
        <v>0</v>
      </c>
      <c r="R68" s="92">
        <v>0</v>
      </c>
      <c r="S68" s="92">
        <v>0</v>
      </c>
      <c r="T68" s="92">
        <v>0</v>
      </c>
      <c r="U68" s="92">
        <v>0</v>
      </c>
      <c r="V68" s="92">
        <v>0</v>
      </c>
      <c r="W68" s="92">
        <v>0</v>
      </c>
      <c r="X68" s="92">
        <v>0</v>
      </c>
      <c r="Y68" s="92">
        <v>0</v>
      </c>
      <c r="Z68" s="92">
        <v>0</v>
      </c>
      <c r="AA68" s="92">
        <v>0</v>
      </c>
      <c r="AB68" s="92">
        <v>611394</v>
      </c>
      <c r="AC68" s="92">
        <v>420500</v>
      </c>
      <c r="AD68" s="92">
        <v>125000</v>
      </c>
      <c r="AE68" s="92">
        <v>0</v>
      </c>
      <c r="AF68" s="92">
        <v>0</v>
      </c>
      <c r="AG68" s="92">
        <v>0</v>
      </c>
    </row>
    <row r="69" spans="1:35" x14ac:dyDescent="0.25">
      <c r="A69" t="str">
        <f t="shared" si="2"/>
        <v>6-2-6</v>
      </c>
      <c r="B69">
        <v>6</v>
      </c>
      <c r="C69" s="92" t="s">
        <v>1020</v>
      </c>
      <c r="D69" s="92">
        <v>2</v>
      </c>
      <c r="E69" s="92" t="s">
        <v>53</v>
      </c>
      <c r="F69" s="92">
        <v>6</v>
      </c>
      <c r="G69" s="92" t="s">
        <v>133</v>
      </c>
      <c r="H69" s="92"/>
      <c r="I69" s="92">
        <v>2489544</v>
      </c>
      <c r="J69" s="92">
        <v>220774855</v>
      </c>
      <c r="K69" s="92" t="s">
        <v>1061</v>
      </c>
      <c r="L69" s="92">
        <v>413387</v>
      </c>
      <c r="M69" s="92">
        <v>149458</v>
      </c>
      <c r="N69" s="92">
        <v>43818</v>
      </c>
      <c r="O69" s="92">
        <v>43602</v>
      </c>
      <c r="P69" s="92">
        <v>0</v>
      </c>
      <c r="Q69" s="92">
        <v>0</v>
      </c>
      <c r="R69" s="92">
        <v>0</v>
      </c>
      <c r="S69" s="92">
        <v>0</v>
      </c>
      <c r="T69" s="92">
        <v>0</v>
      </c>
      <c r="U69" s="92">
        <v>0</v>
      </c>
      <c r="V69" s="92">
        <v>0</v>
      </c>
      <c r="W69" s="92">
        <v>0</v>
      </c>
      <c r="X69" s="92">
        <v>0</v>
      </c>
      <c r="Y69" s="92">
        <v>0</v>
      </c>
      <c r="Z69" s="92">
        <v>0</v>
      </c>
      <c r="AA69" s="92">
        <v>0</v>
      </c>
      <c r="AB69" s="92">
        <f>13283620+611394</f>
        <v>13895014</v>
      </c>
      <c r="AC69" s="92">
        <f>14189719+420500</f>
        <v>14610219</v>
      </c>
      <c r="AD69" s="92">
        <f>15394798+125000</f>
        <v>15519798</v>
      </c>
      <c r="AE69" s="92">
        <v>0</v>
      </c>
      <c r="AF69" s="92">
        <v>0</v>
      </c>
      <c r="AG69" s="92">
        <v>0</v>
      </c>
    </row>
    <row r="70" spans="1:35" x14ac:dyDescent="0.25">
      <c r="A70" t="str">
        <f t="shared" si="2"/>
        <v>6-14-57</v>
      </c>
      <c r="B70">
        <v>6</v>
      </c>
      <c r="C70" s="92" t="s">
        <v>1020</v>
      </c>
      <c r="D70" s="92">
        <v>14</v>
      </c>
      <c r="E70" s="92" t="s">
        <v>571</v>
      </c>
      <c r="F70" s="92">
        <v>57</v>
      </c>
      <c r="G70" s="92" t="s">
        <v>687</v>
      </c>
      <c r="H70" s="92"/>
      <c r="I70" s="92">
        <v>9709</v>
      </c>
      <c r="J70" s="92">
        <v>25182044</v>
      </c>
      <c r="K70" s="92" t="s">
        <v>1061</v>
      </c>
      <c r="L70" s="92">
        <v>5129</v>
      </c>
      <c r="M70" s="92">
        <v>1850</v>
      </c>
      <c r="N70" s="92">
        <v>944</v>
      </c>
      <c r="O70" s="92">
        <v>944</v>
      </c>
      <c r="P70" s="92">
        <v>0</v>
      </c>
      <c r="Q70" s="92">
        <v>0</v>
      </c>
      <c r="R70" s="92">
        <v>0</v>
      </c>
      <c r="S70" s="92">
        <v>0</v>
      </c>
      <c r="T70" s="92">
        <v>0</v>
      </c>
      <c r="U70" s="92">
        <v>0</v>
      </c>
      <c r="V70" s="92">
        <v>0</v>
      </c>
      <c r="W70" s="92">
        <v>0</v>
      </c>
      <c r="X70" s="92">
        <v>0</v>
      </c>
      <c r="Y70" s="92">
        <v>0</v>
      </c>
      <c r="Z70" s="92">
        <v>0</v>
      </c>
      <c r="AA70" s="92">
        <v>0</v>
      </c>
      <c r="AB70" s="92">
        <v>341435</v>
      </c>
      <c r="AC70" s="92">
        <v>346293</v>
      </c>
      <c r="AD70" s="92">
        <v>363567</v>
      </c>
      <c r="AE70" s="92">
        <v>10077</v>
      </c>
      <c r="AF70" s="92">
        <v>0</v>
      </c>
      <c r="AG70" s="92">
        <v>0</v>
      </c>
      <c r="AI70" s="250">
        <v>3.4305400000000003E-4</v>
      </c>
    </row>
    <row r="71" spans="1:35" x14ac:dyDescent="0.25">
      <c r="A71" t="str">
        <f t="shared" si="2"/>
        <v>6-4-19</v>
      </c>
      <c r="B71">
        <v>6</v>
      </c>
      <c r="C71" s="92" t="s">
        <v>1020</v>
      </c>
      <c r="D71" s="92">
        <v>4</v>
      </c>
      <c r="E71" s="92" t="s">
        <v>66</v>
      </c>
      <c r="F71" s="92">
        <v>19</v>
      </c>
      <c r="G71" s="92" t="s">
        <v>676</v>
      </c>
      <c r="H71" s="92"/>
      <c r="I71" s="92">
        <v>0</v>
      </c>
      <c r="J71" s="92">
        <v>71400084</v>
      </c>
      <c r="K71" s="92" t="s">
        <v>1061</v>
      </c>
      <c r="L71" s="92">
        <v>28883</v>
      </c>
      <c r="M71" s="92">
        <v>49732</v>
      </c>
      <c r="N71" s="92">
        <v>15393</v>
      </c>
      <c r="O71" s="92">
        <v>15393</v>
      </c>
      <c r="P71" s="92">
        <v>0</v>
      </c>
      <c r="Q71" s="92">
        <v>0</v>
      </c>
      <c r="R71" s="92">
        <v>0</v>
      </c>
      <c r="S71" s="92">
        <v>0</v>
      </c>
      <c r="T71" s="92">
        <v>0</v>
      </c>
      <c r="U71" s="92">
        <v>0</v>
      </c>
      <c r="V71" s="92">
        <v>0</v>
      </c>
      <c r="W71" s="92">
        <v>0</v>
      </c>
      <c r="X71" s="92">
        <v>0</v>
      </c>
      <c r="Y71" s="92">
        <v>0</v>
      </c>
      <c r="Z71" s="92">
        <v>0</v>
      </c>
      <c r="AA71" s="92">
        <v>0</v>
      </c>
      <c r="AB71" s="92">
        <v>0</v>
      </c>
      <c r="AC71" s="92">
        <v>0</v>
      </c>
      <c r="AD71" s="92">
        <v>0</v>
      </c>
      <c r="AE71" s="92">
        <v>0</v>
      </c>
      <c r="AF71" s="92">
        <v>0</v>
      </c>
      <c r="AG71" s="92">
        <v>0</v>
      </c>
    </row>
    <row r="72" spans="1:35" x14ac:dyDescent="0.25">
      <c r="A72" t="str">
        <f t="shared" si="2"/>
        <v>6-9-4</v>
      </c>
      <c r="B72">
        <v>6</v>
      </c>
      <c r="C72" s="92" t="s">
        <v>1020</v>
      </c>
      <c r="D72" s="92">
        <v>9</v>
      </c>
      <c r="E72" s="92" t="s">
        <v>588</v>
      </c>
      <c r="F72" s="92">
        <v>4</v>
      </c>
      <c r="G72" s="92" t="s">
        <v>684</v>
      </c>
      <c r="H72" s="92"/>
      <c r="I72" s="92">
        <v>97181</v>
      </c>
      <c r="J72" s="92">
        <v>0</v>
      </c>
      <c r="K72" s="92" t="s">
        <v>1061</v>
      </c>
      <c r="L72" s="92">
        <v>43897</v>
      </c>
      <c r="M72" s="92">
        <v>7062</v>
      </c>
      <c r="N72" s="92">
        <v>2350</v>
      </c>
      <c r="O72" s="92">
        <v>2350</v>
      </c>
      <c r="P72" s="92">
        <v>0</v>
      </c>
      <c r="Q72" s="92">
        <v>0</v>
      </c>
      <c r="R72" s="92">
        <v>0</v>
      </c>
      <c r="S72" s="92">
        <v>0</v>
      </c>
      <c r="T72" s="92">
        <v>0</v>
      </c>
      <c r="U72" s="92">
        <v>0</v>
      </c>
      <c r="V72" s="92">
        <v>0</v>
      </c>
      <c r="W72" s="92">
        <v>0</v>
      </c>
      <c r="X72" s="92">
        <v>0</v>
      </c>
      <c r="Y72" s="92">
        <v>0</v>
      </c>
      <c r="Z72" s="92">
        <v>0</v>
      </c>
      <c r="AA72" s="92">
        <v>0</v>
      </c>
      <c r="AB72" s="92">
        <v>1033882</v>
      </c>
      <c r="AC72" s="92">
        <v>1083640</v>
      </c>
      <c r="AD72" s="92">
        <v>1103136</v>
      </c>
      <c r="AE72" s="92">
        <v>0</v>
      </c>
      <c r="AF72" s="92">
        <v>0</v>
      </c>
      <c r="AG72" s="92">
        <v>0</v>
      </c>
      <c r="AI72" s="250">
        <v>5.4011100000000002E-4</v>
      </c>
    </row>
    <row r="73" spans="1:35" x14ac:dyDescent="0.25">
      <c r="A73" t="str">
        <f t="shared" si="2"/>
        <v>7-2-7</v>
      </c>
      <c r="B73">
        <v>7</v>
      </c>
      <c r="C73" s="92" t="s">
        <v>1057</v>
      </c>
      <c r="D73" s="92">
        <v>2</v>
      </c>
      <c r="E73" s="92" t="s">
        <v>53</v>
      </c>
      <c r="F73" s="92">
        <v>7</v>
      </c>
      <c r="G73" s="92" t="s">
        <v>154</v>
      </c>
      <c r="H73" s="92"/>
      <c r="I73" s="92">
        <v>0</v>
      </c>
      <c r="J73" s="92">
        <v>131180133</v>
      </c>
      <c r="K73" s="92" t="s">
        <v>1061</v>
      </c>
      <c r="L73" s="92">
        <v>71016</v>
      </c>
      <c r="M73" s="92">
        <v>29739</v>
      </c>
      <c r="N73" s="92">
        <v>5944</v>
      </c>
      <c r="O73" s="92">
        <v>5944</v>
      </c>
      <c r="P73" s="92">
        <v>0</v>
      </c>
      <c r="Q73" s="92">
        <v>0</v>
      </c>
      <c r="R73" s="92">
        <v>0</v>
      </c>
      <c r="S73" s="92">
        <v>487.84</v>
      </c>
      <c r="T73" s="92">
        <v>80</v>
      </c>
      <c r="U73" s="92">
        <v>154</v>
      </c>
      <c r="V73" s="92">
        <v>0</v>
      </c>
      <c r="W73" s="92">
        <v>0</v>
      </c>
      <c r="X73" s="92">
        <v>0</v>
      </c>
      <c r="Y73" s="92">
        <v>0</v>
      </c>
      <c r="Z73" s="92">
        <v>0</v>
      </c>
      <c r="AA73" s="92">
        <v>0</v>
      </c>
      <c r="AB73" s="92">
        <v>12581991</v>
      </c>
      <c r="AC73" s="92">
        <v>13091538</v>
      </c>
      <c r="AD73" s="92">
        <v>13673114</v>
      </c>
      <c r="AE73" s="92">
        <v>0</v>
      </c>
      <c r="AF73" s="92">
        <v>0</v>
      </c>
      <c r="AG73" s="92">
        <v>0</v>
      </c>
    </row>
    <row r="74" spans="1:35" x14ac:dyDescent="0.25">
      <c r="A74" t="str">
        <f t="shared" si="2"/>
        <v>7-5-11</v>
      </c>
      <c r="B74">
        <v>7</v>
      </c>
      <c r="C74" s="92" t="s">
        <v>1057</v>
      </c>
      <c r="D74" s="92">
        <v>5</v>
      </c>
      <c r="E74" s="92" t="s">
        <v>200</v>
      </c>
      <c r="F74" s="92">
        <v>11</v>
      </c>
      <c r="G74" s="92" t="s">
        <v>160</v>
      </c>
      <c r="H74" s="92"/>
      <c r="I74" s="92">
        <v>0</v>
      </c>
      <c r="J74" s="92">
        <v>131180133</v>
      </c>
      <c r="K74" s="92" t="s">
        <v>1061</v>
      </c>
      <c r="L74" s="92">
        <v>8708</v>
      </c>
      <c r="M74" s="92">
        <v>5526</v>
      </c>
      <c r="N74" s="92">
        <v>1138</v>
      </c>
      <c r="O74" s="92">
        <v>1138</v>
      </c>
      <c r="P74" s="92">
        <v>0</v>
      </c>
      <c r="Q74" s="92">
        <v>0</v>
      </c>
      <c r="R74" s="92">
        <v>0</v>
      </c>
      <c r="S74" s="92">
        <v>92.68</v>
      </c>
      <c r="T74" s="92">
        <v>16</v>
      </c>
      <c r="U74" s="92">
        <v>30</v>
      </c>
      <c r="V74" s="92">
        <v>0</v>
      </c>
      <c r="W74" s="92">
        <v>0</v>
      </c>
      <c r="X74" s="92">
        <v>0</v>
      </c>
      <c r="Y74" s="92">
        <v>0</v>
      </c>
      <c r="Z74" s="92">
        <v>0</v>
      </c>
      <c r="AA74" s="92">
        <v>0</v>
      </c>
      <c r="AB74" s="92">
        <v>2625509</v>
      </c>
      <c r="AC74" s="92">
        <v>2720187</v>
      </c>
      <c r="AD74" s="92">
        <v>2840605</v>
      </c>
      <c r="AE74" s="92">
        <v>0</v>
      </c>
      <c r="AF74" s="92">
        <v>0</v>
      </c>
      <c r="AG74" s="92">
        <v>0</v>
      </c>
      <c r="AI74">
        <v>1.1104599999999999E-4</v>
      </c>
    </row>
    <row r="75" spans="1:35" x14ac:dyDescent="0.25">
      <c r="A75" t="str">
        <f t="shared" si="2"/>
        <v>7-17-1</v>
      </c>
      <c r="B75">
        <v>7</v>
      </c>
      <c r="C75" s="92" t="s">
        <v>1057</v>
      </c>
      <c r="D75" s="92">
        <v>17</v>
      </c>
      <c r="E75" s="92" t="s">
        <v>593</v>
      </c>
      <c r="F75" s="92">
        <v>1</v>
      </c>
      <c r="G75" s="92" t="s">
        <v>696</v>
      </c>
      <c r="H75" s="92"/>
      <c r="I75" s="92">
        <v>0</v>
      </c>
      <c r="J75" s="92">
        <v>131180133</v>
      </c>
      <c r="K75" s="92" t="s">
        <v>1061</v>
      </c>
      <c r="L75" s="92">
        <v>913</v>
      </c>
      <c r="M75" s="92">
        <v>9305</v>
      </c>
      <c r="N75" s="92">
        <v>732</v>
      </c>
      <c r="O75" s="92">
        <v>732</v>
      </c>
      <c r="P75" s="92">
        <v>0</v>
      </c>
      <c r="Q75" s="92">
        <v>0</v>
      </c>
      <c r="R75" s="92">
        <v>0</v>
      </c>
      <c r="S75" s="92">
        <v>59.57</v>
      </c>
      <c r="T75" s="92">
        <v>10</v>
      </c>
      <c r="U75" s="92">
        <v>20</v>
      </c>
      <c r="V75" s="92">
        <v>0</v>
      </c>
      <c r="W75" s="92">
        <v>0</v>
      </c>
      <c r="X75" s="92">
        <v>0</v>
      </c>
      <c r="Y75" s="92">
        <v>0</v>
      </c>
      <c r="Z75" s="92">
        <v>0</v>
      </c>
      <c r="AA75" s="92">
        <v>0</v>
      </c>
      <c r="AB75" s="92">
        <v>1688402</v>
      </c>
      <c r="AC75" s="92">
        <v>1756639</v>
      </c>
      <c r="AD75" s="92">
        <v>1834527</v>
      </c>
      <c r="AE75" s="92">
        <v>0</v>
      </c>
      <c r="AF75" s="92">
        <v>0</v>
      </c>
      <c r="AG75" s="92">
        <v>0</v>
      </c>
    </row>
    <row r="76" spans="1:35" x14ac:dyDescent="0.25">
      <c r="A76" t="str">
        <f t="shared" si="2"/>
        <v>7-4-24</v>
      </c>
      <c r="B76">
        <v>7</v>
      </c>
      <c r="C76" s="92" t="s">
        <v>1057</v>
      </c>
      <c r="D76" s="92">
        <v>4</v>
      </c>
      <c r="E76" s="92" t="s">
        <v>66</v>
      </c>
      <c r="F76" s="92">
        <v>24</v>
      </c>
      <c r="G76" s="92" t="s">
        <v>690</v>
      </c>
      <c r="H76" s="92"/>
      <c r="I76" s="92">
        <v>0</v>
      </c>
      <c r="J76" s="92">
        <v>131180133</v>
      </c>
      <c r="K76" s="92" t="s">
        <v>1061</v>
      </c>
      <c r="L76" s="92">
        <v>2858</v>
      </c>
      <c r="M76" s="92">
        <v>117814</v>
      </c>
      <c r="N76" s="92">
        <v>16762.810000000001</v>
      </c>
      <c r="O76" s="92">
        <v>16763</v>
      </c>
      <c r="P76" s="92">
        <v>0</v>
      </c>
      <c r="Q76" s="92">
        <v>0</v>
      </c>
      <c r="R76" s="92">
        <v>0</v>
      </c>
      <c r="S76" s="92">
        <v>1561</v>
      </c>
      <c r="T76" s="92">
        <v>221.54</v>
      </c>
      <c r="U76" s="92">
        <v>412</v>
      </c>
      <c r="V76" s="92">
        <v>0</v>
      </c>
      <c r="W76" s="92">
        <v>0</v>
      </c>
      <c r="X76" s="92">
        <v>0</v>
      </c>
      <c r="Y76" s="92">
        <v>0</v>
      </c>
      <c r="Z76" s="92">
        <v>0</v>
      </c>
      <c r="AA76" s="92">
        <v>0</v>
      </c>
      <c r="AB76" s="92">
        <v>138996</v>
      </c>
      <c r="AC76" s="92">
        <v>144573</v>
      </c>
      <c r="AD76" s="92">
        <v>150944</v>
      </c>
      <c r="AE76" s="92">
        <v>0</v>
      </c>
      <c r="AF76" s="92">
        <v>0</v>
      </c>
      <c r="AG76" s="92">
        <v>0</v>
      </c>
    </row>
    <row r="77" spans="1:35" x14ac:dyDescent="0.25">
      <c r="A77" t="str">
        <f t="shared" si="2"/>
        <v>24-9-5</v>
      </c>
      <c r="B77">
        <v>24</v>
      </c>
      <c r="C77" s="92" t="s">
        <v>1037</v>
      </c>
      <c r="D77" s="92">
        <v>9</v>
      </c>
      <c r="E77" s="92" t="s">
        <v>588</v>
      </c>
      <c r="F77" s="92">
        <v>5</v>
      </c>
      <c r="G77" s="92" t="s">
        <v>560</v>
      </c>
      <c r="H77" s="92"/>
      <c r="I77" s="92">
        <v>0</v>
      </c>
      <c r="J77" s="92">
        <v>547000</v>
      </c>
      <c r="K77" s="92">
        <v>1</v>
      </c>
      <c r="L77" s="92">
        <v>2011</v>
      </c>
      <c r="M77" s="92">
        <v>538</v>
      </c>
      <c r="N77" s="92">
        <v>170</v>
      </c>
      <c r="O77" s="92">
        <v>170</v>
      </c>
      <c r="P77" s="92">
        <v>0</v>
      </c>
      <c r="Q77" s="92">
        <v>0</v>
      </c>
      <c r="R77" s="92">
        <v>0</v>
      </c>
      <c r="S77" s="92">
        <v>0</v>
      </c>
      <c r="T77" s="92">
        <v>0</v>
      </c>
      <c r="U77" s="92">
        <v>0</v>
      </c>
      <c r="V77" s="92">
        <v>0</v>
      </c>
      <c r="W77" s="92">
        <v>0</v>
      </c>
      <c r="X77" s="92">
        <v>0</v>
      </c>
      <c r="Y77" s="92">
        <v>0</v>
      </c>
      <c r="Z77" s="92">
        <v>0</v>
      </c>
      <c r="AA77" s="92">
        <v>0</v>
      </c>
      <c r="AB77" s="92">
        <v>49618</v>
      </c>
      <c r="AC77" s="92">
        <v>51525</v>
      </c>
      <c r="AD77" s="92">
        <v>53742</v>
      </c>
      <c r="AE77" s="92">
        <v>0</v>
      </c>
      <c r="AF77" s="92">
        <v>0</v>
      </c>
      <c r="AG77" s="92">
        <v>0</v>
      </c>
      <c r="AI77" s="250">
        <v>4.4856600000000001E-4</v>
      </c>
    </row>
    <row r="78" spans="1:35" x14ac:dyDescent="0.25">
      <c r="A78" t="str">
        <f t="shared" si="2"/>
        <v>42-9-5</v>
      </c>
      <c r="B78">
        <v>42</v>
      </c>
      <c r="C78" s="92" t="s">
        <v>1196</v>
      </c>
      <c r="D78" s="92">
        <v>9</v>
      </c>
      <c r="E78" s="92" t="s">
        <v>588</v>
      </c>
      <c r="F78" s="92">
        <v>5</v>
      </c>
      <c r="G78" s="92" t="s">
        <v>560</v>
      </c>
      <c r="H78" s="92"/>
      <c r="I78" s="92">
        <v>0</v>
      </c>
      <c r="J78" s="92">
        <v>0</v>
      </c>
      <c r="K78" s="92">
        <v>1</v>
      </c>
      <c r="L78" s="92">
        <v>2011</v>
      </c>
      <c r="M78" s="92">
        <v>538</v>
      </c>
      <c r="N78" s="92">
        <v>170</v>
      </c>
      <c r="O78" s="92">
        <v>170</v>
      </c>
      <c r="P78" s="92">
        <v>0</v>
      </c>
      <c r="Q78" s="92">
        <v>0</v>
      </c>
      <c r="R78" s="92">
        <v>0</v>
      </c>
      <c r="S78" s="92">
        <v>0</v>
      </c>
      <c r="T78" s="92">
        <v>0</v>
      </c>
      <c r="U78" s="92">
        <v>0</v>
      </c>
      <c r="V78" s="92">
        <v>0</v>
      </c>
      <c r="W78" s="92">
        <v>0</v>
      </c>
      <c r="X78" s="92">
        <v>0</v>
      </c>
      <c r="Y78" s="92">
        <v>0</v>
      </c>
      <c r="Z78" s="92">
        <v>0</v>
      </c>
      <c r="AA78" s="92">
        <v>0</v>
      </c>
      <c r="AB78" s="92">
        <v>49618</v>
      </c>
      <c r="AC78" s="92">
        <v>51525</v>
      </c>
      <c r="AD78" s="92">
        <v>53742</v>
      </c>
      <c r="AE78" s="92">
        <v>0</v>
      </c>
      <c r="AF78" s="92">
        <v>0</v>
      </c>
      <c r="AG78" s="92">
        <v>0</v>
      </c>
      <c r="AI78" s="250">
        <v>4.4856600000000001E-4</v>
      </c>
    </row>
    <row r="79" spans="1:35" x14ac:dyDescent="0.25">
      <c r="A79" t="str">
        <f t="shared" si="2"/>
        <v>24-11-2</v>
      </c>
      <c r="B79">
        <v>24</v>
      </c>
      <c r="C79" s="92" t="s">
        <v>1037</v>
      </c>
      <c r="D79" s="92">
        <v>11</v>
      </c>
      <c r="E79" s="92" t="s">
        <v>1062</v>
      </c>
      <c r="F79" s="92">
        <v>2</v>
      </c>
      <c r="G79" s="92" t="s">
        <v>353</v>
      </c>
      <c r="H79" s="92"/>
      <c r="I79" s="92">
        <v>0</v>
      </c>
      <c r="J79" s="92">
        <v>62484751</v>
      </c>
      <c r="K79" s="92" t="s">
        <v>1061</v>
      </c>
      <c r="L79" s="92">
        <v>3874</v>
      </c>
      <c r="M79" s="92">
        <v>1621</v>
      </c>
      <c r="N79" s="92">
        <v>739</v>
      </c>
      <c r="O79" s="92">
        <v>649</v>
      </c>
      <c r="P79" s="92">
        <v>0</v>
      </c>
      <c r="Q79" s="92">
        <v>0</v>
      </c>
      <c r="R79" s="92">
        <v>0</v>
      </c>
      <c r="S79" s="92">
        <v>0</v>
      </c>
      <c r="T79" s="92">
        <v>0</v>
      </c>
      <c r="U79" s="92">
        <v>0</v>
      </c>
      <c r="V79" s="92">
        <v>0</v>
      </c>
      <c r="W79" s="92">
        <v>0</v>
      </c>
      <c r="X79" s="92">
        <v>0</v>
      </c>
      <c r="Y79" s="92">
        <v>0</v>
      </c>
      <c r="Z79" s="92">
        <v>0</v>
      </c>
      <c r="AA79" s="92">
        <v>0</v>
      </c>
      <c r="AB79" s="92">
        <v>128849</v>
      </c>
      <c r="AC79" s="92">
        <v>134800</v>
      </c>
      <c r="AD79" s="92">
        <v>141617</v>
      </c>
      <c r="AE79" s="92">
        <v>0</v>
      </c>
      <c r="AF79" s="92">
        <v>0</v>
      </c>
      <c r="AG79" s="92">
        <v>0</v>
      </c>
    </row>
    <row r="80" spans="1:35" x14ac:dyDescent="0.25">
      <c r="A80" t="str">
        <f t="shared" si="2"/>
        <v>20-4-89</v>
      </c>
      <c r="B80">
        <v>20</v>
      </c>
      <c r="C80" s="92" t="s">
        <v>1033</v>
      </c>
      <c r="D80" s="92">
        <v>4</v>
      </c>
      <c r="E80" s="92" t="s">
        <v>66</v>
      </c>
      <c r="F80" s="92">
        <v>89</v>
      </c>
      <c r="G80" s="92" t="s">
        <v>823</v>
      </c>
      <c r="H80" s="92"/>
      <c r="I80" s="92">
        <v>0</v>
      </c>
      <c r="J80" s="92">
        <v>1815842</v>
      </c>
      <c r="K80" s="92">
        <v>1</v>
      </c>
      <c r="L80" s="92">
        <v>0</v>
      </c>
      <c r="M80" s="92">
        <v>2806</v>
      </c>
      <c r="N80" s="92">
        <v>863</v>
      </c>
      <c r="O80" s="92">
        <v>863</v>
      </c>
      <c r="P80" s="92">
        <v>0</v>
      </c>
      <c r="Q80" s="92">
        <v>0</v>
      </c>
      <c r="R80" s="92">
        <v>0</v>
      </c>
      <c r="S80" s="92">
        <v>0</v>
      </c>
      <c r="T80" s="92">
        <v>0</v>
      </c>
      <c r="U80" s="92">
        <v>0</v>
      </c>
      <c r="V80" s="92">
        <v>0</v>
      </c>
      <c r="W80" s="92">
        <v>0</v>
      </c>
      <c r="X80" s="92">
        <v>0</v>
      </c>
      <c r="Y80" s="92">
        <v>0</v>
      </c>
      <c r="Z80" s="92">
        <v>0</v>
      </c>
      <c r="AA80" s="92">
        <v>0</v>
      </c>
      <c r="AB80" s="92">
        <v>12572</v>
      </c>
      <c r="AC80" s="92">
        <v>13177</v>
      </c>
      <c r="AD80" s="92">
        <v>13869</v>
      </c>
      <c r="AE80" s="92">
        <v>0</v>
      </c>
      <c r="AF80" s="92">
        <v>0</v>
      </c>
      <c r="AG80" s="92">
        <v>0</v>
      </c>
    </row>
    <row r="81" spans="1:35" x14ac:dyDescent="0.25">
      <c r="A81" t="str">
        <f t="shared" si="2"/>
        <v>24-4-89</v>
      </c>
      <c r="B81">
        <v>24</v>
      </c>
      <c r="C81" s="92" t="s">
        <v>1037</v>
      </c>
      <c r="D81" s="92">
        <v>4</v>
      </c>
      <c r="E81" s="92" t="s">
        <v>66</v>
      </c>
      <c r="F81" s="92">
        <v>89</v>
      </c>
      <c r="G81" s="92" t="s">
        <v>823</v>
      </c>
      <c r="H81" s="92"/>
      <c r="I81" s="92">
        <v>0</v>
      </c>
      <c r="J81" s="92">
        <v>51071329</v>
      </c>
      <c r="K81" s="92">
        <v>1</v>
      </c>
      <c r="L81" s="92">
        <v>0</v>
      </c>
      <c r="M81" s="92">
        <v>2806</v>
      </c>
      <c r="N81" s="92">
        <v>863</v>
      </c>
      <c r="O81" s="92">
        <v>863</v>
      </c>
      <c r="P81" s="92">
        <v>0</v>
      </c>
      <c r="Q81" s="92">
        <v>0</v>
      </c>
      <c r="R81" s="92">
        <v>0</v>
      </c>
      <c r="S81" s="92">
        <v>0</v>
      </c>
      <c r="T81" s="92">
        <v>0</v>
      </c>
      <c r="U81" s="92">
        <v>0</v>
      </c>
      <c r="V81" s="92">
        <v>0</v>
      </c>
      <c r="W81" s="92">
        <v>0</v>
      </c>
      <c r="X81" s="92">
        <v>0</v>
      </c>
      <c r="Y81" s="92">
        <v>0</v>
      </c>
      <c r="Z81" s="92">
        <v>0</v>
      </c>
      <c r="AA81" s="92">
        <v>0</v>
      </c>
      <c r="AB81" s="92">
        <v>12572</v>
      </c>
      <c r="AC81" s="92">
        <v>13177</v>
      </c>
      <c r="AD81" s="92">
        <v>13869</v>
      </c>
      <c r="AE81" s="92">
        <v>0</v>
      </c>
      <c r="AF81" s="92">
        <v>0</v>
      </c>
      <c r="AG81" s="92">
        <v>0</v>
      </c>
    </row>
    <row r="82" spans="1:35" x14ac:dyDescent="0.25">
      <c r="A82" t="str">
        <f t="shared" si="2"/>
        <v>42-4-89</v>
      </c>
      <c r="B82">
        <v>42</v>
      </c>
      <c r="C82" s="92" t="s">
        <v>1196</v>
      </c>
      <c r="D82" s="92">
        <v>4</v>
      </c>
      <c r="E82" s="92" t="s">
        <v>66</v>
      </c>
      <c r="F82" s="92">
        <v>89</v>
      </c>
      <c r="G82" s="92" t="s">
        <v>823</v>
      </c>
      <c r="H82" s="92"/>
      <c r="I82" s="92">
        <v>0</v>
      </c>
      <c r="J82" s="92">
        <v>261902</v>
      </c>
      <c r="K82" s="92">
        <v>1</v>
      </c>
      <c r="L82" s="92">
        <v>0</v>
      </c>
      <c r="M82" s="92">
        <v>2806</v>
      </c>
      <c r="N82" s="92">
        <v>863</v>
      </c>
      <c r="O82" s="92">
        <v>863</v>
      </c>
      <c r="P82" s="92">
        <v>0</v>
      </c>
      <c r="Q82" s="92">
        <v>0</v>
      </c>
      <c r="R82" s="92">
        <v>0</v>
      </c>
      <c r="S82" s="92">
        <v>0</v>
      </c>
      <c r="T82" s="92">
        <v>0</v>
      </c>
      <c r="U82" s="92">
        <v>0</v>
      </c>
      <c r="V82" s="92">
        <v>0</v>
      </c>
      <c r="W82" s="92">
        <v>0</v>
      </c>
      <c r="X82" s="92">
        <v>0</v>
      </c>
      <c r="Y82" s="92">
        <v>0</v>
      </c>
      <c r="Z82" s="92">
        <v>0</v>
      </c>
      <c r="AA82" s="92">
        <v>0</v>
      </c>
      <c r="AB82" s="92">
        <v>12572</v>
      </c>
      <c r="AC82" s="92">
        <v>13177</v>
      </c>
      <c r="AD82" s="92">
        <v>13869</v>
      </c>
      <c r="AE82" s="92">
        <v>0</v>
      </c>
      <c r="AF82" s="92">
        <v>0</v>
      </c>
      <c r="AG82" s="92">
        <v>0</v>
      </c>
    </row>
    <row r="83" spans="1:35" x14ac:dyDescent="0.25">
      <c r="A83" t="str">
        <f t="shared" si="2"/>
        <v>4-7-12</v>
      </c>
      <c r="B83">
        <v>4</v>
      </c>
      <c r="C83" s="92" t="s">
        <v>1194</v>
      </c>
      <c r="D83" s="92">
        <v>7</v>
      </c>
      <c r="E83" s="92" t="s">
        <v>586</v>
      </c>
      <c r="F83" s="92">
        <v>12</v>
      </c>
      <c r="G83" s="92" t="s">
        <v>120</v>
      </c>
      <c r="H83" s="92"/>
      <c r="I83" s="92">
        <v>0</v>
      </c>
      <c r="J83" s="92">
        <v>1116433</v>
      </c>
      <c r="K83" s="92" t="s">
        <v>1061</v>
      </c>
      <c r="L83" s="92">
        <v>113</v>
      </c>
      <c r="M83" s="92">
        <v>55</v>
      </c>
      <c r="N83" s="92">
        <v>2</v>
      </c>
      <c r="O83" s="92">
        <v>2</v>
      </c>
      <c r="P83" s="92">
        <v>0</v>
      </c>
      <c r="Q83" s="92">
        <v>0</v>
      </c>
      <c r="R83" s="92">
        <v>0</v>
      </c>
      <c r="S83" s="92">
        <v>0</v>
      </c>
      <c r="T83" s="92">
        <v>0</v>
      </c>
      <c r="U83" s="92">
        <v>0</v>
      </c>
      <c r="V83" s="92">
        <v>0</v>
      </c>
      <c r="W83" s="92">
        <v>0</v>
      </c>
      <c r="X83" s="92">
        <v>0</v>
      </c>
      <c r="Y83" s="92">
        <v>0</v>
      </c>
      <c r="Z83" s="92">
        <v>0</v>
      </c>
      <c r="AA83" s="92">
        <v>0</v>
      </c>
      <c r="AB83" s="92">
        <v>5256</v>
      </c>
      <c r="AC83" s="92">
        <v>5620</v>
      </c>
      <c r="AD83" s="92">
        <v>5965</v>
      </c>
      <c r="AE83" s="92">
        <v>0</v>
      </c>
      <c r="AF83" s="92">
        <v>0</v>
      </c>
      <c r="AG83" s="92">
        <v>0</v>
      </c>
    </row>
    <row r="84" spans="1:35" x14ac:dyDescent="0.25">
      <c r="A84" t="str">
        <f t="shared" si="2"/>
        <v>8-14-4</v>
      </c>
      <c r="B84">
        <v>8</v>
      </c>
      <c r="C84" s="92" t="s">
        <v>1021</v>
      </c>
      <c r="D84" s="92">
        <v>14</v>
      </c>
      <c r="E84" s="92" t="s">
        <v>571</v>
      </c>
      <c r="F84" s="92">
        <v>4</v>
      </c>
      <c r="G84" s="92" t="s">
        <v>174</v>
      </c>
      <c r="H84" s="92"/>
      <c r="I84" s="92">
        <v>12475</v>
      </c>
      <c r="J84" s="92">
        <v>10653567</v>
      </c>
      <c r="K84" s="92" t="s">
        <v>1061</v>
      </c>
      <c r="L84" s="92">
        <v>61</v>
      </c>
      <c r="M84" s="92">
        <v>3277</v>
      </c>
      <c r="N84" s="92">
        <v>253</v>
      </c>
      <c r="O84" s="92">
        <v>253</v>
      </c>
      <c r="P84" s="92">
        <v>0</v>
      </c>
      <c r="Q84" s="92">
        <v>0</v>
      </c>
      <c r="R84" s="92">
        <v>0</v>
      </c>
      <c r="S84" s="92">
        <v>0</v>
      </c>
      <c r="T84" s="92">
        <v>0</v>
      </c>
      <c r="U84" s="92">
        <v>0</v>
      </c>
      <c r="V84" s="92">
        <v>0</v>
      </c>
      <c r="W84" s="92">
        <v>0</v>
      </c>
      <c r="X84" s="92">
        <v>0</v>
      </c>
      <c r="Y84" s="92">
        <v>0</v>
      </c>
      <c r="Z84" s="92">
        <v>0</v>
      </c>
      <c r="AA84" s="92">
        <v>0</v>
      </c>
      <c r="AB84" s="92">
        <v>266559</v>
      </c>
      <c r="AC84" s="92">
        <v>279866</v>
      </c>
      <c r="AD84" s="92">
        <v>278812</v>
      </c>
      <c r="AE84" s="92">
        <v>0</v>
      </c>
      <c r="AF84" s="92">
        <v>0</v>
      </c>
      <c r="AG84" s="92">
        <v>0</v>
      </c>
      <c r="AI84" s="250">
        <v>2.1749700000000001E-4</v>
      </c>
    </row>
    <row r="85" spans="1:35" x14ac:dyDescent="0.25">
      <c r="A85" t="str">
        <f t="shared" si="2"/>
        <v>8-11-76</v>
      </c>
      <c r="B85">
        <v>8</v>
      </c>
      <c r="C85" s="92" t="s">
        <v>1021</v>
      </c>
      <c r="D85" s="92">
        <v>11</v>
      </c>
      <c r="E85" s="92" t="s">
        <v>1062</v>
      </c>
      <c r="F85" s="92">
        <v>76</v>
      </c>
      <c r="G85" s="92" t="s">
        <v>706</v>
      </c>
      <c r="H85" s="92">
        <v>1</v>
      </c>
      <c r="I85" s="92">
        <v>0</v>
      </c>
      <c r="J85" s="92">
        <v>29338234</v>
      </c>
      <c r="K85" s="92" t="s">
        <v>1061</v>
      </c>
      <c r="L85" s="92">
        <v>0</v>
      </c>
      <c r="M85" s="92">
        <v>0</v>
      </c>
      <c r="N85" s="92">
        <v>0</v>
      </c>
      <c r="O85" s="92">
        <v>0</v>
      </c>
      <c r="P85" s="92">
        <v>0</v>
      </c>
      <c r="Q85" s="92">
        <v>0</v>
      </c>
      <c r="R85" s="92">
        <v>0</v>
      </c>
      <c r="S85" s="92">
        <v>0</v>
      </c>
      <c r="T85" s="92">
        <v>0</v>
      </c>
      <c r="U85" s="92">
        <v>0</v>
      </c>
      <c r="V85" s="92">
        <v>0</v>
      </c>
      <c r="W85" s="92">
        <v>0</v>
      </c>
      <c r="X85" s="92">
        <v>0</v>
      </c>
      <c r="Y85" s="92">
        <v>0</v>
      </c>
      <c r="Z85" s="92">
        <v>0</v>
      </c>
      <c r="AA85" s="92">
        <v>0</v>
      </c>
      <c r="AB85" s="92">
        <v>0</v>
      </c>
      <c r="AC85" s="92">
        <v>0</v>
      </c>
      <c r="AD85" s="92">
        <v>0</v>
      </c>
      <c r="AE85" s="92">
        <v>0</v>
      </c>
      <c r="AF85" s="92">
        <v>0</v>
      </c>
      <c r="AG85" s="92">
        <v>0</v>
      </c>
    </row>
    <row r="86" spans="1:35" x14ac:dyDescent="0.25">
      <c r="A86" t="str">
        <f t="shared" si="2"/>
        <v>8-2-8</v>
      </c>
      <c r="B86">
        <v>8</v>
      </c>
      <c r="C86" s="92" t="s">
        <v>1021</v>
      </c>
      <c r="D86" s="92">
        <v>2</v>
      </c>
      <c r="E86" s="92" t="s">
        <v>53</v>
      </c>
      <c r="F86" s="92">
        <v>8</v>
      </c>
      <c r="G86" s="92" t="s">
        <v>167</v>
      </c>
      <c r="H86" s="92"/>
      <c r="I86" s="92">
        <v>0</v>
      </c>
      <c r="J86" s="92">
        <v>29338234</v>
      </c>
      <c r="K86" s="92" t="s">
        <v>1061</v>
      </c>
      <c r="L86" s="92">
        <v>2528</v>
      </c>
      <c r="M86" s="92">
        <v>49641</v>
      </c>
      <c r="N86" s="92">
        <v>4823</v>
      </c>
      <c r="O86" s="92">
        <v>4823</v>
      </c>
      <c r="P86" s="92">
        <v>0</v>
      </c>
      <c r="Q86" s="92">
        <v>0</v>
      </c>
      <c r="R86" s="92">
        <v>0</v>
      </c>
      <c r="S86" s="92">
        <v>0</v>
      </c>
      <c r="T86" s="92">
        <v>0</v>
      </c>
      <c r="U86" s="92">
        <v>0</v>
      </c>
      <c r="V86" s="92">
        <v>0</v>
      </c>
      <c r="W86" s="92">
        <v>0</v>
      </c>
      <c r="X86" s="92">
        <v>0</v>
      </c>
      <c r="Y86" s="92">
        <v>0</v>
      </c>
      <c r="Z86" s="92">
        <v>0</v>
      </c>
      <c r="AA86" s="92">
        <v>0</v>
      </c>
      <c r="AB86" s="92">
        <v>5594420</v>
      </c>
      <c r="AC86" s="92">
        <v>5928553</v>
      </c>
      <c r="AD86" s="92">
        <v>6238296</v>
      </c>
      <c r="AE86" s="92">
        <v>0</v>
      </c>
      <c r="AF86" s="92">
        <v>0</v>
      </c>
      <c r="AG86" s="92">
        <v>0</v>
      </c>
    </row>
    <row r="87" spans="1:35" x14ac:dyDescent="0.25">
      <c r="A87" t="str">
        <f t="shared" si="2"/>
        <v>1-4-1</v>
      </c>
      <c r="B87">
        <v>1</v>
      </c>
      <c r="C87" s="92" t="s">
        <v>1016</v>
      </c>
      <c r="D87" s="92">
        <v>4</v>
      </c>
      <c r="E87" s="92" t="s">
        <v>66</v>
      </c>
      <c r="F87" s="92">
        <v>1</v>
      </c>
      <c r="G87" s="92" t="s">
        <v>604</v>
      </c>
      <c r="H87" s="92"/>
      <c r="I87" s="92">
        <v>0</v>
      </c>
      <c r="J87" s="92">
        <v>555824879</v>
      </c>
      <c r="K87" s="92">
        <v>1</v>
      </c>
      <c r="L87" s="92">
        <v>4279</v>
      </c>
      <c r="M87" s="92">
        <v>331805</v>
      </c>
      <c r="N87" s="92">
        <v>51943</v>
      </c>
      <c r="O87" s="92">
        <v>51943</v>
      </c>
      <c r="P87" s="92">
        <v>0</v>
      </c>
      <c r="Q87" s="92">
        <v>0</v>
      </c>
      <c r="R87" s="92">
        <v>0</v>
      </c>
      <c r="S87" s="92">
        <v>9094</v>
      </c>
      <c r="T87" s="92">
        <v>7938</v>
      </c>
      <c r="U87" s="92">
        <v>11880</v>
      </c>
      <c r="V87" s="92">
        <v>0</v>
      </c>
      <c r="W87" s="92">
        <v>0</v>
      </c>
      <c r="X87" s="92">
        <v>0</v>
      </c>
      <c r="Y87" s="92">
        <v>0</v>
      </c>
      <c r="Z87" s="92">
        <v>0</v>
      </c>
      <c r="AA87" s="92">
        <v>0</v>
      </c>
      <c r="AB87" s="92">
        <v>671991</v>
      </c>
      <c r="AC87" s="92">
        <v>663242</v>
      </c>
      <c r="AD87" s="92">
        <v>694937</v>
      </c>
      <c r="AE87" s="92">
        <v>0</v>
      </c>
      <c r="AF87" s="92">
        <v>0</v>
      </c>
      <c r="AG87" s="92">
        <v>0</v>
      </c>
    </row>
    <row r="88" spans="1:35" x14ac:dyDescent="0.25">
      <c r="A88" t="str">
        <f t="shared" si="2"/>
        <v>8-4-1</v>
      </c>
      <c r="B88">
        <v>8</v>
      </c>
      <c r="C88" s="92" t="s">
        <v>1021</v>
      </c>
      <c r="D88" s="92">
        <v>4</v>
      </c>
      <c r="E88" s="92" t="s">
        <v>66</v>
      </c>
      <c r="F88" s="92">
        <v>1</v>
      </c>
      <c r="G88" s="92" t="s">
        <v>604</v>
      </c>
      <c r="H88" s="92"/>
      <c r="I88" s="92">
        <v>0</v>
      </c>
      <c r="J88" s="92">
        <v>187405</v>
      </c>
      <c r="K88" s="92">
        <v>1</v>
      </c>
      <c r="L88" s="92">
        <v>4279</v>
      </c>
      <c r="M88" s="92">
        <v>331805</v>
      </c>
      <c r="N88" s="92">
        <v>51943</v>
      </c>
      <c r="O88" s="92">
        <v>51943</v>
      </c>
      <c r="P88" s="92">
        <v>0</v>
      </c>
      <c r="Q88" s="92">
        <v>0</v>
      </c>
      <c r="R88" s="92">
        <v>0</v>
      </c>
      <c r="S88" s="92">
        <v>9094</v>
      </c>
      <c r="T88" s="92">
        <v>7938</v>
      </c>
      <c r="U88" s="92">
        <v>11880</v>
      </c>
      <c r="V88" s="92">
        <v>0</v>
      </c>
      <c r="W88" s="92">
        <v>0</v>
      </c>
      <c r="X88" s="92">
        <v>0</v>
      </c>
      <c r="Y88" s="92">
        <v>0</v>
      </c>
      <c r="Z88" s="92">
        <v>0</v>
      </c>
      <c r="AA88" s="92">
        <v>0</v>
      </c>
      <c r="AB88" s="92">
        <v>671991</v>
      </c>
      <c r="AC88" s="92">
        <v>663242</v>
      </c>
      <c r="AD88" s="92">
        <v>694937</v>
      </c>
      <c r="AE88" s="92">
        <v>0</v>
      </c>
      <c r="AF88" s="92">
        <v>0</v>
      </c>
      <c r="AG88" s="92">
        <v>0</v>
      </c>
    </row>
    <row r="89" spans="1:35" x14ac:dyDescent="0.25">
      <c r="A89" t="str">
        <f t="shared" si="2"/>
        <v>9-2-9</v>
      </c>
      <c r="B89">
        <v>9</v>
      </c>
      <c r="C89" s="92" t="s">
        <v>1022</v>
      </c>
      <c r="D89" s="92">
        <v>2</v>
      </c>
      <c r="E89" s="92" t="s">
        <v>53</v>
      </c>
      <c r="F89" s="92">
        <v>9</v>
      </c>
      <c r="G89" s="92" t="s">
        <v>177</v>
      </c>
      <c r="H89" s="92"/>
      <c r="I89" s="92">
        <v>4866</v>
      </c>
      <c r="J89" s="92">
        <v>502712052</v>
      </c>
      <c r="K89" s="92"/>
      <c r="L89" s="92">
        <v>35223</v>
      </c>
      <c r="M89" s="92">
        <v>213786</v>
      </c>
      <c r="N89" s="92">
        <v>41099</v>
      </c>
      <c r="O89" s="92">
        <v>40556</v>
      </c>
      <c r="P89" s="92">
        <v>0</v>
      </c>
      <c r="Q89" s="92">
        <v>0</v>
      </c>
      <c r="R89" s="92">
        <v>0</v>
      </c>
      <c r="S89" s="92">
        <v>5186</v>
      </c>
      <c r="T89" s="92">
        <v>5197</v>
      </c>
      <c r="U89" s="92">
        <v>1866</v>
      </c>
      <c r="V89" s="92">
        <v>0</v>
      </c>
      <c r="W89" s="92">
        <v>0</v>
      </c>
      <c r="X89" s="92">
        <v>0</v>
      </c>
      <c r="Y89" s="92">
        <v>0</v>
      </c>
      <c r="Z89" s="92">
        <v>0</v>
      </c>
      <c r="AA89" s="92">
        <v>0</v>
      </c>
      <c r="AB89" s="92">
        <v>27394841</v>
      </c>
      <c r="AC89" s="92">
        <v>28714154</v>
      </c>
      <c r="AD89" s="92">
        <v>30860269</v>
      </c>
      <c r="AE89" s="92">
        <v>0</v>
      </c>
      <c r="AF89" s="92">
        <v>0</v>
      </c>
      <c r="AG89" s="92">
        <v>0</v>
      </c>
      <c r="AH89" s="92" t="s">
        <v>1121</v>
      </c>
    </row>
    <row r="90" spans="1:35" x14ac:dyDescent="0.25">
      <c r="A90" t="str">
        <f t="shared" si="2"/>
        <v>9-5-24</v>
      </c>
      <c r="B90">
        <v>9</v>
      </c>
      <c r="C90" s="92" t="s">
        <v>1022</v>
      </c>
      <c r="D90" s="92">
        <v>5</v>
      </c>
      <c r="E90" s="92" t="s">
        <v>200</v>
      </c>
      <c r="F90" s="92">
        <v>24</v>
      </c>
      <c r="G90" s="92" t="s">
        <v>710</v>
      </c>
      <c r="H90" s="92"/>
      <c r="I90" s="92">
        <v>573228</v>
      </c>
      <c r="J90" s="92">
        <v>502712052</v>
      </c>
      <c r="K90" s="92" t="s">
        <v>1061</v>
      </c>
      <c r="L90" s="92">
        <v>0</v>
      </c>
      <c r="M90" s="92">
        <v>23934</v>
      </c>
      <c r="N90" s="92">
        <v>3757</v>
      </c>
      <c r="O90" s="92">
        <v>3757</v>
      </c>
      <c r="P90" s="92">
        <v>0</v>
      </c>
      <c r="Q90" s="92">
        <v>0</v>
      </c>
      <c r="R90" s="92">
        <v>0</v>
      </c>
      <c r="S90" s="92">
        <v>433</v>
      </c>
      <c r="T90" s="92">
        <v>270</v>
      </c>
      <c r="U90" s="92">
        <v>187</v>
      </c>
      <c r="V90" s="92">
        <v>0</v>
      </c>
      <c r="W90" s="92">
        <v>0</v>
      </c>
      <c r="X90" s="92">
        <v>0</v>
      </c>
      <c r="Y90" s="92">
        <v>0</v>
      </c>
      <c r="Z90" s="92">
        <v>0</v>
      </c>
      <c r="AA90" s="92">
        <v>0</v>
      </c>
      <c r="AB90" s="92">
        <v>2901291</v>
      </c>
      <c r="AC90" s="92">
        <v>3052612</v>
      </c>
      <c r="AD90" s="92">
        <v>3226052</v>
      </c>
      <c r="AE90" s="92">
        <v>0</v>
      </c>
      <c r="AF90" s="92">
        <v>0</v>
      </c>
      <c r="AG90" s="92">
        <v>0</v>
      </c>
      <c r="AI90">
        <v>1.60311E-4</v>
      </c>
    </row>
    <row r="91" spans="1:35" x14ac:dyDescent="0.25">
      <c r="A91" t="str">
        <f t="shared" si="2"/>
        <v>9-11-105</v>
      </c>
      <c r="B91">
        <v>9</v>
      </c>
      <c r="C91" s="92" t="s">
        <v>1022</v>
      </c>
      <c r="D91" s="92">
        <v>11</v>
      </c>
      <c r="E91" s="92" t="s">
        <v>1062</v>
      </c>
      <c r="F91" s="92">
        <v>105</v>
      </c>
      <c r="G91" s="92" t="s">
        <v>1227</v>
      </c>
      <c r="H91" s="92">
        <v>1</v>
      </c>
      <c r="I91" s="92">
        <v>0</v>
      </c>
      <c r="J91" s="92">
        <v>460930295</v>
      </c>
      <c r="K91" s="92"/>
      <c r="L91" s="92">
        <v>0</v>
      </c>
      <c r="M91" s="92">
        <v>0</v>
      </c>
      <c r="N91" s="92">
        <v>0</v>
      </c>
      <c r="O91" s="92">
        <v>0</v>
      </c>
      <c r="P91" s="92">
        <v>0</v>
      </c>
      <c r="Q91" s="92">
        <v>0</v>
      </c>
      <c r="R91" s="92">
        <v>0</v>
      </c>
      <c r="S91" s="92">
        <v>0</v>
      </c>
      <c r="T91" s="92">
        <v>0</v>
      </c>
      <c r="U91" s="92">
        <v>0</v>
      </c>
      <c r="V91" s="92">
        <v>0</v>
      </c>
      <c r="W91" s="92">
        <v>0</v>
      </c>
      <c r="X91" s="92">
        <v>0</v>
      </c>
      <c r="Y91" s="92">
        <v>0</v>
      </c>
      <c r="Z91" s="92">
        <v>0</v>
      </c>
      <c r="AA91" s="92">
        <v>0</v>
      </c>
      <c r="AB91" s="92">
        <v>6312133</v>
      </c>
      <c r="AC91" s="92">
        <v>6734158</v>
      </c>
      <c r="AD91" s="92">
        <v>6223007</v>
      </c>
      <c r="AE91" s="92">
        <v>0</v>
      </c>
      <c r="AF91" s="92">
        <v>0</v>
      </c>
      <c r="AG91" s="92">
        <v>0</v>
      </c>
    </row>
    <row r="92" spans="1:35" x14ac:dyDescent="0.25">
      <c r="A92" t="str">
        <f t="shared" si="2"/>
        <v>10-9-133</v>
      </c>
      <c r="B92">
        <v>10</v>
      </c>
      <c r="C92" s="92" t="s">
        <v>1023</v>
      </c>
      <c r="D92" s="92">
        <v>9</v>
      </c>
      <c r="E92" s="92" t="s">
        <v>588</v>
      </c>
      <c r="F92" s="92">
        <v>133</v>
      </c>
      <c r="G92" s="92" t="s">
        <v>732</v>
      </c>
      <c r="H92" s="92"/>
      <c r="I92" s="92">
        <v>2337</v>
      </c>
      <c r="J92" s="92">
        <v>0</v>
      </c>
      <c r="K92" s="92" t="s">
        <v>1061</v>
      </c>
      <c r="L92" s="92">
        <v>294</v>
      </c>
      <c r="M92" s="92">
        <v>0</v>
      </c>
      <c r="N92" s="92">
        <v>0</v>
      </c>
      <c r="O92" s="92">
        <v>0</v>
      </c>
      <c r="P92" s="92">
        <v>0</v>
      </c>
      <c r="Q92" s="92">
        <v>0</v>
      </c>
      <c r="R92" s="92">
        <v>0</v>
      </c>
      <c r="S92" s="92">
        <v>0</v>
      </c>
      <c r="T92" s="92">
        <v>0</v>
      </c>
      <c r="U92" s="92">
        <v>0</v>
      </c>
      <c r="V92" s="92">
        <v>0</v>
      </c>
      <c r="W92" s="92">
        <v>0</v>
      </c>
      <c r="X92" s="92">
        <v>0</v>
      </c>
      <c r="Y92" s="92">
        <v>0</v>
      </c>
      <c r="Z92" s="92">
        <v>0</v>
      </c>
      <c r="AA92" s="92">
        <v>0</v>
      </c>
      <c r="AB92" s="92">
        <v>8706</v>
      </c>
      <c r="AC92" s="92">
        <v>8706</v>
      </c>
      <c r="AD92" s="92">
        <v>8706</v>
      </c>
      <c r="AE92" s="92">
        <v>0</v>
      </c>
      <c r="AF92" s="92">
        <v>0</v>
      </c>
      <c r="AG92" s="92">
        <v>0</v>
      </c>
      <c r="AI92" s="250">
        <v>2.6419200000000001E-4</v>
      </c>
    </row>
    <row r="93" spans="1:35" x14ac:dyDescent="0.25">
      <c r="A93" t="str">
        <f t="shared" si="2"/>
        <v>10-5-12</v>
      </c>
      <c r="B93">
        <v>10</v>
      </c>
      <c r="C93" s="92" t="s">
        <v>1023</v>
      </c>
      <c r="D93" s="92">
        <v>5</v>
      </c>
      <c r="E93" s="92" t="s">
        <v>200</v>
      </c>
      <c r="F93" s="92">
        <v>12</v>
      </c>
      <c r="G93" s="92" t="s">
        <v>728</v>
      </c>
      <c r="H93" s="92"/>
      <c r="I93" s="92">
        <v>191718</v>
      </c>
      <c r="J93" s="92">
        <v>147462653</v>
      </c>
      <c r="K93" s="92" t="s">
        <v>1061</v>
      </c>
      <c r="L93" s="92">
        <v>12347</v>
      </c>
      <c r="M93" s="92">
        <v>29413</v>
      </c>
      <c r="N93" s="92">
        <v>9763</v>
      </c>
      <c r="O93" s="92">
        <v>9763</v>
      </c>
      <c r="P93" s="92">
        <v>0</v>
      </c>
      <c r="Q93" s="92">
        <v>0</v>
      </c>
      <c r="R93" s="92">
        <v>0</v>
      </c>
      <c r="S93" s="92">
        <v>0</v>
      </c>
      <c r="T93" s="92">
        <v>56</v>
      </c>
      <c r="U93" s="92">
        <v>370</v>
      </c>
      <c r="V93" s="92">
        <v>0</v>
      </c>
      <c r="W93" s="92">
        <v>0</v>
      </c>
      <c r="X93" s="92">
        <v>0</v>
      </c>
      <c r="Y93" s="92">
        <v>0</v>
      </c>
      <c r="Z93" s="92">
        <v>0</v>
      </c>
      <c r="AA93" s="92">
        <v>0</v>
      </c>
      <c r="AB93" s="92">
        <v>3330514</v>
      </c>
      <c r="AC93" s="92">
        <v>3540447</v>
      </c>
      <c r="AD93" s="92">
        <v>3729607</v>
      </c>
      <c r="AE93" s="92">
        <v>0</v>
      </c>
      <c r="AF93" s="92">
        <v>0</v>
      </c>
      <c r="AG93" s="92">
        <v>0</v>
      </c>
      <c r="AI93">
        <v>2.1246599999999999E-4</v>
      </c>
    </row>
    <row r="94" spans="1:35" x14ac:dyDescent="0.25">
      <c r="A94" t="str">
        <f t="shared" si="2"/>
        <v>10-2-10</v>
      </c>
      <c r="B94">
        <v>10</v>
      </c>
      <c r="C94" s="92" t="s">
        <v>1023</v>
      </c>
      <c r="D94" s="92">
        <v>2</v>
      </c>
      <c r="E94" s="92" t="s">
        <v>53</v>
      </c>
      <c r="F94" s="92">
        <v>10</v>
      </c>
      <c r="G94" s="92" t="s">
        <v>193</v>
      </c>
      <c r="H94" s="92"/>
      <c r="I94" s="92">
        <v>3695317</v>
      </c>
      <c r="J94" s="92">
        <v>148341627</v>
      </c>
      <c r="K94" s="92" t="s">
        <v>1061</v>
      </c>
      <c r="L94" s="92">
        <v>191843</v>
      </c>
      <c r="M94" s="92">
        <v>337284</v>
      </c>
      <c r="N94" s="92">
        <v>116573</v>
      </c>
      <c r="O94" s="92">
        <v>116573</v>
      </c>
      <c r="P94" s="92">
        <v>0</v>
      </c>
      <c r="Q94" s="92">
        <v>0</v>
      </c>
      <c r="R94" s="92">
        <v>0</v>
      </c>
      <c r="S94" s="92">
        <v>10717</v>
      </c>
      <c r="T94" s="92">
        <v>659</v>
      </c>
      <c r="U94" s="92">
        <v>4114</v>
      </c>
      <c r="V94" s="92">
        <v>0</v>
      </c>
      <c r="W94" s="92">
        <v>0</v>
      </c>
      <c r="X94" s="92">
        <v>0</v>
      </c>
      <c r="Y94" s="92">
        <v>0</v>
      </c>
      <c r="Z94" s="92">
        <v>0</v>
      </c>
      <c r="AA94" s="92">
        <v>0</v>
      </c>
      <c r="AB94" s="92">
        <f>39116031+600000</f>
        <v>39716031</v>
      </c>
      <c r="AC94" s="92">
        <f>41183077+625000</f>
        <v>41808077</v>
      </c>
      <c r="AD94" s="92">
        <f>43763326+725000</f>
        <v>44488326</v>
      </c>
      <c r="AE94" s="92">
        <v>0</v>
      </c>
      <c r="AF94" s="92">
        <v>0</v>
      </c>
      <c r="AG94" s="92">
        <v>0</v>
      </c>
    </row>
    <row r="95" spans="1:35" x14ac:dyDescent="0.25">
      <c r="A95" t="str">
        <f t="shared" si="2"/>
        <v>10-11-77</v>
      </c>
      <c r="B95">
        <v>10</v>
      </c>
      <c r="C95" s="92" t="s">
        <v>1023</v>
      </c>
      <c r="D95" s="92">
        <v>11</v>
      </c>
      <c r="E95" s="92" t="s">
        <v>1062</v>
      </c>
      <c r="F95" s="92">
        <v>77</v>
      </c>
      <c r="G95" s="92" t="s">
        <v>1228</v>
      </c>
      <c r="H95" s="92">
        <v>1</v>
      </c>
      <c r="I95" s="92">
        <v>0</v>
      </c>
      <c r="J95" s="92">
        <v>148341627</v>
      </c>
      <c r="K95" s="92" t="s">
        <v>1061</v>
      </c>
      <c r="L95" s="92">
        <v>0</v>
      </c>
      <c r="M95" s="92">
        <v>0</v>
      </c>
      <c r="N95" s="92">
        <v>0</v>
      </c>
      <c r="O95" s="92">
        <v>0</v>
      </c>
      <c r="P95" s="92">
        <v>0</v>
      </c>
      <c r="Q95" s="92">
        <v>0</v>
      </c>
      <c r="R95" s="92">
        <v>0</v>
      </c>
      <c r="S95" s="92">
        <v>0</v>
      </c>
      <c r="T95" s="92">
        <v>0</v>
      </c>
      <c r="U95" s="92">
        <v>0</v>
      </c>
      <c r="V95" s="92">
        <v>0</v>
      </c>
      <c r="W95" s="92">
        <v>0</v>
      </c>
      <c r="X95" s="92">
        <v>0</v>
      </c>
      <c r="Y95" s="92">
        <v>0</v>
      </c>
      <c r="Z95" s="92">
        <v>0</v>
      </c>
      <c r="AA95" s="92">
        <v>0</v>
      </c>
      <c r="AB95" s="92">
        <v>600000</v>
      </c>
      <c r="AC95" s="92">
        <v>625000</v>
      </c>
      <c r="AD95" s="92">
        <v>725000</v>
      </c>
      <c r="AE95" s="92">
        <v>0</v>
      </c>
      <c r="AF95" s="92">
        <v>0</v>
      </c>
      <c r="AG95" s="92">
        <v>0</v>
      </c>
    </row>
    <row r="96" spans="1:35" x14ac:dyDescent="0.25">
      <c r="A96" t="str">
        <f t="shared" si="2"/>
        <v>10-9-20</v>
      </c>
      <c r="B96">
        <v>10</v>
      </c>
      <c r="C96" s="92" t="s">
        <v>1023</v>
      </c>
      <c r="D96" s="92">
        <v>9</v>
      </c>
      <c r="E96" s="92" t="s">
        <v>588</v>
      </c>
      <c r="F96" s="92">
        <v>20</v>
      </c>
      <c r="G96" s="92" t="s">
        <v>1232</v>
      </c>
      <c r="H96" s="92"/>
      <c r="I96" s="92">
        <v>1125788</v>
      </c>
      <c r="J96" s="92">
        <v>0</v>
      </c>
      <c r="K96" s="92" t="s">
        <v>1061</v>
      </c>
      <c r="L96" s="92">
        <v>43321</v>
      </c>
      <c r="M96" s="92">
        <v>26495</v>
      </c>
      <c r="N96" s="92">
        <v>9612</v>
      </c>
      <c r="O96" s="92">
        <v>9612</v>
      </c>
      <c r="P96" s="92">
        <v>0</v>
      </c>
      <c r="Q96" s="92">
        <v>0</v>
      </c>
      <c r="R96" s="92">
        <v>0</v>
      </c>
      <c r="S96" s="92">
        <v>833</v>
      </c>
      <c r="T96" s="92">
        <v>51</v>
      </c>
      <c r="U96" s="92">
        <v>820</v>
      </c>
      <c r="V96" s="92">
        <v>0</v>
      </c>
      <c r="W96" s="92">
        <v>0</v>
      </c>
      <c r="X96" s="92">
        <v>0</v>
      </c>
      <c r="Y96" s="92">
        <v>0</v>
      </c>
      <c r="Z96" s="92">
        <v>0</v>
      </c>
      <c r="AA96" s="92">
        <v>0</v>
      </c>
      <c r="AB96" s="92">
        <v>3906919</v>
      </c>
      <c r="AC96" s="92">
        <v>4139655</v>
      </c>
      <c r="AD96" s="92">
        <v>4374977</v>
      </c>
      <c r="AE96" s="92">
        <v>0</v>
      </c>
      <c r="AF96" s="92">
        <v>0</v>
      </c>
      <c r="AG96" s="92">
        <v>0</v>
      </c>
      <c r="AI96" s="250">
        <v>5.5300300000000004E-4</v>
      </c>
    </row>
    <row r="97" spans="1:35" x14ac:dyDescent="0.25">
      <c r="A97" t="str">
        <f t="shared" si="2"/>
        <v>6-4-31</v>
      </c>
      <c r="B97">
        <v>6</v>
      </c>
      <c r="C97" s="92" t="s">
        <v>1020</v>
      </c>
      <c r="D97" s="92">
        <v>4</v>
      </c>
      <c r="E97" s="92" t="s">
        <v>66</v>
      </c>
      <c r="F97" s="92">
        <v>31</v>
      </c>
      <c r="G97" s="92" t="s">
        <v>680</v>
      </c>
      <c r="H97" s="92"/>
      <c r="I97" s="92">
        <v>0</v>
      </c>
      <c r="J97" s="92">
        <v>768386</v>
      </c>
      <c r="K97" s="92">
        <v>1</v>
      </c>
      <c r="L97" s="92">
        <v>41894</v>
      </c>
      <c r="M97" s="92">
        <v>206133</v>
      </c>
      <c r="N97" s="92">
        <v>37483</v>
      </c>
      <c r="O97" s="92">
        <v>37483</v>
      </c>
      <c r="P97" s="92">
        <v>0</v>
      </c>
      <c r="Q97" s="92">
        <v>0</v>
      </c>
      <c r="R97" s="92">
        <v>0</v>
      </c>
      <c r="S97" s="92">
        <v>4619</v>
      </c>
      <c r="T97" s="92">
        <v>517</v>
      </c>
      <c r="U97" s="92">
        <v>4300</v>
      </c>
      <c r="V97" s="92">
        <v>0</v>
      </c>
      <c r="W97" s="92">
        <v>0</v>
      </c>
      <c r="X97" s="92">
        <v>0</v>
      </c>
      <c r="Y97" s="92">
        <v>0</v>
      </c>
      <c r="Z97" s="92">
        <v>0</v>
      </c>
      <c r="AA97" s="92">
        <v>0</v>
      </c>
      <c r="AB97" s="92">
        <v>185843</v>
      </c>
      <c r="AC97" s="92">
        <v>196627</v>
      </c>
      <c r="AD97" s="92">
        <v>208247</v>
      </c>
      <c r="AE97" s="92">
        <v>0</v>
      </c>
      <c r="AF97" s="92">
        <v>0</v>
      </c>
      <c r="AG97" s="92">
        <v>0</v>
      </c>
    </row>
    <row r="98" spans="1:35" x14ac:dyDescent="0.25">
      <c r="A98" t="str">
        <f t="shared" ref="A98:A129" si="3">B98&amp;"-"&amp;D98&amp;"-"&amp;F98</f>
        <v>10-4-31</v>
      </c>
      <c r="B98">
        <v>10</v>
      </c>
      <c r="C98" s="92" t="s">
        <v>1023</v>
      </c>
      <c r="D98" s="92">
        <v>4</v>
      </c>
      <c r="E98" s="92" t="s">
        <v>66</v>
      </c>
      <c r="F98" s="92">
        <v>31</v>
      </c>
      <c r="G98" s="92" t="s">
        <v>680</v>
      </c>
      <c r="H98" s="92"/>
      <c r="I98" s="92">
        <v>0</v>
      </c>
      <c r="J98" s="92">
        <v>62396942</v>
      </c>
      <c r="K98" s="92">
        <v>1</v>
      </c>
      <c r="L98" s="92">
        <v>41894</v>
      </c>
      <c r="M98" s="92">
        <v>206133</v>
      </c>
      <c r="N98" s="92">
        <v>37483</v>
      </c>
      <c r="O98" s="92">
        <v>37483</v>
      </c>
      <c r="P98" s="92">
        <v>0</v>
      </c>
      <c r="Q98" s="92">
        <v>0</v>
      </c>
      <c r="R98" s="92">
        <v>0</v>
      </c>
      <c r="S98" s="92">
        <v>4619</v>
      </c>
      <c r="T98" s="92">
        <v>517</v>
      </c>
      <c r="U98" s="92">
        <v>4300</v>
      </c>
      <c r="V98" s="92">
        <v>0</v>
      </c>
      <c r="W98" s="92">
        <v>0</v>
      </c>
      <c r="X98" s="92">
        <v>0</v>
      </c>
      <c r="Y98" s="92">
        <v>0</v>
      </c>
      <c r="Z98" s="92">
        <v>0</v>
      </c>
      <c r="AA98" s="92">
        <v>0</v>
      </c>
      <c r="AB98" s="92">
        <v>185843</v>
      </c>
      <c r="AC98" s="92">
        <v>196627</v>
      </c>
      <c r="AD98" s="92">
        <v>208247</v>
      </c>
      <c r="AE98" s="92">
        <v>0</v>
      </c>
      <c r="AF98" s="92">
        <v>0</v>
      </c>
      <c r="AG98" s="92">
        <v>0</v>
      </c>
    </row>
    <row r="99" spans="1:35" x14ac:dyDescent="0.25">
      <c r="A99" t="str">
        <f t="shared" si="3"/>
        <v>9-20-62</v>
      </c>
      <c r="B99">
        <v>9</v>
      </c>
      <c r="C99" s="92" t="s">
        <v>1022</v>
      </c>
      <c r="D99" s="92">
        <v>20</v>
      </c>
      <c r="E99" s="92" t="s">
        <v>153</v>
      </c>
      <c r="F99" s="92">
        <v>62</v>
      </c>
      <c r="G99" s="92" t="s">
        <v>724</v>
      </c>
      <c r="H99" s="92"/>
      <c r="I99" s="92">
        <v>1601</v>
      </c>
      <c r="J99" s="92">
        <v>933165</v>
      </c>
      <c r="K99" s="92" t="s">
        <v>1061</v>
      </c>
      <c r="L99" s="92">
        <v>0</v>
      </c>
      <c r="M99" s="92">
        <v>24</v>
      </c>
      <c r="N99" s="92">
        <v>0</v>
      </c>
      <c r="O99" s="92">
        <v>0</v>
      </c>
      <c r="P99" s="92">
        <v>0</v>
      </c>
      <c r="Q99" s="92">
        <v>0</v>
      </c>
      <c r="R99" s="92">
        <v>0</v>
      </c>
      <c r="S99" s="92">
        <v>0</v>
      </c>
      <c r="T99" s="92">
        <v>0</v>
      </c>
      <c r="U99" s="92">
        <v>0</v>
      </c>
      <c r="V99" s="92">
        <v>0</v>
      </c>
      <c r="W99" s="92">
        <v>0</v>
      </c>
      <c r="X99" s="92">
        <v>0</v>
      </c>
      <c r="Y99" s="92">
        <v>0</v>
      </c>
      <c r="Z99" s="92">
        <v>0</v>
      </c>
      <c r="AA99" s="92">
        <v>0</v>
      </c>
      <c r="AB99" s="92">
        <v>34128</v>
      </c>
      <c r="AC99" s="92">
        <v>34128</v>
      </c>
      <c r="AD99" s="92">
        <v>35231</v>
      </c>
      <c r="AE99" s="92">
        <v>0</v>
      </c>
      <c r="AF99" s="92">
        <v>0</v>
      </c>
      <c r="AG99" s="92">
        <v>0</v>
      </c>
    </row>
    <row r="100" spans="1:35" x14ac:dyDescent="0.25">
      <c r="A100" t="str">
        <f t="shared" si="3"/>
        <v>11-5-29</v>
      </c>
      <c r="B100">
        <v>11</v>
      </c>
      <c r="C100" s="92" t="s">
        <v>1024</v>
      </c>
      <c r="D100" s="92">
        <v>5</v>
      </c>
      <c r="E100" s="92" t="s">
        <v>200</v>
      </c>
      <c r="F100" s="92">
        <v>29</v>
      </c>
      <c r="G100" s="92" t="s">
        <v>738</v>
      </c>
      <c r="H100" s="92"/>
      <c r="I100" s="92">
        <v>5968</v>
      </c>
      <c r="J100" s="92">
        <v>260551939</v>
      </c>
      <c r="K100" s="92" t="s">
        <v>1061</v>
      </c>
      <c r="L100" s="92">
        <v>0</v>
      </c>
      <c r="M100" s="92">
        <v>5518</v>
      </c>
      <c r="N100" s="92">
        <v>1318</v>
      </c>
      <c r="O100" s="92">
        <v>1318</v>
      </c>
      <c r="P100" s="92">
        <v>0</v>
      </c>
      <c r="Q100" s="92">
        <v>0</v>
      </c>
      <c r="R100" s="92">
        <v>0</v>
      </c>
      <c r="S100" s="92">
        <v>0</v>
      </c>
      <c r="T100" s="92">
        <v>0</v>
      </c>
      <c r="U100" s="92">
        <v>0</v>
      </c>
      <c r="V100" s="92">
        <v>0</v>
      </c>
      <c r="W100" s="92">
        <v>0</v>
      </c>
      <c r="X100" s="92">
        <v>0</v>
      </c>
      <c r="Y100" s="92">
        <v>0</v>
      </c>
      <c r="Z100" s="92">
        <v>0</v>
      </c>
      <c r="AA100" s="92">
        <v>0</v>
      </c>
      <c r="AB100" s="92">
        <v>479547</v>
      </c>
      <c r="AC100" s="92">
        <v>507486</v>
      </c>
      <c r="AD100" s="92">
        <v>537738</v>
      </c>
      <c r="AE100" s="92">
        <v>0</v>
      </c>
      <c r="AF100" s="92">
        <v>0</v>
      </c>
      <c r="AG100" s="92">
        <v>0</v>
      </c>
      <c r="AI100">
        <v>2.0745299999999999E-4</v>
      </c>
    </row>
    <row r="101" spans="1:35" x14ac:dyDescent="0.25">
      <c r="A101" t="str">
        <f t="shared" si="3"/>
        <v>11-2-11</v>
      </c>
      <c r="B101">
        <v>11</v>
      </c>
      <c r="C101" s="92" t="s">
        <v>1024</v>
      </c>
      <c r="D101" s="92">
        <v>2</v>
      </c>
      <c r="E101" s="92" t="s">
        <v>53</v>
      </c>
      <c r="F101" s="92">
        <v>11</v>
      </c>
      <c r="G101" s="92" t="s">
        <v>210</v>
      </c>
      <c r="H101" s="92"/>
      <c r="I101" s="92">
        <v>233198</v>
      </c>
      <c r="J101" s="92">
        <v>260551939</v>
      </c>
      <c r="K101" s="92" t="s">
        <v>1061</v>
      </c>
      <c r="L101" s="92">
        <v>48772</v>
      </c>
      <c r="M101" s="92">
        <v>76880</v>
      </c>
      <c r="N101" s="92">
        <v>16596</v>
      </c>
      <c r="O101" s="92">
        <v>16596</v>
      </c>
      <c r="P101" s="92">
        <v>0</v>
      </c>
      <c r="Q101" s="92">
        <v>0</v>
      </c>
      <c r="R101" s="92">
        <v>0</v>
      </c>
      <c r="S101" s="92">
        <v>0</v>
      </c>
      <c r="T101" s="92">
        <v>0</v>
      </c>
      <c r="U101" s="92">
        <v>0</v>
      </c>
      <c r="V101" s="92">
        <v>0</v>
      </c>
      <c r="W101" s="92">
        <v>0</v>
      </c>
      <c r="X101" s="92">
        <v>0</v>
      </c>
      <c r="Y101" s="92">
        <v>0</v>
      </c>
      <c r="Z101" s="92">
        <v>0</v>
      </c>
      <c r="AA101" s="92">
        <v>0</v>
      </c>
      <c r="AB101" s="92">
        <f>5237058+678859</f>
        <v>5915917</v>
      </c>
      <c r="AC101" s="92">
        <f>6083716+370491</f>
        <v>6454207</v>
      </c>
      <c r="AD101" s="92">
        <v>6841984</v>
      </c>
      <c r="AE101" s="92">
        <v>0</v>
      </c>
      <c r="AF101" s="92">
        <v>190282</v>
      </c>
      <c r="AG101" s="92">
        <v>201259</v>
      </c>
    </row>
    <row r="102" spans="1:35" x14ac:dyDescent="0.25">
      <c r="A102" t="str">
        <f t="shared" si="3"/>
        <v>11-14-5</v>
      </c>
      <c r="B102">
        <v>11</v>
      </c>
      <c r="C102" s="92" t="s">
        <v>1024</v>
      </c>
      <c r="D102" s="92">
        <v>14</v>
      </c>
      <c r="E102" s="92" t="s">
        <v>571</v>
      </c>
      <c r="F102" s="92">
        <v>5</v>
      </c>
      <c r="G102" s="92" t="s">
        <v>1229</v>
      </c>
      <c r="H102" s="92"/>
      <c r="I102" s="92">
        <v>8790</v>
      </c>
      <c r="J102" s="92">
        <v>260551939</v>
      </c>
      <c r="K102" s="92" t="s">
        <v>1061</v>
      </c>
      <c r="L102" s="92">
        <v>2662</v>
      </c>
      <c r="M102" s="92">
        <v>4977</v>
      </c>
      <c r="N102" s="92">
        <v>1246</v>
      </c>
      <c r="O102" s="92">
        <v>1246</v>
      </c>
      <c r="P102" s="92">
        <v>0</v>
      </c>
      <c r="Q102" s="92">
        <v>0</v>
      </c>
      <c r="R102" s="92">
        <v>0</v>
      </c>
      <c r="S102" s="92">
        <v>0</v>
      </c>
      <c r="T102" s="92">
        <v>0</v>
      </c>
      <c r="U102" s="92">
        <v>0</v>
      </c>
      <c r="V102" s="92">
        <v>0</v>
      </c>
      <c r="W102" s="92">
        <v>0</v>
      </c>
      <c r="X102" s="92">
        <v>0</v>
      </c>
      <c r="Y102" s="92">
        <v>0</v>
      </c>
      <c r="Z102" s="92">
        <v>0</v>
      </c>
      <c r="AA102" s="92">
        <v>0</v>
      </c>
      <c r="AB102" s="92">
        <v>448746</v>
      </c>
      <c r="AC102" s="92">
        <v>470243</v>
      </c>
      <c r="AD102" s="92">
        <v>484617</v>
      </c>
      <c r="AE102" s="92">
        <v>0</v>
      </c>
      <c r="AF102" s="92">
        <v>0</v>
      </c>
      <c r="AG102" s="92">
        <v>0</v>
      </c>
      <c r="AI102" s="250">
        <v>1.86959E-4</v>
      </c>
    </row>
    <row r="103" spans="1:35" x14ac:dyDescent="0.25">
      <c r="A103" t="str">
        <f t="shared" si="3"/>
        <v>11-11-78</v>
      </c>
      <c r="B103">
        <v>11</v>
      </c>
      <c r="C103" s="92" t="s">
        <v>1024</v>
      </c>
      <c r="D103" s="92">
        <v>11</v>
      </c>
      <c r="E103" s="92" t="s">
        <v>1062</v>
      </c>
      <c r="F103" s="92">
        <v>78</v>
      </c>
      <c r="G103" s="92" t="s">
        <v>1230</v>
      </c>
      <c r="H103" s="92">
        <v>1</v>
      </c>
      <c r="I103" s="92">
        <v>0</v>
      </c>
      <c r="J103" s="92">
        <v>260551939</v>
      </c>
      <c r="K103" s="92" t="s">
        <v>1061</v>
      </c>
      <c r="L103" s="92">
        <v>0</v>
      </c>
      <c r="M103" s="92">
        <v>0</v>
      </c>
      <c r="N103" s="92">
        <v>0</v>
      </c>
      <c r="O103" s="92">
        <v>0</v>
      </c>
      <c r="P103" s="92">
        <v>0</v>
      </c>
      <c r="Q103" s="92">
        <v>0</v>
      </c>
      <c r="R103" s="92">
        <v>0</v>
      </c>
      <c r="S103" s="92">
        <v>0</v>
      </c>
      <c r="T103" s="92">
        <v>0</v>
      </c>
      <c r="U103" s="92">
        <v>0</v>
      </c>
      <c r="V103" s="92">
        <v>0</v>
      </c>
      <c r="W103" s="92">
        <v>0</v>
      </c>
      <c r="X103" s="92">
        <v>0</v>
      </c>
      <c r="Y103" s="92">
        <v>0</v>
      </c>
      <c r="Z103" s="92">
        <v>0</v>
      </c>
      <c r="AA103" s="92">
        <v>0</v>
      </c>
      <c r="AB103" s="92">
        <v>678859</v>
      </c>
      <c r="AC103" s="92">
        <v>370491</v>
      </c>
      <c r="AD103" s="92">
        <v>0</v>
      </c>
      <c r="AE103" s="92">
        <v>0</v>
      </c>
      <c r="AF103" s="92">
        <v>0</v>
      </c>
      <c r="AG103" s="92">
        <v>0</v>
      </c>
    </row>
    <row r="104" spans="1:35" x14ac:dyDescent="0.25">
      <c r="A104" t="str">
        <f t="shared" si="3"/>
        <v>11-4-33</v>
      </c>
      <c r="B104">
        <v>11</v>
      </c>
      <c r="C104" s="92" t="s">
        <v>1024</v>
      </c>
      <c r="D104" s="92">
        <v>4</v>
      </c>
      <c r="E104" s="92" t="s">
        <v>66</v>
      </c>
      <c r="F104" s="92">
        <v>33</v>
      </c>
      <c r="G104" s="92" t="s">
        <v>737</v>
      </c>
      <c r="H104" s="92"/>
      <c r="I104" s="92">
        <v>0</v>
      </c>
      <c r="J104" s="92">
        <v>260551939</v>
      </c>
      <c r="K104" s="92" t="s">
        <v>1061</v>
      </c>
      <c r="L104" s="92">
        <v>2092</v>
      </c>
      <c r="M104" s="92">
        <v>39834</v>
      </c>
      <c r="N104" s="92">
        <v>7731</v>
      </c>
      <c r="O104" s="92">
        <v>7731</v>
      </c>
      <c r="P104" s="92">
        <v>0</v>
      </c>
      <c r="Q104" s="92">
        <v>0</v>
      </c>
      <c r="R104" s="92">
        <v>0</v>
      </c>
      <c r="S104" s="92">
        <v>0</v>
      </c>
      <c r="T104" s="92">
        <v>0</v>
      </c>
      <c r="U104" s="92">
        <v>0</v>
      </c>
      <c r="V104" s="92">
        <v>0</v>
      </c>
      <c r="W104" s="92">
        <v>0</v>
      </c>
      <c r="X104" s="92">
        <v>0</v>
      </c>
      <c r="Y104" s="92">
        <v>0</v>
      </c>
      <c r="Z104" s="92">
        <v>0</v>
      </c>
      <c r="AA104" s="92">
        <v>0</v>
      </c>
      <c r="AB104" s="92">
        <v>118743</v>
      </c>
      <c r="AC104" s="92">
        <v>124321</v>
      </c>
      <c r="AD104" s="92">
        <v>130332</v>
      </c>
      <c r="AE104" s="92">
        <v>0</v>
      </c>
      <c r="AF104" s="92">
        <v>0</v>
      </c>
      <c r="AG104" s="92">
        <v>0</v>
      </c>
    </row>
    <row r="105" spans="1:35" x14ac:dyDescent="0.25">
      <c r="A105" t="str">
        <f t="shared" si="3"/>
        <v>29-9-166</v>
      </c>
      <c r="B105">
        <v>29</v>
      </c>
      <c r="C105" s="92" t="s">
        <v>1042</v>
      </c>
      <c r="D105" s="92">
        <v>9</v>
      </c>
      <c r="E105" s="92" t="s">
        <v>588</v>
      </c>
      <c r="F105" s="92">
        <v>166</v>
      </c>
      <c r="G105" s="92" t="s">
        <v>911</v>
      </c>
      <c r="H105" s="92"/>
      <c r="I105" s="92">
        <v>1148</v>
      </c>
      <c r="J105" s="92">
        <v>921693</v>
      </c>
      <c r="K105" s="92" t="s">
        <v>1061</v>
      </c>
      <c r="L105" s="92">
        <v>3</v>
      </c>
      <c r="M105" s="92">
        <v>656</v>
      </c>
      <c r="N105" s="92">
        <v>2</v>
      </c>
      <c r="O105" s="92">
        <v>2</v>
      </c>
      <c r="P105" s="92">
        <v>0</v>
      </c>
      <c r="Q105" s="92">
        <v>0</v>
      </c>
      <c r="R105" s="92">
        <v>0</v>
      </c>
      <c r="S105" s="92">
        <v>0</v>
      </c>
      <c r="T105" s="92">
        <v>40</v>
      </c>
      <c r="U105" s="92">
        <v>0</v>
      </c>
      <c r="V105" s="92">
        <v>0</v>
      </c>
      <c r="W105" s="92">
        <v>0</v>
      </c>
      <c r="X105" s="92">
        <v>0</v>
      </c>
      <c r="Y105" s="92">
        <v>0</v>
      </c>
      <c r="Z105" s="92">
        <v>0</v>
      </c>
      <c r="AA105" s="92">
        <v>0</v>
      </c>
      <c r="AB105" s="92">
        <v>14540</v>
      </c>
      <c r="AC105" s="92">
        <v>14353</v>
      </c>
      <c r="AD105" s="92">
        <v>14438</v>
      </c>
      <c r="AE105" s="92">
        <v>0</v>
      </c>
      <c r="AF105" s="92">
        <v>0</v>
      </c>
      <c r="AG105" s="92">
        <v>0</v>
      </c>
      <c r="AI105" s="250">
        <v>7.3048500000000001E-4</v>
      </c>
    </row>
    <row r="106" spans="1:35" x14ac:dyDescent="0.25">
      <c r="A106" t="str">
        <f t="shared" si="3"/>
        <v>37-7-11</v>
      </c>
      <c r="B106">
        <v>37</v>
      </c>
      <c r="C106" s="92" t="s">
        <v>1049</v>
      </c>
      <c r="D106" s="92">
        <v>7</v>
      </c>
      <c r="E106" s="92" t="s">
        <v>586</v>
      </c>
      <c r="F106" s="92">
        <v>11</v>
      </c>
      <c r="G106" s="92" t="s">
        <v>513</v>
      </c>
      <c r="H106" s="92"/>
      <c r="I106" s="92">
        <v>0</v>
      </c>
      <c r="J106" s="92">
        <v>48926743</v>
      </c>
      <c r="K106" s="92" t="s">
        <v>1061</v>
      </c>
      <c r="L106" s="92">
        <v>641</v>
      </c>
      <c r="M106" s="92">
        <v>85</v>
      </c>
      <c r="N106" s="92">
        <v>32</v>
      </c>
      <c r="O106" s="92">
        <v>32</v>
      </c>
      <c r="P106" s="92">
        <v>0</v>
      </c>
      <c r="Q106" s="92">
        <v>0</v>
      </c>
      <c r="R106" s="92">
        <v>0</v>
      </c>
      <c r="S106" s="92">
        <v>0</v>
      </c>
      <c r="T106" s="92">
        <v>0</v>
      </c>
      <c r="U106" s="92">
        <v>30</v>
      </c>
      <c r="V106" s="92">
        <v>0</v>
      </c>
      <c r="W106" s="92">
        <v>0</v>
      </c>
      <c r="X106" s="92">
        <v>0</v>
      </c>
      <c r="Y106" s="92">
        <v>0</v>
      </c>
      <c r="Z106" s="92">
        <v>0</v>
      </c>
      <c r="AA106" s="92">
        <v>0</v>
      </c>
      <c r="AB106" s="92">
        <v>15871</v>
      </c>
      <c r="AC106" s="92">
        <v>16506</v>
      </c>
      <c r="AD106" s="92">
        <v>16550</v>
      </c>
      <c r="AE106" s="92">
        <v>0</v>
      </c>
      <c r="AF106" s="92">
        <v>0</v>
      </c>
      <c r="AG106" s="92">
        <v>0</v>
      </c>
    </row>
    <row r="107" spans="1:35" x14ac:dyDescent="0.25">
      <c r="A107" t="str">
        <f t="shared" si="3"/>
        <v>37-9-6</v>
      </c>
      <c r="B107">
        <v>37</v>
      </c>
      <c r="C107" s="92" t="s">
        <v>1049</v>
      </c>
      <c r="D107" s="92">
        <v>9</v>
      </c>
      <c r="E107" s="92" t="s">
        <v>588</v>
      </c>
      <c r="F107" s="92">
        <v>6</v>
      </c>
      <c r="G107" s="92" t="s">
        <v>955</v>
      </c>
      <c r="H107" s="92"/>
      <c r="I107" s="92">
        <v>126</v>
      </c>
      <c r="J107" s="92">
        <v>0</v>
      </c>
      <c r="K107" s="92" t="s">
        <v>1061</v>
      </c>
      <c r="L107" s="92">
        <v>304</v>
      </c>
      <c r="M107" s="92">
        <v>56</v>
      </c>
      <c r="N107" s="92">
        <v>0</v>
      </c>
      <c r="O107" s="92">
        <v>0</v>
      </c>
      <c r="P107" s="92">
        <v>0</v>
      </c>
      <c r="Q107" s="92">
        <v>0</v>
      </c>
      <c r="R107" s="92">
        <v>0</v>
      </c>
      <c r="S107" s="92">
        <v>0</v>
      </c>
      <c r="T107" s="92">
        <v>0</v>
      </c>
      <c r="U107" s="92">
        <v>78</v>
      </c>
      <c r="V107" s="92">
        <v>0</v>
      </c>
      <c r="W107" s="92">
        <v>0</v>
      </c>
      <c r="X107" s="92">
        <v>0</v>
      </c>
      <c r="Y107" s="92">
        <v>0</v>
      </c>
      <c r="Z107" s="92">
        <v>0</v>
      </c>
      <c r="AA107" s="92">
        <v>0</v>
      </c>
      <c r="AB107" s="92">
        <v>28406</v>
      </c>
      <c r="AC107" s="92">
        <v>29778</v>
      </c>
      <c r="AD107" s="92">
        <v>29778</v>
      </c>
      <c r="AE107" s="92">
        <v>0</v>
      </c>
      <c r="AF107" s="92">
        <v>0</v>
      </c>
      <c r="AG107" s="92">
        <v>0</v>
      </c>
      <c r="AI107" s="250">
        <v>3.5238700000000001E-4</v>
      </c>
    </row>
    <row r="108" spans="1:35" x14ac:dyDescent="0.25">
      <c r="A108" t="str">
        <f t="shared" si="3"/>
        <v>37-14-48</v>
      </c>
      <c r="B108">
        <v>37</v>
      </c>
      <c r="C108" s="92" t="s">
        <v>1049</v>
      </c>
      <c r="D108" s="92">
        <v>14</v>
      </c>
      <c r="E108" s="92" t="s">
        <v>571</v>
      </c>
      <c r="F108" s="92">
        <v>48</v>
      </c>
      <c r="G108" s="92" t="s">
        <v>516</v>
      </c>
      <c r="H108" s="92"/>
      <c r="I108" s="92">
        <v>0</v>
      </c>
      <c r="J108" s="92">
        <v>27762182</v>
      </c>
      <c r="K108" s="92" t="s">
        <v>1061</v>
      </c>
      <c r="L108" s="92">
        <v>936</v>
      </c>
      <c r="M108" s="92">
        <v>116</v>
      </c>
      <c r="N108" s="92">
        <v>16</v>
      </c>
      <c r="O108" s="92">
        <v>16</v>
      </c>
      <c r="P108" s="92">
        <v>0</v>
      </c>
      <c r="Q108" s="92">
        <v>0</v>
      </c>
      <c r="R108" s="92">
        <v>0</v>
      </c>
      <c r="S108" s="92">
        <v>0</v>
      </c>
      <c r="T108" s="92">
        <v>0</v>
      </c>
      <c r="U108" s="92">
        <v>45</v>
      </c>
      <c r="V108" s="92">
        <v>0</v>
      </c>
      <c r="W108" s="92">
        <v>0</v>
      </c>
      <c r="X108" s="92">
        <v>0</v>
      </c>
      <c r="Y108" s="92">
        <v>0</v>
      </c>
      <c r="Z108" s="92">
        <v>0</v>
      </c>
      <c r="AA108" s="92">
        <v>0</v>
      </c>
      <c r="AB108" s="92">
        <v>17765</v>
      </c>
      <c r="AC108" s="92">
        <v>18528</v>
      </c>
      <c r="AD108" s="92">
        <v>19469</v>
      </c>
      <c r="AE108" s="92">
        <v>0</v>
      </c>
      <c r="AF108" s="92">
        <v>0</v>
      </c>
      <c r="AG108" s="92">
        <v>0</v>
      </c>
      <c r="AI108" s="250">
        <v>2.0622699999999999E-4</v>
      </c>
    </row>
    <row r="109" spans="1:35" x14ac:dyDescent="0.25">
      <c r="A109" t="str">
        <f t="shared" si="3"/>
        <v>20-4-147</v>
      </c>
      <c r="B109">
        <v>20</v>
      </c>
      <c r="C109" s="92" t="s">
        <v>1033</v>
      </c>
      <c r="D109" s="92">
        <v>4</v>
      </c>
      <c r="E109" s="92" t="s">
        <v>66</v>
      </c>
      <c r="F109" s="92">
        <v>147</v>
      </c>
      <c r="G109" s="92" t="s">
        <v>824</v>
      </c>
      <c r="H109" s="92"/>
      <c r="I109" s="92">
        <v>0</v>
      </c>
      <c r="J109" s="92">
        <v>10358427</v>
      </c>
      <c r="K109" s="92">
        <v>1</v>
      </c>
      <c r="L109" s="92">
        <v>23872</v>
      </c>
      <c r="M109" s="92">
        <v>9850</v>
      </c>
      <c r="N109" s="92">
        <v>699</v>
      </c>
      <c r="O109" s="92">
        <v>699</v>
      </c>
      <c r="P109" s="92">
        <v>93500</v>
      </c>
      <c r="Q109" s="92">
        <v>58247</v>
      </c>
      <c r="R109" s="92">
        <v>164819</v>
      </c>
      <c r="S109" s="92">
        <v>0</v>
      </c>
      <c r="T109" s="92">
        <v>0</v>
      </c>
      <c r="U109" s="92">
        <v>228</v>
      </c>
      <c r="V109" s="92">
        <v>0</v>
      </c>
      <c r="W109" s="182">
        <v>0</v>
      </c>
      <c r="X109" s="92">
        <v>0</v>
      </c>
      <c r="Y109" s="92">
        <v>0</v>
      </c>
      <c r="Z109" s="92">
        <v>0</v>
      </c>
      <c r="AA109" s="92">
        <v>0</v>
      </c>
      <c r="AB109" s="92">
        <v>94183</v>
      </c>
      <c r="AC109" s="182">
        <f>143977-3384</f>
        <v>140593</v>
      </c>
      <c r="AD109" s="92">
        <v>40280</v>
      </c>
      <c r="AE109" s="92">
        <v>0</v>
      </c>
      <c r="AF109" s="92">
        <v>0</v>
      </c>
      <c r="AG109" s="92">
        <v>0</v>
      </c>
    </row>
    <row r="110" spans="1:35" x14ac:dyDescent="0.25">
      <c r="A110" t="str">
        <f t="shared" si="3"/>
        <v>37-4-147</v>
      </c>
      <c r="B110">
        <v>37</v>
      </c>
      <c r="C110" s="92" t="s">
        <v>1049</v>
      </c>
      <c r="D110" s="92">
        <v>4</v>
      </c>
      <c r="E110" s="92" t="s">
        <v>66</v>
      </c>
      <c r="F110" s="92">
        <v>147</v>
      </c>
      <c r="G110" s="92" t="s">
        <v>824</v>
      </c>
      <c r="H110" s="92"/>
      <c r="I110" s="92">
        <v>0</v>
      </c>
      <c r="J110" s="92">
        <v>90739050</v>
      </c>
      <c r="K110" s="92">
        <v>1</v>
      </c>
      <c r="L110" s="92">
        <v>23872</v>
      </c>
      <c r="M110" s="92">
        <v>9850</v>
      </c>
      <c r="N110" s="92">
        <v>699</v>
      </c>
      <c r="O110" s="92">
        <v>699</v>
      </c>
      <c r="P110" s="92">
        <v>93500</v>
      </c>
      <c r="Q110" s="92">
        <v>58247</v>
      </c>
      <c r="R110" s="92">
        <v>164819</v>
      </c>
      <c r="S110" s="92">
        <v>0</v>
      </c>
      <c r="T110" s="92">
        <v>0</v>
      </c>
      <c r="U110" s="92">
        <v>228</v>
      </c>
      <c r="V110" s="92">
        <v>0</v>
      </c>
      <c r="W110" s="182">
        <v>0</v>
      </c>
      <c r="X110" s="92">
        <v>0</v>
      </c>
      <c r="Y110" s="92">
        <v>0</v>
      </c>
      <c r="Z110" s="92">
        <v>0</v>
      </c>
      <c r="AA110" s="92">
        <v>0</v>
      </c>
      <c r="AB110" s="92">
        <v>94183</v>
      </c>
      <c r="AC110" s="182">
        <f>143977-3384</f>
        <v>140593</v>
      </c>
      <c r="AD110" s="92">
        <v>40280</v>
      </c>
      <c r="AE110" s="92">
        <v>0</v>
      </c>
      <c r="AF110" s="92">
        <v>0</v>
      </c>
      <c r="AG110" s="92">
        <v>0</v>
      </c>
    </row>
    <row r="111" spans="1:35" x14ac:dyDescent="0.25">
      <c r="A111" t="str">
        <f t="shared" si="3"/>
        <v>42-9-144</v>
      </c>
      <c r="B111">
        <v>42</v>
      </c>
      <c r="C111" s="92" t="s">
        <v>1196</v>
      </c>
      <c r="D111" s="92">
        <v>9</v>
      </c>
      <c r="E111" s="92" t="s">
        <v>588</v>
      </c>
      <c r="F111" s="92">
        <v>144</v>
      </c>
      <c r="G111" s="92" t="s">
        <v>994</v>
      </c>
      <c r="H111" s="92"/>
      <c r="I111" s="92">
        <v>79721</v>
      </c>
      <c r="J111" s="92">
        <v>2494425</v>
      </c>
      <c r="K111" s="92" t="s">
        <v>1061</v>
      </c>
      <c r="L111" s="92">
        <v>32383</v>
      </c>
      <c r="M111" s="92">
        <v>4253</v>
      </c>
      <c r="N111" s="92">
        <v>822</v>
      </c>
      <c r="O111" s="92">
        <v>822</v>
      </c>
      <c r="P111" s="92">
        <v>0</v>
      </c>
      <c r="Q111" s="92">
        <v>0</v>
      </c>
      <c r="R111" s="92">
        <v>0</v>
      </c>
      <c r="S111" s="92">
        <v>0</v>
      </c>
      <c r="T111" s="92">
        <v>0</v>
      </c>
      <c r="U111" s="92">
        <v>179</v>
      </c>
      <c r="V111" s="92">
        <v>0</v>
      </c>
      <c r="W111" s="92">
        <v>0</v>
      </c>
      <c r="X111" s="92">
        <v>0</v>
      </c>
      <c r="Y111" s="92">
        <v>0</v>
      </c>
      <c r="Z111" s="92">
        <v>0</v>
      </c>
      <c r="AA111" s="92">
        <v>0</v>
      </c>
      <c r="AB111" s="92">
        <v>562558</v>
      </c>
      <c r="AC111" s="92">
        <v>594230</v>
      </c>
      <c r="AD111" s="92">
        <v>630276</v>
      </c>
      <c r="AE111" s="92">
        <v>0</v>
      </c>
      <c r="AF111" s="92">
        <v>0</v>
      </c>
      <c r="AG111" s="92">
        <v>0</v>
      </c>
      <c r="AI111" s="250">
        <v>1.4594880000000001E-3</v>
      </c>
    </row>
    <row r="112" spans="1:35" x14ac:dyDescent="0.25">
      <c r="A112" t="str">
        <f t="shared" si="3"/>
        <v>42-11-3</v>
      </c>
      <c r="B112">
        <v>42</v>
      </c>
      <c r="C112" s="92" t="s">
        <v>1196</v>
      </c>
      <c r="D112" s="92">
        <v>11</v>
      </c>
      <c r="E112" s="92" t="s">
        <v>1062</v>
      </c>
      <c r="F112" s="92">
        <v>3</v>
      </c>
      <c r="G112" s="92" t="s">
        <v>997</v>
      </c>
      <c r="H112" s="92"/>
      <c r="I112" s="92">
        <v>0</v>
      </c>
      <c r="J112" s="92">
        <v>52677793</v>
      </c>
      <c r="K112" s="92" t="s">
        <v>1061</v>
      </c>
      <c r="L112" s="92">
        <v>32249</v>
      </c>
      <c r="M112" s="92">
        <v>6858</v>
      </c>
      <c r="N112" s="92">
        <v>1592</v>
      </c>
      <c r="O112" s="92">
        <v>1331</v>
      </c>
      <c r="P112" s="92">
        <v>0</v>
      </c>
      <c r="Q112" s="92">
        <v>0</v>
      </c>
      <c r="R112" s="92">
        <v>0</v>
      </c>
      <c r="S112" s="92">
        <v>0</v>
      </c>
      <c r="T112" s="92">
        <v>419</v>
      </c>
      <c r="U112" s="92">
        <v>598</v>
      </c>
      <c r="V112" s="92">
        <v>0</v>
      </c>
      <c r="W112" s="92">
        <v>0</v>
      </c>
      <c r="X112" s="92">
        <v>0</v>
      </c>
      <c r="Y112" s="92">
        <v>0</v>
      </c>
      <c r="Z112" s="92">
        <v>0</v>
      </c>
      <c r="AA112" s="92">
        <v>0</v>
      </c>
      <c r="AB112" s="92">
        <v>1279029</v>
      </c>
      <c r="AC112" s="92">
        <v>1335252</v>
      </c>
      <c r="AD112" s="92">
        <v>1421524</v>
      </c>
      <c r="AE112" s="92">
        <v>0</v>
      </c>
      <c r="AF112" s="92">
        <v>0</v>
      </c>
      <c r="AG112" s="92">
        <v>0</v>
      </c>
    </row>
    <row r="113" spans="1:35" x14ac:dyDescent="0.25">
      <c r="A113" t="str">
        <f t="shared" si="3"/>
        <v>24-4-166</v>
      </c>
      <c r="B113">
        <v>24</v>
      </c>
      <c r="C113" s="92" t="s">
        <v>1037</v>
      </c>
      <c r="D113" s="92">
        <v>4</v>
      </c>
      <c r="E113" s="92" t="s">
        <v>66</v>
      </c>
      <c r="F113" s="92">
        <v>166</v>
      </c>
      <c r="G113" s="92" t="s">
        <v>856</v>
      </c>
      <c r="H113" s="92"/>
      <c r="I113" s="92">
        <v>0</v>
      </c>
      <c r="J113" s="92">
        <v>5217707</v>
      </c>
      <c r="K113" s="92">
        <v>1</v>
      </c>
      <c r="L113" s="92">
        <v>14264</v>
      </c>
      <c r="M113" s="92">
        <v>10951</v>
      </c>
      <c r="N113" s="92">
        <v>621</v>
      </c>
      <c r="O113" s="92">
        <v>621</v>
      </c>
      <c r="P113" s="92">
        <v>0</v>
      </c>
      <c r="Q113" s="92">
        <v>0</v>
      </c>
      <c r="R113" s="92">
        <v>0</v>
      </c>
      <c r="S113" s="92">
        <v>0</v>
      </c>
      <c r="T113" s="92">
        <v>261</v>
      </c>
      <c r="U113" s="92">
        <v>103</v>
      </c>
      <c r="V113" s="92">
        <v>0</v>
      </c>
      <c r="W113" s="92">
        <v>0</v>
      </c>
      <c r="X113" s="92">
        <v>0</v>
      </c>
      <c r="Y113" s="92">
        <v>0</v>
      </c>
      <c r="Z113" s="92">
        <v>0</v>
      </c>
      <c r="AA113" s="92">
        <v>0</v>
      </c>
      <c r="AB113" s="92">
        <v>35496</v>
      </c>
      <c r="AC113" s="92">
        <v>37081</v>
      </c>
      <c r="AD113" s="92">
        <v>39502</v>
      </c>
      <c r="AE113" s="92">
        <v>0</v>
      </c>
      <c r="AF113" s="92">
        <v>0</v>
      </c>
      <c r="AG113" s="92">
        <v>0</v>
      </c>
    </row>
    <row r="114" spans="1:35" x14ac:dyDescent="0.25">
      <c r="A114" t="str">
        <f t="shared" si="3"/>
        <v>42-4-166</v>
      </c>
      <c r="B114">
        <v>42</v>
      </c>
      <c r="C114" s="92" t="s">
        <v>1196</v>
      </c>
      <c r="D114" s="92">
        <v>4</v>
      </c>
      <c r="E114" s="92" t="s">
        <v>66</v>
      </c>
      <c r="F114" s="92">
        <v>166</v>
      </c>
      <c r="G114" s="92" t="s">
        <v>856</v>
      </c>
      <c r="H114" s="92"/>
      <c r="I114" s="92">
        <v>0</v>
      </c>
      <c r="J114" s="92">
        <v>72649431</v>
      </c>
      <c r="K114" s="92">
        <v>1</v>
      </c>
      <c r="L114" s="92">
        <v>14264</v>
      </c>
      <c r="M114" s="92">
        <v>10951</v>
      </c>
      <c r="N114" s="92">
        <v>621</v>
      </c>
      <c r="O114" s="92">
        <v>621</v>
      </c>
      <c r="P114" s="92">
        <v>0</v>
      </c>
      <c r="Q114" s="92">
        <v>0</v>
      </c>
      <c r="R114" s="92">
        <v>0</v>
      </c>
      <c r="S114" s="92">
        <v>0</v>
      </c>
      <c r="T114" s="92">
        <v>261</v>
      </c>
      <c r="U114" s="92">
        <v>103</v>
      </c>
      <c r="V114" s="92">
        <v>0</v>
      </c>
      <c r="W114" s="92">
        <v>0</v>
      </c>
      <c r="X114" s="92">
        <v>0</v>
      </c>
      <c r="Y114" s="92">
        <v>0</v>
      </c>
      <c r="Z114" s="92">
        <v>0</v>
      </c>
      <c r="AA114" s="92">
        <v>0</v>
      </c>
      <c r="AB114" s="92">
        <v>35496</v>
      </c>
      <c r="AC114" s="92">
        <v>37081</v>
      </c>
      <c r="AD114" s="92">
        <v>39502</v>
      </c>
      <c r="AE114" s="92">
        <v>0</v>
      </c>
      <c r="AF114" s="92">
        <v>0</v>
      </c>
      <c r="AG114" s="92">
        <v>0</v>
      </c>
    </row>
    <row r="115" spans="1:35" x14ac:dyDescent="0.25">
      <c r="A115" t="str">
        <f t="shared" si="3"/>
        <v>16-11-4</v>
      </c>
      <c r="B115">
        <v>16</v>
      </c>
      <c r="C115" s="92" t="s">
        <v>1029</v>
      </c>
      <c r="D115" s="92">
        <v>11</v>
      </c>
      <c r="E115" s="92" t="s">
        <v>1062</v>
      </c>
      <c r="F115" s="92">
        <v>4</v>
      </c>
      <c r="G115" s="92" t="s">
        <v>778</v>
      </c>
      <c r="H115" s="92"/>
      <c r="I115" s="92">
        <v>0</v>
      </c>
      <c r="J115" s="92">
        <v>69829883</v>
      </c>
      <c r="K115" s="92" t="s">
        <v>1061</v>
      </c>
      <c r="L115" s="92">
        <v>57317</v>
      </c>
      <c r="M115" s="92">
        <v>18583</v>
      </c>
      <c r="N115" s="92">
        <v>9341</v>
      </c>
      <c r="O115" s="92">
        <v>7071</v>
      </c>
      <c r="P115" s="92">
        <v>0</v>
      </c>
      <c r="Q115" s="92">
        <v>0</v>
      </c>
      <c r="R115" s="92">
        <v>0</v>
      </c>
      <c r="S115" s="92">
        <v>0</v>
      </c>
      <c r="T115" s="92">
        <v>0</v>
      </c>
      <c r="U115" s="92">
        <v>0</v>
      </c>
      <c r="V115" s="92">
        <v>0</v>
      </c>
      <c r="W115" s="92">
        <v>0</v>
      </c>
      <c r="X115" s="92">
        <v>0</v>
      </c>
      <c r="Y115" s="92">
        <v>0</v>
      </c>
      <c r="Z115" s="92">
        <v>0</v>
      </c>
      <c r="AA115" s="92">
        <v>0</v>
      </c>
      <c r="AB115" s="92">
        <v>2670112</v>
      </c>
      <c r="AC115" s="92">
        <v>2770878</v>
      </c>
      <c r="AD115" s="92">
        <v>2913156</v>
      </c>
      <c r="AE115" s="92">
        <v>0</v>
      </c>
      <c r="AF115" s="92">
        <v>0</v>
      </c>
      <c r="AG115" s="92">
        <v>0</v>
      </c>
    </row>
    <row r="116" spans="1:35" x14ac:dyDescent="0.25">
      <c r="A116" t="str">
        <f t="shared" si="3"/>
        <v>33-7-13</v>
      </c>
      <c r="B116">
        <v>33</v>
      </c>
      <c r="C116" s="92" t="s">
        <v>1046</v>
      </c>
      <c r="D116" s="92">
        <v>7</v>
      </c>
      <c r="E116" s="92" t="s">
        <v>586</v>
      </c>
      <c r="F116" s="92">
        <v>13</v>
      </c>
      <c r="G116" s="92" t="s">
        <v>481</v>
      </c>
      <c r="H116" s="92"/>
      <c r="I116" s="92">
        <v>0</v>
      </c>
      <c r="J116" s="92">
        <v>8911597</v>
      </c>
      <c r="K116" s="92" t="s">
        <v>1061</v>
      </c>
      <c r="L116" s="92">
        <v>573</v>
      </c>
      <c r="M116" s="92">
        <v>181</v>
      </c>
      <c r="N116" s="92">
        <v>41</v>
      </c>
      <c r="O116" s="92">
        <v>41</v>
      </c>
      <c r="P116" s="92">
        <v>0</v>
      </c>
      <c r="Q116" s="92">
        <v>0</v>
      </c>
      <c r="R116" s="92">
        <v>0</v>
      </c>
      <c r="S116" s="92">
        <v>0</v>
      </c>
      <c r="T116" s="92">
        <v>0</v>
      </c>
      <c r="U116" s="92">
        <v>0</v>
      </c>
      <c r="V116" s="92">
        <v>0</v>
      </c>
      <c r="W116" s="92">
        <v>0</v>
      </c>
      <c r="X116" s="92">
        <v>0</v>
      </c>
      <c r="Y116" s="92">
        <v>0</v>
      </c>
      <c r="Z116" s="92">
        <v>0</v>
      </c>
      <c r="AA116" s="92">
        <v>0</v>
      </c>
      <c r="AB116" s="92">
        <v>21654</v>
      </c>
      <c r="AC116" s="92">
        <v>23450</v>
      </c>
      <c r="AD116" s="92">
        <v>25191</v>
      </c>
      <c r="AE116" s="92">
        <v>0</v>
      </c>
      <c r="AF116" s="92">
        <v>0</v>
      </c>
      <c r="AG116" s="92">
        <v>0</v>
      </c>
    </row>
    <row r="117" spans="1:35" x14ac:dyDescent="0.25">
      <c r="A117" t="str">
        <f t="shared" si="3"/>
        <v>12-7-14</v>
      </c>
      <c r="B117">
        <v>12</v>
      </c>
      <c r="C117" s="92" t="s">
        <v>1025</v>
      </c>
      <c r="D117" s="92">
        <v>7</v>
      </c>
      <c r="E117" s="92" t="s">
        <v>586</v>
      </c>
      <c r="F117" s="92">
        <v>14</v>
      </c>
      <c r="G117" s="92" t="s">
        <v>743</v>
      </c>
      <c r="H117" s="92"/>
      <c r="I117" s="92">
        <v>4954</v>
      </c>
      <c r="J117" s="92">
        <v>23115371</v>
      </c>
      <c r="K117" s="92" t="s">
        <v>1061</v>
      </c>
      <c r="L117" s="92">
        <v>1877</v>
      </c>
      <c r="M117" s="92">
        <v>1343</v>
      </c>
      <c r="N117" s="92">
        <v>307</v>
      </c>
      <c r="O117" s="92">
        <v>307</v>
      </c>
      <c r="P117" s="92">
        <v>0</v>
      </c>
      <c r="Q117" s="92">
        <v>0</v>
      </c>
      <c r="R117" s="92">
        <v>0</v>
      </c>
      <c r="S117" s="92">
        <v>0</v>
      </c>
      <c r="T117" s="92">
        <v>0</v>
      </c>
      <c r="U117" s="92">
        <v>0</v>
      </c>
      <c r="V117" s="92">
        <v>0</v>
      </c>
      <c r="W117" s="92">
        <v>0</v>
      </c>
      <c r="X117" s="92">
        <v>0</v>
      </c>
      <c r="Y117" s="92">
        <v>0</v>
      </c>
      <c r="Z117" s="92">
        <v>0</v>
      </c>
      <c r="AA117" s="92">
        <v>0</v>
      </c>
      <c r="AB117" s="92">
        <v>46326</v>
      </c>
      <c r="AC117" s="92">
        <v>51119</v>
      </c>
      <c r="AD117" s="92">
        <v>53440</v>
      </c>
      <c r="AE117" s="92">
        <v>0</v>
      </c>
      <c r="AF117" s="92">
        <v>1592</v>
      </c>
      <c r="AG117" s="92">
        <v>1659</v>
      </c>
    </row>
    <row r="118" spans="1:35" x14ac:dyDescent="0.25">
      <c r="A118" t="str">
        <f t="shared" si="3"/>
        <v>12-2-12</v>
      </c>
      <c r="B118">
        <v>12</v>
      </c>
      <c r="C118" s="92" t="s">
        <v>1025</v>
      </c>
      <c r="D118" s="92">
        <v>2</v>
      </c>
      <c r="E118" s="92" t="s">
        <v>53</v>
      </c>
      <c r="F118" s="92">
        <v>12</v>
      </c>
      <c r="G118" s="92" t="s">
        <v>211</v>
      </c>
      <c r="H118" s="92"/>
      <c r="I118" s="92">
        <v>0</v>
      </c>
      <c r="J118" s="92">
        <v>23115371</v>
      </c>
      <c r="K118" s="92" t="s">
        <v>1061</v>
      </c>
      <c r="L118" s="92">
        <v>49688</v>
      </c>
      <c r="M118" s="92">
        <v>37789</v>
      </c>
      <c r="N118" s="92">
        <v>8365</v>
      </c>
      <c r="O118" s="92">
        <v>8365</v>
      </c>
      <c r="P118" s="92">
        <v>0</v>
      </c>
      <c r="Q118" s="92">
        <v>0</v>
      </c>
      <c r="R118" s="92">
        <v>0</v>
      </c>
      <c r="S118" s="92">
        <v>0</v>
      </c>
      <c r="T118" s="92">
        <v>0</v>
      </c>
      <c r="U118" s="92">
        <v>0</v>
      </c>
      <c r="V118" s="92">
        <v>0</v>
      </c>
      <c r="W118" s="92">
        <v>0</v>
      </c>
      <c r="X118" s="92">
        <v>0</v>
      </c>
      <c r="Y118" s="92">
        <v>0</v>
      </c>
      <c r="Z118" s="92">
        <v>0</v>
      </c>
      <c r="AA118" s="92">
        <v>0</v>
      </c>
      <c r="AB118" s="92">
        <v>1368816</v>
      </c>
      <c r="AC118" s="92">
        <v>1378662</v>
      </c>
      <c r="AD118" s="92">
        <v>1441285</v>
      </c>
      <c r="AE118" s="92">
        <v>34050</v>
      </c>
      <c r="AF118" s="92">
        <v>0</v>
      </c>
      <c r="AG118" s="92">
        <v>0</v>
      </c>
    </row>
    <row r="119" spans="1:35" x14ac:dyDescent="0.25">
      <c r="A119" t="str">
        <f t="shared" si="3"/>
        <v>12-4-34</v>
      </c>
      <c r="B119">
        <v>12</v>
      </c>
      <c r="C119" s="92" t="s">
        <v>1025</v>
      </c>
      <c r="D119" s="92">
        <v>4</v>
      </c>
      <c r="E119" s="92" t="s">
        <v>66</v>
      </c>
      <c r="F119" s="92">
        <v>34</v>
      </c>
      <c r="G119" s="92" t="s">
        <v>741</v>
      </c>
      <c r="H119" s="92"/>
      <c r="I119" s="92">
        <v>0</v>
      </c>
      <c r="J119" s="92">
        <v>23068242</v>
      </c>
      <c r="K119" s="92">
        <v>1</v>
      </c>
      <c r="L119" s="92">
        <v>37567</v>
      </c>
      <c r="M119" s="92">
        <v>21586</v>
      </c>
      <c r="N119" s="92">
        <v>1862</v>
      </c>
      <c r="O119" s="92">
        <v>1862</v>
      </c>
      <c r="P119" s="92">
        <v>0</v>
      </c>
      <c r="Q119" s="92">
        <v>0</v>
      </c>
      <c r="R119" s="92">
        <v>0</v>
      </c>
      <c r="S119" s="92">
        <v>0</v>
      </c>
      <c r="T119" s="92">
        <v>0</v>
      </c>
      <c r="U119" s="92">
        <v>0</v>
      </c>
      <c r="V119" s="92">
        <v>0</v>
      </c>
      <c r="W119" s="92">
        <v>0</v>
      </c>
      <c r="X119" s="92">
        <v>0</v>
      </c>
      <c r="Y119" s="92">
        <v>0</v>
      </c>
      <c r="Z119" s="92">
        <v>0</v>
      </c>
      <c r="AA119" s="92">
        <v>0</v>
      </c>
      <c r="AB119" s="92">
        <v>82564</v>
      </c>
      <c r="AC119" s="92">
        <v>86336</v>
      </c>
      <c r="AD119" s="92">
        <v>89919</v>
      </c>
      <c r="AE119" s="92">
        <v>0</v>
      </c>
      <c r="AF119" s="92">
        <v>0</v>
      </c>
      <c r="AG119" s="92">
        <v>0</v>
      </c>
    </row>
    <row r="120" spans="1:35" x14ac:dyDescent="0.25">
      <c r="A120" t="str">
        <f t="shared" si="3"/>
        <v>19-4-34</v>
      </c>
      <c r="B120">
        <v>19</v>
      </c>
      <c r="C120" s="92" t="s">
        <v>1032</v>
      </c>
      <c r="D120" s="92">
        <v>4</v>
      </c>
      <c r="E120" s="92" t="s">
        <v>66</v>
      </c>
      <c r="F120" s="92">
        <v>34</v>
      </c>
      <c r="G120" s="92" t="s">
        <v>741</v>
      </c>
      <c r="H120" s="92"/>
      <c r="I120" s="92">
        <v>0</v>
      </c>
      <c r="J120" s="92">
        <v>22286</v>
      </c>
      <c r="K120" s="92">
        <v>1</v>
      </c>
      <c r="L120" s="92">
        <v>37567</v>
      </c>
      <c r="M120" s="92">
        <v>21586</v>
      </c>
      <c r="N120" s="92">
        <v>1862</v>
      </c>
      <c r="O120" s="92">
        <v>1862</v>
      </c>
      <c r="P120" s="92">
        <v>0</v>
      </c>
      <c r="Q120" s="92">
        <v>0</v>
      </c>
      <c r="R120" s="92">
        <v>0</v>
      </c>
      <c r="S120" s="92">
        <v>0</v>
      </c>
      <c r="T120" s="92">
        <v>0</v>
      </c>
      <c r="U120" s="92">
        <v>0</v>
      </c>
      <c r="V120" s="92">
        <v>0</v>
      </c>
      <c r="W120" s="92">
        <v>0</v>
      </c>
      <c r="X120" s="92">
        <v>0</v>
      </c>
      <c r="Y120" s="92">
        <v>0</v>
      </c>
      <c r="Z120" s="92">
        <v>0</v>
      </c>
      <c r="AA120" s="92">
        <v>0</v>
      </c>
      <c r="AB120" s="92">
        <v>82564</v>
      </c>
      <c r="AC120" s="92">
        <v>86336</v>
      </c>
      <c r="AD120" s="92">
        <v>89919</v>
      </c>
      <c r="AE120" s="92">
        <v>0</v>
      </c>
      <c r="AF120" s="92">
        <v>0</v>
      </c>
      <c r="AG120" s="92">
        <v>0</v>
      </c>
    </row>
    <row r="121" spans="1:35" x14ac:dyDescent="0.25">
      <c r="A121" t="str">
        <f t="shared" si="3"/>
        <v>41-7-15</v>
      </c>
      <c r="B121">
        <v>41</v>
      </c>
      <c r="C121" s="92" t="s">
        <v>1052</v>
      </c>
      <c r="D121" s="92">
        <v>7</v>
      </c>
      <c r="E121" s="92" t="s">
        <v>586</v>
      </c>
      <c r="F121" s="92">
        <v>15</v>
      </c>
      <c r="G121" s="92" t="s">
        <v>981</v>
      </c>
      <c r="H121" s="92"/>
      <c r="I121" s="92">
        <v>0</v>
      </c>
      <c r="J121" s="92">
        <v>5147990</v>
      </c>
      <c r="K121" s="92" t="s">
        <v>1061</v>
      </c>
      <c r="L121" s="92">
        <v>126</v>
      </c>
      <c r="M121" s="92">
        <v>50</v>
      </c>
      <c r="N121" s="92">
        <v>0</v>
      </c>
      <c r="O121" s="92">
        <v>0</v>
      </c>
      <c r="P121" s="92">
        <v>0</v>
      </c>
      <c r="Q121" s="92">
        <v>0</v>
      </c>
      <c r="R121" s="92">
        <v>0</v>
      </c>
      <c r="S121" s="92">
        <v>0</v>
      </c>
      <c r="T121" s="92">
        <v>0</v>
      </c>
      <c r="U121" s="92">
        <v>0</v>
      </c>
      <c r="V121" s="92">
        <v>0</v>
      </c>
      <c r="W121" s="92">
        <v>0</v>
      </c>
      <c r="X121" s="92">
        <v>0</v>
      </c>
      <c r="Y121" s="92">
        <v>0</v>
      </c>
      <c r="Z121" s="92">
        <v>0</v>
      </c>
      <c r="AA121" s="92">
        <v>0</v>
      </c>
      <c r="AB121" s="92">
        <v>38670</v>
      </c>
      <c r="AC121" s="92">
        <v>39272</v>
      </c>
      <c r="AD121" s="92">
        <v>42239</v>
      </c>
      <c r="AE121" s="92">
        <v>0</v>
      </c>
      <c r="AF121" s="92">
        <v>0</v>
      </c>
      <c r="AG121" s="92">
        <v>0</v>
      </c>
    </row>
    <row r="122" spans="1:35" x14ac:dyDescent="0.25">
      <c r="A122" t="str">
        <f t="shared" si="3"/>
        <v>14-9-7</v>
      </c>
      <c r="B122">
        <v>14</v>
      </c>
      <c r="C122" s="92" t="s">
        <v>1027</v>
      </c>
      <c r="D122" s="92">
        <v>9</v>
      </c>
      <c r="E122" s="92" t="s">
        <v>588</v>
      </c>
      <c r="F122" s="92">
        <v>7</v>
      </c>
      <c r="G122" s="92" t="s">
        <v>235</v>
      </c>
      <c r="H122" s="92"/>
      <c r="I122" s="92">
        <v>0</v>
      </c>
      <c r="J122" s="92">
        <v>0</v>
      </c>
      <c r="K122" s="92" t="s">
        <v>1061</v>
      </c>
      <c r="L122" s="92">
        <v>17095</v>
      </c>
      <c r="M122" s="92">
        <v>11392</v>
      </c>
      <c r="N122" s="92">
        <v>2198</v>
      </c>
      <c r="O122" s="92">
        <v>2198</v>
      </c>
      <c r="P122" s="92">
        <v>0</v>
      </c>
      <c r="Q122" s="92">
        <v>0</v>
      </c>
      <c r="R122" s="92">
        <v>0</v>
      </c>
      <c r="S122" s="92">
        <v>0</v>
      </c>
      <c r="T122" s="92">
        <v>0</v>
      </c>
      <c r="U122" s="92">
        <v>0</v>
      </c>
      <c r="V122" s="92">
        <v>0</v>
      </c>
      <c r="W122" s="92">
        <v>0</v>
      </c>
      <c r="X122" s="92">
        <v>0</v>
      </c>
      <c r="Y122" s="92">
        <v>0</v>
      </c>
      <c r="Z122" s="92">
        <v>0</v>
      </c>
      <c r="AA122" s="92">
        <v>0</v>
      </c>
      <c r="AB122" s="92">
        <v>2523338</v>
      </c>
      <c r="AC122" s="92">
        <v>2628827</v>
      </c>
      <c r="AD122" s="92">
        <v>2732435</v>
      </c>
      <c r="AE122" s="92">
        <v>0</v>
      </c>
      <c r="AF122" s="92">
        <v>0</v>
      </c>
      <c r="AG122" s="92">
        <v>0</v>
      </c>
      <c r="AI122" s="250">
        <v>1.00533E-3</v>
      </c>
    </row>
    <row r="123" spans="1:35" x14ac:dyDescent="0.25">
      <c r="A123" t="str">
        <f t="shared" si="3"/>
        <v>14-4-40</v>
      </c>
      <c r="B123">
        <v>14</v>
      </c>
      <c r="C123" s="92" t="s">
        <v>1027</v>
      </c>
      <c r="D123" s="92">
        <v>4</v>
      </c>
      <c r="E123" s="92" t="s">
        <v>66</v>
      </c>
      <c r="F123" s="92">
        <v>40</v>
      </c>
      <c r="G123" s="92" t="s">
        <v>751</v>
      </c>
      <c r="H123" s="92"/>
      <c r="I123" s="92">
        <v>0</v>
      </c>
      <c r="J123" s="92">
        <v>52574371</v>
      </c>
      <c r="K123" s="92" t="s">
        <v>1061</v>
      </c>
      <c r="L123" s="92">
        <v>5017</v>
      </c>
      <c r="M123" s="92">
        <v>93824</v>
      </c>
      <c r="N123" s="92">
        <v>16640</v>
      </c>
      <c r="O123" s="92">
        <v>16640</v>
      </c>
      <c r="P123" s="92">
        <v>0</v>
      </c>
      <c r="Q123" s="92">
        <v>0</v>
      </c>
      <c r="R123" s="92">
        <v>0</v>
      </c>
      <c r="S123" s="92">
        <v>0</v>
      </c>
      <c r="T123" s="92">
        <v>0</v>
      </c>
      <c r="U123" s="92">
        <v>0</v>
      </c>
      <c r="V123" s="92">
        <v>0</v>
      </c>
      <c r="W123" s="92">
        <v>0</v>
      </c>
      <c r="X123" s="92">
        <v>0</v>
      </c>
      <c r="Y123" s="92">
        <v>0</v>
      </c>
      <c r="Z123" s="92">
        <v>0</v>
      </c>
      <c r="AA123" s="92">
        <v>0</v>
      </c>
      <c r="AB123" s="92">
        <v>139082</v>
      </c>
      <c r="AC123" s="92">
        <v>145220</v>
      </c>
      <c r="AD123" s="92">
        <v>153485</v>
      </c>
      <c r="AE123" s="92">
        <v>0</v>
      </c>
      <c r="AF123" s="92">
        <v>0</v>
      </c>
      <c r="AG123" s="92">
        <v>0</v>
      </c>
    </row>
    <row r="124" spans="1:35" x14ac:dyDescent="0.25">
      <c r="A124" t="str">
        <f t="shared" si="3"/>
        <v>13-14-7</v>
      </c>
      <c r="B124">
        <v>13</v>
      </c>
      <c r="C124" s="92" t="s">
        <v>1026</v>
      </c>
      <c r="D124" s="92">
        <v>14</v>
      </c>
      <c r="E124" s="92" t="s">
        <v>571</v>
      </c>
      <c r="F124" s="92">
        <v>7</v>
      </c>
      <c r="G124" s="92" t="s">
        <v>748</v>
      </c>
      <c r="H124" s="92"/>
      <c r="I124" s="92">
        <v>2750</v>
      </c>
      <c r="J124" s="92">
        <v>10284529</v>
      </c>
      <c r="K124" s="92" t="s">
        <v>1061</v>
      </c>
      <c r="L124" s="92">
        <v>1615</v>
      </c>
      <c r="M124" s="92">
        <v>986</v>
      </c>
      <c r="N124" s="92">
        <v>192</v>
      </c>
      <c r="O124" s="92">
        <v>192</v>
      </c>
      <c r="P124" s="92">
        <v>0</v>
      </c>
      <c r="Q124" s="92">
        <v>0</v>
      </c>
      <c r="R124" s="92">
        <v>0</v>
      </c>
      <c r="S124" s="92">
        <v>0</v>
      </c>
      <c r="T124" s="92">
        <v>0</v>
      </c>
      <c r="U124" s="92">
        <v>0</v>
      </c>
      <c r="V124" s="92">
        <v>0</v>
      </c>
      <c r="W124" s="92">
        <v>0</v>
      </c>
      <c r="X124" s="92">
        <v>0</v>
      </c>
      <c r="Y124" s="92">
        <v>0</v>
      </c>
      <c r="Z124" s="92">
        <v>0</v>
      </c>
      <c r="AA124" s="92">
        <v>0</v>
      </c>
      <c r="AB124" s="92">
        <v>92856</v>
      </c>
      <c r="AC124" s="92">
        <v>96826</v>
      </c>
      <c r="AD124" s="92">
        <v>99697</v>
      </c>
      <c r="AE124" s="92">
        <v>0</v>
      </c>
      <c r="AF124" s="92">
        <v>0</v>
      </c>
      <c r="AG124" s="92">
        <v>0</v>
      </c>
      <c r="AI124" s="250">
        <v>3.0810499999999998E-4</v>
      </c>
    </row>
    <row r="125" spans="1:35" x14ac:dyDescent="0.25">
      <c r="A125" t="str">
        <f t="shared" si="3"/>
        <v>13-7-200</v>
      </c>
      <c r="B125">
        <v>13</v>
      </c>
      <c r="C125" s="92" t="s">
        <v>1026</v>
      </c>
      <c r="D125" s="92">
        <v>7</v>
      </c>
      <c r="E125" s="92" t="s">
        <v>586</v>
      </c>
      <c r="F125" s="92">
        <v>200</v>
      </c>
      <c r="G125" s="92" t="s">
        <v>747</v>
      </c>
      <c r="H125" s="92"/>
      <c r="I125" s="92">
        <v>0</v>
      </c>
      <c r="J125" s="92">
        <v>10284529</v>
      </c>
      <c r="K125" s="92" t="s">
        <v>1061</v>
      </c>
      <c r="L125" s="92">
        <v>273</v>
      </c>
      <c r="M125" s="92">
        <v>46</v>
      </c>
      <c r="N125" s="92">
        <v>72</v>
      </c>
      <c r="O125" s="92">
        <v>72</v>
      </c>
      <c r="P125" s="92">
        <v>0</v>
      </c>
      <c r="Q125" s="92">
        <v>0</v>
      </c>
      <c r="R125" s="92">
        <v>0</v>
      </c>
      <c r="S125" s="92">
        <v>0</v>
      </c>
      <c r="T125" s="92">
        <v>0</v>
      </c>
      <c r="U125" s="92">
        <v>0</v>
      </c>
      <c r="V125" s="92">
        <v>0</v>
      </c>
      <c r="W125" s="92">
        <v>0</v>
      </c>
      <c r="X125" s="92">
        <v>0</v>
      </c>
      <c r="Y125" s="92">
        <v>0</v>
      </c>
      <c r="Z125" s="92">
        <v>0</v>
      </c>
      <c r="AA125" s="92">
        <v>0</v>
      </c>
      <c r="AB125" s="92">
        <v>5022</v>
      </c>
      <c r="AC125" s="92">
        <v>5246</v>
      </c>
      <c r="AD125" s="92">
        <v>5566</v>
      </c>
      <c r="AE125" s="92">
        <v>0</v>
      </c>
      <c r="AF125" s="92">
        <v>0</v>
      </c>
      <c r="AG125" s="92">
        <v>0</v>
      </c>
    </row>
    <row r="126" spans="1:35" x14ac:dyDescent="0.25">
      <c r="A126" t="str">
        <f t="shared" si="3"/>
        <v>13-2-13</v>
      </c>
      <c r="B126">
        <v>13</v>
      </c>
      <c r="C126" s="92" t="s">
        <v>1026</v>
      </c>
      <c r="D126" s="92">
        <v>2</v>
      </c>
      <c r="E126" s="92" t="s">
        <v>53</v>
      </c>
      <c r="F126" s="92">
        <v>13</v>
      </c>
      <c r="G126" s="92" t="s">
        <v>215</v>
      </c>
      <c r="H126" s="92"/>
      <c r="I126" s="92">
        <v>30540</v>
      </c>
      <c r="J126" s="92">
        <v>10284529</v>
      </c>
      <c r="K126" s="92" t="s">
        <v>1061</v>
      </c>
      <c r="L126" s="92">
        <v>33749</v>
      </c>
      <c r="M126" s="92">
        <v>8912</v>
      </c>
      <c r="N126" s="92">
        <v>2004</v>
      </c>
      <c r="O126" s="92">
        <v>2004</v>
      </c>
      <c r="P126" s="92">
        <v>0</v>
      </c>
      <c r="Q126" s="92">
        <v>0</v>
      </c>
      <c r="R126" s="92">
        <v>0</v>
      </c>
      <c r="S126" s="92">
        <v>0</v>
      </c>
      <c r="T126" s="92">
        <v>0</v>
      </c>
      <c r="U126" s="92">
        <v>0</v>
      </c>
      <c r="V126" s="92">
        <v>0</v>
      </c>
      <c r="W126" s="92">
        <v>0</v>
      </c>
      <c r="X126" s="92">
        <v>0</v>
      </c>
      <c r="Y126" s="92">
        <v>0</v>
      </c>
      <c r="Z126" s="92">
        <v>0</v>
      </c>
      <c r="AA126" s="92">
        <v>0</v>
      </c>
      <c r="AB126" s="92">
        <v>941224</v>
      </c>
      <c r="AC126" s="92">
        <v>952569</v>
      </c>
      <c r="AD126" s="92">
        <v>1009268</v>
      </c>
      <c r="AE126" s="92">
        <v>0</v>
      </c>
      <c r="AF126" s="92">
        <v>0</v>
      </c>
      <c r="AG126" s="92">
        <v>0</v>
      </c>
    </row>
    <row r="127" spans="1:35" x14ac:dyDescent="0.25">
      <c r="A127" t="str">
        <f t="shared" si="3"/>
        <v>13-15-11</v>
      </c>
      <c r="B127">
        <v>13</v>
      </c>
      <c r="C127" s="92" t="s">
        <v>1026</v>
      </c>
      <c r="D127" s="92">
        <v>15</v>
      </c>
      <c r="E127" s="92" t="s">
        <v>152</v>
      </c>
      <c r="F127" s="92">
        <v>11</v>
      </c>
      <c r="G127" s="92" t="s">
        <v>749</v>
      </c>
      <c r="H127" s="92"/>
      <c r="I127" s="92">
        <v>535</v>
      </c>
      <c r="J127" s="92">
        <v>1460750</v>
      </c>
      <c r="K127" s="92" t="s">
        <v>1061</v>
      </c>
      <c r="L127" s="92">
        <v>27</v>
      </c>
      <c r="M127" s="92">
        <v>162</v>
      </c>
      <c r="N127" s="92">
        <v>5</v>
      </c>
      <c r="O127" s="92">
        <v>5</v>
      </c>
      <c r="P127" s="92">
        <v>0</v>
      </c>
      <c r="Q127" s="92">
        <v>0</v>
      </c>
      <c r="R127" s="92">
        <v>0</v>
      </c>
      <c r="S127" s="92">
        <v>0</v>
      </c>
      <c r="T127" s="92">
        <v>0</v>
      </c>
      <c r="U127" s="92">
        <v>0</v>
      </c>
      <c r="V127" s="92">
        <v>0</v>
      </c>
      <c r="W127" s="92">
        <v>0</v>
      </c>
      <c r="X127" s="92">
        <v>0</v>
      </c>
      <c r="Y127" s="92">
        <v>0</v>
      </c>
      <c r="Z127" s="92">
        <v>0</v>
      </c>
      <c r="AA127" s="92">
        <v>0</v>
      </c>
      <c r="AB127" s="92">
        <v>11766</v>
      </c>
      <c r="AC127" s="92">
        <v>12154</v>
      </c>
      <c r="AD127" s="92">
        <v>12394</v>
      </c>
      <c r="AE127" s="92">
        <v>0</v>
      </c>
      <c r="AF127" s="92">
        <v>0</v>
      </c>
      <c r="AG127" s="92">
        <v>0</v>
      </c>
    </row>
    <row r="128" spans="1:35" x14ac:dyDescent="0.25">
      <c r="A128" t="str">
        <f t="shared" si="3"/>
        <v>13-4-38</v>
      </c>
      <c r="B128">
        <v>13</v>
      </c>
      <c r="C128" s="92" t="s">
        <v>1026</v>
      </c>
      <c r="D128" s="92">
        <v>4</v>
      </c>
      <c r="E128" s="92" t="s">
        <v>66</v>
      </c>
      <c r="F128" s="92">
        <v>38</v>
      </c>
      <c r="G128" s="92" t="s">
        <v>746</v>
      </c>
      <c r="H128" s="92"/>
      <c r="I128" s="92">
        <v>0</v>
      </c>
      <c r="J128" s="92">
        <v>10284529</v>
      </c>
      <c r="K128" s="92" t="s">
        <v>1061</v>
      </c>
      <c r="L128" s="92">
        <v>2315</v>
      </c>
      <c r="M128" s="92">
        <v>6585</v>
      </c>
      <c r="N128" s="92">
        <v>1290</v>
      </c>
      <c r="O128" s="92">
        <v>1290</v>
      </c>
      <c r="P128" s="92">
        <v>0</v>
      </c>
      <c r="Q128" s="92">
        <v>0</v>
      </c>
      <c r="R128" s="92">
        <v>0</v>
      </c>
      <c r="S128" s="92">
        <v>0</v>
      </c>
      <c r="T128" s="92">
        <v>0</v>
      </c>
      <c r="U128" s="92">
        <v>0</v>
      </c>
      <c r="V128" s="92">
        <v>0</v>
      </c>
      <c r="W128" s="92">
        <v>0</v>
      </c>
      <c r="X128" s="92">
        <v>0</v>
      </c>
      <c r="Y128" s="92">
        <v>0</v>
      </c>
      <c r="Z128" s="92">
        <v>0</v>
      </c>
      <c r="AA128" s="92">
        <v>0</v>
      </c>
      <c r="AB128" s="92">
        <v>18511</v>
      </c>
      <c r="AC128" s="92">
        <v>19279</v>
      </c>
      <c r="AD128" s="92">
        <v>20375</v>
      </c>
      <c r="AE128" s="92">
        <v>0</v>
      </c>
      <c r="AF128" s="92">
        <v>0</v>
      </c>
      <c r="AG128" s="92">
        <v>0</v>
      </c>
    </row>
    <row r="129" spans="1:35" x14ac:dyDescent="0.25">
      <c r="A129" t="str">
        <f t="shared" si="3"/>
        <v>44-14-8</v>
      </c>
      <c r="B129">
        <v>44</v>
      </c>
      <c r="C129" s="92" t="s">
        <v>1054</v>
      </c>
      <c r="D129" s="92">
        <v>14</v>
      </c>
      <c r="E129" s="92" t="s">
        <v>571</v>
      </c>
      <c r="F129" s="92">
        <v>8</v>
      </c>
      <c r="G129" s="92" t="s">
        <v>1015</v>
      </c>
      <c r="H129" s="92"/>
      <c r="I129" s="92">
        <v>583</v>
      </c>
      <c r="J129" s="92">
        <v>105049779</v>
      </c>
      <c r="K129" s="92" t="s">
        <v>1061</v>
      </c>
      <c r="L129" s="92">
        <v>635</v>
      </c>
      <c r="M129" s="92">
        <v>515</v>
      </c>
      <c r="N129" s="92">
        <v>178</v>
      </c>
      <c r="O129" s="92">
        <v>178</v>
      </c>
      <c r="P129" s="92">
        <v>0</v>
      </c>
      <c r="Q129" s="92">
        <v>0</v>
      </c>
      <c r="R129" s="92">
        <v>0</v>
      </c>
      <c r="S129" s="92">
        <v>0</v>
      </c>
      <c r="T129" s="92">
        <v>0</v>
      </c>
      <c r="U129" s="92">
        <v>0</v>
      </c>
      <c r="V129" s="92">
        <v>0</v>
      </c>
      <c r="W129" s="92">
        <v>0</v>
      </c>
      <c r="X129" s="92">
        <v>0</v>
      </c>
      <c r="Y129" s="92">
        <v>0</v>
      </c>
      <c r="Z129" s="92">
        <v>0</v>
      </c>
      <c r="AA129" s="92">
        <v>0</v>
      </c>
      <c r="AB129" s="92">
        <v>63797</v>
      </c>
      <c r="AC129" s="92">
        <v>66343</v>
      </c>
      <c r="AD129" s="92">
        <v>69044</v>
      </c>
      <c r="AE129" s="92">
        <v>0</v>
      </c>
      <c r="AF129" s="92">
        <v>0</v>
      </c>
      <c r="AG129" s="92">
        <v>0</v>
      </c>
      <c r="AI129" s="250">
        <v>2.8076099999999998E-4</v>
      </c>
    </row>
    <row r="130" spans="1:35" x14ac:dyDescent="0.25">
      <c r="A130" t="str">
        <f t="shared" ref="A130:A161" si="4">B130&amp;"-"&amp;D130&amp;"-"&amp;F130</f>
        <v>44-9-8</v>
      </c>
      <c r="B130">
        <v>44</v>
      </c>
      <c r="C130" s="92" t="s">
        <v>1054</v>
      </c>
      <c r="D130" s="92">
        <v>9</v>
      </c>
      <c r="E130" s="92" t="s">
        <v>588</v>
      </c>
      <c r="F130" s="92">
        <v>8</v>
      </c>
      <c r="G130" s="92" t="s">
        <v>1011</v>
      </c>
      <c r="H130" s="92"/>
      <c r="I130" s="92">
        <v>3271</v>
      </c>
      <c r="J130" s="92">
        <v>0</v>
      </c>
      <c r="K130" s="92" t="s">
        <v>1061</v>
      </c>
      <c r="L130" s="92">
        <v>501</v>
      </c>
      <c r="M130" s="92">
        <v>528</v>
      </c>
      <c r="N130" s="92">
        <v>223</v>
      </c>
      <c r="O130" s="92">
        <v>223</v>
      </c>
      <c r="P130" s="92">
        <v>0</v>
      </c>
      <c r="Q130" s="92">
        <v>0</v>
      </c>
      <c r="R130" s="92">
        <v>0</v>
      </c>
      <c r="S130" s="92">
        <v>0</v>
      </c>
      <c r="T130" s="92">
        <v>0</v>
      </c>
      <c r="U130" s="92">
        <v>0</v>
      </c>
      <c r="V130" s="92">
        <v>0</v>
      </c>
      <c r="W130" s="92">
        <v>0</v>
      </c>
      <c r="X130" s="92">
        <v>0</v>
      </c>
      <c r="Y130" s="92">
        <v>0</v>
      </c>
      <c r="Z130" s="92">
        <v>0</v>
      </c>
      <c r="AA130" s="92">
        <v>0</v>
      </c>
      <c r="AB130" s="92">
        <v>39604</v>
      </c>
      <c r="AC130" s="92">
        <v>41523</v>
      </c>
      <c r="AD130" s="92">
        <v>43443</v>
      </c>
      <c r="AE130" s="92">
        <v>0</v>
      </c>
      <c r="AF130" s="92">
        <v>0</v>
      </c>
      <c r="AG130" s="92">
        <v>0</v>
      </c>
      <c r="AI130" s="250">
        <v>3.5083E-4</v>
      </c>
    </row>
    <row r="131" spans="1:35" x14ac:dyDescent="0.25">
      <c r="A131" t="str">
        <f t="shared" si="4"/>
        <v>2-4-180</v>
      </c>
      <c r="B131">
        <v>2</v>
      </c>
      <c r="C131" s="92" t="s">
        <v>1017</v>
      </c>
      <c r="D131" s="92">
        <v>4</v>
      </c>
      <c r="E131" s="92" t="s">
        <v>66</v>
      </c>
      <c r="F131" s="92">
        <v>180</v>
      </c>
      <c r="G131" s="92" t="s">
        <v>627</v>
      </c>
      <c r="H131" s="92"/>
      <c r="I131" s="92">
        <v>0</v>
      </c>
      <c r="J131" s="92">
        <v>5160822</v>
      </c>
      <c r="K131" s="92">
        <v>1</v>
      </c>
      <c r="L131" s="92">
        <v>8114</v>
      </c>
      <c r="M131" s="92">
        <v>3910</v>
      </c>
      <c r="N131" s="92">
        <v>489</v>
      </c>
      <c r="O131" s="92">
        <v>489</v>
      </c>
      <c r="P131" s="92">
        <v>0</v>
      </c>
      <c r="Q131" s="92">
        <v>0</v>
      </c>
      <c r="R131" s="92">
        <v>0</v>
      </c>
      <c r="S131" s="92">
        <v>0</v>
      </c>
      <c r="T131" s="92">
        <v>0</v>
      </c>
      <c r="U131" s="92">
        <v>0</v>
      </c>
      <c r="V131" s="92">
        <v>0</v>
      </c>
      <c r="W131" s="92">
        <v>0</v>
      </c>
      <c r="X131" s="92">
        <v>0</v>
      </c>
      <c r="Y131" s="92">
        <v>0</v>
      </c>
      <c r="Z131" s="92">
        <v>0</v>
      </c>
      <c r="AA131" s="92">
        <v>0</v>
      </c>
      <c r="AB131" s="92">
        <v>13897</v>
      </c>
      <c r="AC131" s="92">
        <v>14444</v>
      </c>
      <c r="AD131" s="92">
        <v>15008</v>
      </c>
      <c r="AE131" s="92">
        <v>0</v>
      </c>
      <c r="AF131" s="92">
        <v>0</v>
      </c>
      <c r="AG131" s="92">
        <v>0</v>
      </c>
    </row>
    <row r="132" spans="1:35" x14ac:dyDescent="0.25">
      <c r="A132" t="str">
        <f t="shared" si="4"/>
        <v>44-4-180</v>
      </c>
      <c r="B132">
        <v>44</v>
      </c>
      <c r="C132" s="92" t="s">
        <v>1054</v>
      </c>
      <c r="D132" s="92">
        <v>4</v>
      </c>
      <c r="E132" s="92" t="s">
        <v>66</v>
      </c>
      <c r="F132" s="92">
        <v>180</v>
      </c>
      <c r="G132" s="92" t="s">
        <v>627</v>
      </c>
      <c r="H132" s="92"/>
      <c r="I132" s="92">
        <v>0</v>
      </c>
      <c r="J132" s="92">
        <v>105049779</v>
      </c>
      <c r="K132" s="92">
        <v>1</v>
      </c>
      <c r="L132" s="92">
        <v>8114</v>
      </c>
      <c r="M132" s="92">
        <v>3910</v>
      </c>
      <c r="N132" s="92">
        <v>489</v>
      </c>
      <c r="O132" s="92">
        <v>489</v>
      </c>
      <c r="P132" s="92">
        <v>0</v>
      </c>
      <c r="Q132" s="92">
        <v>0</v>
      </c>
      <c r="R132" s="92">
        <v>0</v>
      </c>
      <c r="S132" s="92">
        <v>0</v>
      </c>
      <c r="T132" s="92">
        <v>0</v>
      </c>
      <c r="U132" s="92">
        <v>0</v>
      </c>
      <c r="V132" s="92">
        <v>0</v>
      </c>
      <c r="W132" s="92">
        <v>0</v>
      </c>
      <c r="X132" s="92">
        <v>0</v>
      </c>
      <c r="Y132" s="92">
        <v>0</v>
      </c>
      <c r="Z132" s="92">
        <v>0</v>
      </c>
      <c r="AA132" s="92">
        <v>0</v>
      </c>
      <c r="AB132" s="92">
        <v>13897</v>
      </c>
      <c r="AC132" s="92">
        <v>14444</v>
      </c>
      <c r="AD132" s="92">
        <v>15008</v>
      </c>
      <c r="AE132" s="92">
        <v>0</v>
      </c>
      <c r="AF132" s="92">
        <v>0</v>
      </c>
      <c r="AG132" s="92">
        <v>0</v>
      </c>
    </row>
    <row r="133" spans="1:35" x14ac:dyDescent="0.25">
      <c r="A133" t="str">
        <f t="shared" si="4"/>
        <v>14-2-14</v>
      </c>
      <c r="B133">
        <v>14</v>
      </c>
      <c r="C133" s="92" t="s">
        <v>1027</v>
      </c>
      <c r="D133" s="92">
        <v>2</v>
      </c>
      <c r="E133" s="92" t="s">
        <v>53</v>
      </c>
      <c r="F133" s="92">
        <v>14</v>
      </c>
      <c r="G133" s="92" t="s">
        <v>217</v>
      </c>
      <c r="H133" s="92"/>
      <c r="I133" s="92">
        <v>4666746</v>
      </c>
      <c r="J133" s="92">
        <v>462983802</v>
      </c>
      <c r="K133" s="92" t="s">
        <v>1061</v>
      </c>
      <c r="L133" s="92">
        <v>406070</v>
      </c>
      <c r="M133" s="92">
        <v>443402</v>
      </c>
      <c r="N133" s="92">
        <v>58760</v>
      </c>
      <c r="O133" s="92">
        <v>58760</v>
      </c>
      <c r="P133" s="92">
        <v>0</v>
      </c>
      <c r="Q133" s="92">
        <v>0</v>
      </c>
      <c r="R133" s="92">
        <v>0</v>
      </c>
      <c r="S133" s="92">
        <v>0</v>
      </c>
      <c r="T133" s="92">
        <v>0</v>
      </c>
      <c r="U133" s="92">
        <v>0</v>
      </c>
      <c r="V133" s="92">
        <v>0</v>
      </c>
      <c r="W133" s="92">
        <v>0</v>
      </c>
      <c r="X133" s="92">
        <v>0</v>
      </c>
      <c r="Y133" s="92">
        <v>0</v>
      </c>
      <c r="Z133" s="92">
        <v>0</v>
      </c>
      <c r="AA133" s="92">
        <v>0</v>
      </c>
      <c r="AB133" s="92">
        <v>56351934</v>
      </c>
      <c r="AC133" s="92">
        <v>58858309</v>
      </c>
      <c r="AD133" s="92">
        <v>62993799</v>
      </c>
      <c r="AE133" s="92">
        <v>1651736</v>
      </c>
      <c r="AF133" s="92">
        <v>0</v>
      </c>
      <c r="AG133" s="92">
        <v>0</v>
      </c>
    </row>
    <row r="134" spans="1:35" x14ac:dyDescent="0.25">
      <c r="A134" t="str">
        <f t="shared" si="4"/>
        <v>14-15-12</v>
      </c>
      <c r="B134">
        <v>14</v>
      </c>
      <c r="C134" s="92" t="s">
        <v>1027</v>
      </c>
      <c r="D134" s="92">
        <v>15</v>
      </c>
      <c r="E134" s="92" t="s">
        <v>152</v>
      </c>
      <c r="F134" s="92">
        <v>12</v>
      </c>
      <c r="G134" s="92" t="s">
        <v>760</v>
      </c>
      <c r="H134" s="92"/>
      <c r="I134" s="92">
        <v>673201</v>
      </c>
      <c r="J134" s="92">
        <v>462983802</v>
      </c>
      <c r="K134" s="92" t="s">
        <v>1061</v>
      </c>
      <c r="L134" s="92">
        <v>1103</v>
      </c>
      <c r="M134" s="92">
        <v>13650</v>
      </c>
      <c r="N134" s="92">
        <v>4482</v>
      </c>
      <c r="O134" s="92">
        <v>4482</v>
      </c>
      <c r="P134" s="92">
        <v>0</v>
      </c>
      <c r="Q134" s="92">
        <v>0</v>
      </c>
      <c r="R134" s="92">
        <v>0</v>
      </c>
      <c r="S134" s="92">
        <v>0</v>
      </c>
      <c r="T134" s="92">
        <v>0</v>
      </c>
      <c r="U134" s="92">
        <v>0</v>
      </c>
      <c r="V134" s="92">
        <v>0</v>
      </c>
      <c r="W134" s="92">
        <v>0</v>
      </c>
      <c r="X134" s="92">
        <v>0</v>
      </c>
      <c r="Y134" s="92">
        <v>0</v>
      </c>
      <c r="Z134" s="92">
        <v>0</v>
      </c>
      <c r="AA134" s="92">
        <v>0</v>
      </c>
      <c r="AB134" s="92">
        <v>3326049</v>
      </c>
      <c r="AC134" s="92">
        <v>3540594</v>
      </c>
      <c r="AD134" s="92">
        <v>3748346</v>
      </c>
      <c r="AE134" s="92">
        <v>0</v>
      </c>
      <c r="AF134" s="92">
        <v>0</v>
      </c>
      <c r="AG134" s="92">
        <v>0</v>
      </c>
    </row>
    <row r="135" spans="1:35" x14ac:dyDescent="0.25">
      <c r="A135" t="str">
        <f t="shared" si="4"/>
        <v>14-5-3</v>
      </c>
      <c r="B135">
        <v>14</v>
      </c>
      <c r="C135" s="92" t="s">
        <v>1027</v>
      </c>
      <c r="D135" s="92">
        <v>5</v>
      </c>
      <c r="E135" s="92" t="s">
        <v>200</v>
      </c>
      <c r="F135" s="92">
        <v>3</v>
      </c>
      <c r="G135" s="92" t="s">
        <v>227</v>
      </c>
      <c r="H135" s="92"/>
      <c r="I135" s="92">
        <v>0</v>
      </c>
      <c r="J135" s="92">
        <v>462983802</v>
      </c>
      <c r="K135" s="92" t="s">
        <v>1061</v>
      </c>
      <c r="L135" s="92">
        <v>17502</v>
      </c>
      <c r="M135" s="92">
        <v>22794</v>
      </c>
      <c r="N135" s="92">
        <v>4789</v>
      </c>
      <c r="O135" s="92">
        <v>4789</v>
      </c>
      <c r="P135" s="92">
        <v>0</v>
      </c>
      <c r="Q135" s="92">
        <v>0</v>
      </c>
      <c r="R135" s="92">
        <v>0</v>
      </c>
      <c r="S135" s="92">
        <v>0</v>
      </c>
      <c r="T135" s="92">
        <v>0</v>
      </c>
      <c r="U135" s="92">
        <v>0</v>
      </c>
      <c r="V135" s="92">
        <v>0</v>
      </c>
      <c r="W135" s="92">
        <v>0</v>
      </c>
      <c r="X135" s="92">
        <v>0</v>
      </c>
      <c r="Y135" s="92">
        <v>0</v>
      </c>
      <c r="Z135" s="92">
        <v>0</v>
      </c>
      <c r="AA135" s="92">
        <v>0</v>
      </c>
      <c r="AB135" s="92">
        <v>3539813</v>
      </c>
      <c r="AC135" s="92">
        <v>3725500</v>
      </c>
      <c r="AD135" s="92">
        <v>3946622</v>
      </c>
      <c r="AE135" s="92">
        <v>41560</v>
      </c>
      <c r="AF135" s="92">
        <v>0</v>
      </c>
      <c r="AG135" s="92">
        <v>0</v>
      </c>
      <c r="AI135">
        <v>9.4994000000000006E-5</v>
      </c>
    </row>
    <row r="136" spans="1:35" x14ac:dyDescent="0.25">
      <c r="A136" t="str">
        <f t="shared" si="4"/>
        <v>14-8-8</v>
      </c>
      <c r="B136">
        <v>14</v>
      </c>
      <c r="C136" s="92" t="s">
        <v>1027</v>
      </c>
      <c r="D136" s="92">
        <v>8</v>
      </c>
      <c r="E136" s="92" t="s">
        <v>587</v>
      </c>
      <c r="F136" s="92">
        <v>8</v>
      </c>
      <c r="G136" s="92" t="s">
        <v>249</v>
      </c>
      <c r="H136" s="92"/>
      <c r="I136" s="92">
        <v>57747</v>
      </c>
      <c r="J136" s="92">
        <v>261228560</v>
      </c>
      <c r="K136" s="92" t="s">
        <v>1061</v>
      </c>
      <c r="L136" s="92">
        <v>4124</v>
      </c>
      <c r="M136" s="92">
        <v>1893</v>
      </c>
      <c r="N136" s="92">
        <v>229</v>
      </c>
      <c r="O136" s="92">
        <v>229</v>
      </c>
      <c r="P136" s="92">
        <v>0</v>
      </c>
      <c r="Q136" s="92">
        <v>0</v>
      </c>
      <c r="R136" s="92">
        <v>0</v>
      </c>
      <c r="S136" s="92">
        <v>0</v>
      </c>
      <c r="T136" s="92">
        <v>0</v>
      </c>
      <c r="U136" s="92">
        <v>0</v>
      </c>
      <c r="V136" s="92">
        <v>0</v>
      </c>
      <c r="W136" s="92">
        <v>0</v>
      </c>
      <c r="X136" s="92">
        <v>0</v>
      </c>
      <c r="Y136" s="92">
        <v>0</v>
      </c>
      <c r="Z136" s="92">
        <v>0</v>
      </c>
      <c r="AA136" s="92">
        <v>0</v>
      </c>
      <c r="AB136" s="92">
        <v>289309</v>
      </c>
      <c r="AC136" s="92">
        <v>289309</v>
      </c>
      <c r="AD136" s="92">
        <v>289309</v>
      </c>
      <c r="AE136" s="92">
        <v>0</v>
      </c>
      <c r="AF136" s="92">
        <v>0</v>
      </c>
      <c r="AG136" s="92">
        <v>0</v>
      </c>
    </row>
    <row r="137" spans="1:35" x14ac:dyDescent="0.25">
      <c r="A137" t="str">
        <f t="shared" si="4"/>
        <v>7-7-16</v>
      </c>
      <c r="B137">
        <v>7</v>
      </c>
      <c r="C137" s="92" t="s">
        <v>1057</v>
      </c>
      <c r="D137" s="92">
        <v>7</v>
      </c>
      <c r="E137" s="92" t="s">
        <v>586</v>
      </c>
      <c r="F137" s="92">
        <v>16</v>
      </c>
      <c r="G137" s="92" t="s">
        <v>162</v>
      </c>
      <c r="H137" s="92"/>
      <c r="I137" s="92">
        <v>0</v>
      </c>
      <c r="J137" s="92">
        <v>6755655</v>
      </c>
      <c r="K137" s="92" t="s">
        <v>1061</v>
      </c>
      <c r="L137" s="92">
        <v>397</v>
      </c>
      <c r="M137" s="92">
        <v>254</v>
      </c>
      <c r="N137" s="92">
        <v>57</v>
      </c>
      <c r="O137" s="92">
        <v>57</v>
      </c>
      <c r="P137" s="92">
        <v>0</v>
      </c>
      <c r="Q137" s="92">
        <v>0</v>
      </c>
      <c r="R137" s="92">
        <v>0</v>
      </c>
      <c r="S137" s="92">
        <v>0</v>
      </c>
      <c r="T137" s="92">
        <v>0</v>
      </c>
      <c r="U137" s="92">
        <v>0</v>
      </c>
      <c r="V137" s="92">
        <v>0</v>
      </c>
      <c r="W137" s="92">
        <v>0</v>
      </c>
      <c r="X137" s="92">
        <v>0</v>
      </c>
      <c r="Y137" s="92">
        <v>0</v>
      </c>
      <c r="Z137" s="92">
        <v>0</v>
      </c>
      <c r="AA137" s="92">
        <v>0</v>
      </c>
      <c r="AB137" s="92">
        <v>19935</v>
      </c>
      <c r="AC137" s="92">
        <v>20236</v>
      </c>
      <c r="AD137" s="92">
        <v>20236</v>
      </c>
      <c r="AE137" s="92">
        <v>0</v>
      </c>
      <c r="AF137" s="92">
        <v>0</v>
      </c>
      <c r="AG137" s="92">
        <v>0</v>
      </c>
    </row>
    <row r="138" spans="1:35" x14ac:dyDescent="0.25">
      <c r="A138" t="str">
        <f t="shared" si="4"/>
        <v>7-9-9</v>
      </c>
      <c r="B138">
        <v>7</v>
      </c>
      <c r="C138" s="92" t="s">
        <v>1057</v>
      </c>
      <c r="D138" s="92">
        <v>9</v>
      </c>
      <c r="E138" s="92" t="s">
        <v>588</v>
      </c>
      <c r="F138" s="92">
        <v>9</v>
      </c>
      <c r="G138" s="92" t="s">
        <v>691</v>
      </c>
      <c r="H138" s="92"/>
      <c r="I138" s="92">
        <v>4101</v>
      </c>
      <c r="J138" s="92">
        <v>446194</v>
      </c>
      <c r="K138" s="92" t="s">
        <v>1061</v>
      </c>
      <c r="L138" s="92">
        <v>0</v>
      </c>
      <c r="M138" s="92">
        <v>0</v>
      </c>
      <c r="N138" s="92">
        <v>0</v>
      </c>
      <c r="O138" s="92">
        <v>0</v>
      </c>
      <c r="P138" s="92">
        <v>0</v>
      </c>
      <c r="Q138" s="92">
        <v>0</v>
      </c>
      <c r="R138" s="92">
        <v>0</v>
      </c>
      <c r="S138" s="92">
        <v>0</v>
      </c>
      <c r="T138" s="92">
        <v>0</v>
      </c>
      <c r="U138" s="92">
        <v>0</v>
      </c>
      <c r="V138" s="92">
        <v>0</v>
      </c>
      <c r="W138" s="92">
        <v>0</v>
      </c>
      <c r="X138" s="92">
        <v>0</v>
      </c>
      <c r="Y138" s="92">
        <v>0</v>
      </c>
      <c r="Z138" s="92">
        <v>0</v>
      </c>
      <c r="AA138" s="92">
        <v>0</v>
      </c>
      <c r="AB138" s="92">
        <v>169121</v>
      </c>
      <c r="AC138" s="92">
        <v>177004</v>
      </c>
      <c r="AD138" s="92">
        <v>187229</v>
      </c>
      <c r="AE138" s="92">
        <v>0</v>
      </c>
      <c r="AF138" s="92">
        <v>0</v>
      </c>
      <c r="AG138" s="92">
        <v>0</v>
      </c>
      <c r="AI138" s="250">
        <v>1.0647720000000001E-3</v>
      </c>
    </row>
    <row r="139" spans="1:35" x14ac:dyDescent="0.25">
      <c r="A139" t="str">
        <f t="shared" si="4"/>
        <v>7-10-5</v>
      </c>
      <c r="B139">
        <v>7</v>
      </c>
      <c r="C139" s="92" t="s">
        <v>1057</v>
      </c>
      <c r="D139" s="92">
        <v>10</v>
      </c>
      <c r="E139" s="92" t="s">
        <v>589</v>
      </c>
      <c r="F139" s="92">
        <v>5</v>
      </c>
      <c r="G139" s="92" t="s">
        <v>694</v>
      </c>
      <c r="H139" s="92"/>
      <c r="I139" s="92">
        <v>519</v>
      </c>
      <c r="J139" s="92">
        <v>0</v>
      </c>
      <c r="K139" s="92" t="s">
        <v>1061</v>
      </c>
      <c r="L139" s="92">
        <v>0</v>
      </c>
      <c r="M139" s="92">
        <v>0</v>
      </c>
      <c r="N139" s="92">
        <v>0</v>
      </c>
      <c r="O139" s="92">
        <v>0</v>
      </c>
      <c r="P139" s="92">
        <v>0</v>
      </c>
      <c r="Q139" s="92">
        <v>0</v>
      </c>
      <c r="R139" s="92">
        <v>0</v>
      </c>
      <c r="S139" s="92">
        <v>0</v>
      </c>
      <c r="T139" s="92">
        <v>0</v>
      </c>
      <c r="U139" s="92">
        <v>0</v>
      </c>
      <c r="V139" s="92">
        <v>0</v>
      </c>
      <c r="W139" s="92">
        <v>0</v>
      </c>
      <c r="X139" s="92">
        <v>0</v>
      </c>
      <c r="Y139" s="92">
        <v>0</v>
      </c>
      <c r="Z139" s="92">
        <v>0</v>
      </c>
      <c r="AA139" s="92">
        <v>0</v>
      </c>
      <c r="AB139" s="92">
        <v>5804</v>
      </c>
      <c r="AC139" s="92">
        <v>0</v>
      </c>
      <c r="AD139" s="92">
        <v>5978</v>
      </c>
      <c r="AE139" s="92">
        <v>0</v>
      </c>
      <c r="AF139" s="92">
        <v>0</v>
      </c>
      <c r="AG139" s="92">
        <v>0</v>
      </c>
    </row>
    <row r="140" spans="1:35" x14ac:dyDescent="0.25">
      <c r="A140" t="str">
        <f t="shared" si="4"/>
        <v>15-11-82</v>
      </c>
      <c r="B140">
        <v>15</v>
      </c>
      <c r="C140" s="92" t="s">
        <v>1028</v>
      </c>
      <c r="D140" s="92">
        <v>11</v>
      </c>
      <c r="E140" s="92" t="s">
        <v>1062</v>
      </c>
      <c r="F140" s="92">
        <v>82</v>
      </c>
      <c r="G140" s="92" t="s">
        <v>765</v>
      </c>
      <c r="H140" s="92">
        <v>1</v>
      </c>
      <c r="I140" s="92">
        <v>0</v>
      </c>
      <c r="J140" s="92">
        <v>224892243</v>
      </c>
      <c r="K140" s="92" t="s">
        <v>1061</v>
      </c>
      <c r="L140" s="92">
        <v>0</v>
      </c>
      <c r="M140" s="92">
        <v>0</v>
      </c>
      <c r="N140" s="92">
        <v>0</v>
      </c>
      <c r="O140" s="92">
        <v>0</v>
      </c>
      <c r="P140" s="92">
        <v>0</v>
      </c>
      <c r="Q140" s="92">
        <v>0</v>
      </c>
      <c r="R140" s="92">
        <v>0</v>
      </c>
      <c r="S140" s="92">
        <v>0</v>
      </c>
      <c r="T140" s="92">
        <v>0</v>
      </c>
      <c r="U140" s="92">
        <v>0</v>
      </c>
      <c r="V140" s="92">
        <v>0</v>
      </c>
      <c r="W140" s="92">
        <v>0</v>
      </c>
      <c r="X140" s="92">
        <v>0</v>
      </c>
      <c r="Y140" s="92">
        <v>0</v>
      </c>
      <c r="Z140" s="92">
        <v>0</v>
      </c>
      <c r="AA140" s="92">
        <v>0</v>
      </c>
      <c r="AB140" s="92">
        <v>790547</v>
      </c>
      <c r="AC140" s="92">
        <v>804362</v>
      </c>
      <c r="AD140" s="92">
        <v>621099</v>
      </c>
      <c r="AE140" s="92">
        <v>0</v>
      </c>
      <c r="AF140" s="92">
        <v>0</v>
      </c>
      <c r="AG140" s="92">
        <v>0</v>
      </c>
    </row>
    <row r="141" spans="1:35" x14ac:dyDescent="0.25">
      <c r="A141" t="str">
        <f t="shared" si="4"/>
        <v>15-2-15</v>
      </c>
      <c r="B141">
        <v>15</v>
      </c>
      <c r="C141" s="92" t="s">
        <v>1028</v>
      </c>
      <c r="D141" s="92">
        <v>2</v>
      </c>
      <c r="E141" s="92" t="s">
        <v>53</v>
      </c>
      <c r="F141" s="92">
        <v>15</v>
      </c>
      <c r="G141" s="92" t="s">
        <v>252</v>
      </c>
      <c r="H141" s="92"/>
      <c r="I141" s="92">
        <v>833303</v>
      </c>
      <c r="J141" s="92">
        <v>224892243</v>
      </c>
      <c r="K141" s="92" t="s">
        <v>1061</v>
      </c>
      <c r="L141" s="92">
        <v>87626</v>
      </c>
      <c r="M141" s="92">
        <v>65223</v>
      </c>
      <c r="N141" s="92">
        <v>27408</v>
      </c>
      <c r="O141" s="92">
        <v>27258</v>
      </c>
      <c r="P141" s="92">
        <v>0</v>
      </c>
      <c r="Q141" s="92">
        <v>0</v>
      </c>
      <c r="R141" s="92">
        <v>0</v>
      </c>
      <c r="S141" s="92">
        <v>0</v>
      </c>
      <c r="T141" s="92">
        <v>0</v>
      </c>
      <c r="U141" s="92">
        <v>0</v>
      </c>
      <c r="V141" s="92">
        <v>0</v>
      </c>
      <c r="W141" s="92">
        <v>0</v>
      </c>
      <c r="X141" s="92">
        <v>0</v>
      </c>
      <c r="Y141" s="92">
        <v>0</v>
      </c>
      <c r="Z141" s="92">
        <v>0</v>
      </c>
      <c r="AA141" s="92">
        <v>0</v>
      </c>
      <c r="AB141" s="92">
        <f>6144547+790547</f>
        <v>6935094</v>
      </c>
      <c r="AC141" s="92">
        <f>6208653+804362</f>
        <v>7013015</v>
      </c>
      <c r="AD141" s="92">
        <f>6467606+621099</f>
        <v>7088705</v>
      </c>
      <c r="AE141" s="92">
        <v>0</v>
      </c>
      <c r="AF141" s="92">
        <v>0</v>
      </c>
      <c r="AG141" s="92">
        <v>0</v>
      </c>
    </row>
    <row r="142" spans="1:35" x14ac:dyDescent="0.25">
      <c r="A142" t="str">
        <f t="shared" si="4"/>
        <v>43-12-16</v>
      </c>
      <c r="B142">
        <v>43</v>
      </c>
      <c r="C142" s="92" t="s">
        <v>1053</v>
      </c>
      <c r="D142" s="92">
        <v>12</v>
      </c>
      <c r="E142" s="92" t="s">
        <v>71</v>
      </c>
      <c r="F142" s="92">
        <v>16</v>
      </c>
      <c r="G142" s="92" t="s">
        <v>1159</v>
      </c>
      <c r="H142" s="92"/>
      <c r="I142" s="92">
        <v>38355</v>
      </c>
      <c r="J142" s="92">
        <v>28472253</v>
      </c>
      <c r="K142" s="92" t="s">
        <v>1061</v>
      </c>
      <c r="L142" s="92">
        <v>381</v>
      </c>
      <c r="M142" s="92">
        <v>4430</v>
      </c>
      <c r="N142" s="92">
        <v>554</v>
      </c>
      <c r="O142" s="92">
        <v>554</v>
      </c>
      <c r="P142" s="92">
        <v>0</v>
      </c>
      <c r="Q142" s="92">
        <v>0</v>
      </c>
      <c r="R142" s="92">
        <v>0</v>
      </c>
      <c r="S142" s="92">
        <v>0</v>
      </c>
      <c r="T142" s="92">
        <v>0</v>
      </c>
      <c r="U142" s="92">
        <v>0</v>
      </c>
      <c r="V142" s="92">
        <v>0</v>
      </c>
      <c r="W142" s="92">
        <v>0</v>
      </c>
      <c r="X142" s="92">
        <v>0</v>
      </c>
      <c r="Y142" s="92">
        <v>0</v>
      </c>
      <c r="Z142" s="92">
        <v>0</v>
      </c>
      <c r="AA142" s="92">
        <v>0</v>
      </c>
      <c r="AB142" s="92">
        <v>993298</v>
      </c>
      <c r="AC142" s="92">
        <v>1053702</v>
      </c>
      <c r="AD142" s="92">
        <v>1123961</v>
      </c>
      <c r="AE142" s="92">
        <v>0</v>
      </c>
      <c r="AF142" s="92">
        <v>0</v>
      </c>
      <c r="AG142" s="92">
        <v>0</v>
      </c>
    </row>
    <row r="143" spans="1:35" x14ac:dyDescent="0.25">
      <c r="A143" t="str">
        <f t="shared" si="4"/>
        <v>43-9-120</v>
      </c>
      <c r="B143">
        <v>43</v>
      </c>
      <c r="C143" s="92" t="s">
        <v>1053</v>
      </c>
      <c r="D143" s="92">
        <v>9</v>
      </c>
      <c r="E143" s="92" t="s">
        <v>588</v>
      </c>
      <c r="F143" s="92">
        <v>120</v>
      </c>
      <c r="G143" s="92" t="s">
        <v>1001</v>
      </c>
      <c r="H143" s="92"/>
      <c r="I143" s="92">
        <v>0</v>
      </c>
      <c r="J143" s="92">
        <v>0</v>
      </c>
      <c r="K143" s="92" t="s">
        <v>1061</v>
      </c>
      <c r="L143" s="92">
        <v>183</v>
      </c>
      <c r="M143" s="92">
        <v>1419</v>
      </c>
      <c r="N143" s="92">
        <v>247</v>
      </c>
      <c r="O143" s="92">
        <v>247</v>
      </c>
      <c r="P143" s="92">
        <v>0</v>
      </c>
      <c r="Q143" s="92">
        <v>0</v>
      </c>
      <c r="R143" s="92">
        <v>0</v>
      </c>
      <c r="S143" s="92">
        <v>0</v>
      </c>
      <c r="T143" s="92">
        <v>0</v>
      </c>
      <c r="U143" s="92">
        <v>0</v>
      </c>
      <c r="V143" s="92">
        <v>0</v>
      </c>
      <c r="W143" s="92">
        <v>0</v>
      </c>
      <c r="X143" s="92">
        <v>0</v>
      </c>
      <c r="Y143" s="92">
        <v>0</v>
      </c>
      <c r="Z143" s="92">
        <v>0</v>
      </c>
      <c r="AA143" s="92">
        <v>0</v>
      </c>
      <c r="AB143" s="92">
        <v>395956</v>
      </c>
      <c r="AC143" s="92">
        <v>414365</v>
      </c>
      <c r="AD143" s="92">
        <v>433464</v>
      </c>
      <c r="AE143" s="92">
        <v>0</v>
      </c>
      <c r="AF143" s="92">
        <v>0</v>
      </c>
      <c r="AG143" s="92">
        <v>0</v>
      </c>
      <c r="AI143" s="250">
        <v>3.11656E-4</v>
      </c>
    </row>
    <row r="144" spans="1:35" x14ac:dyDescent="0.25">
      <c r="A144" t="str">
        <f t="shared" si="4"/>
        <v>43-4-178</v>
      </c>
      <c r="B144">
        <v>43</v>
      </c>
      <c r="C144" s="92" t="s">
        <v>1053</v>
      </c>
      <c r="D144" s="92">
        <v>4</v>
      </c>
      <c r="E144" s="92" t="s">
        <v>66</v>
      </c>
      <c r="F144" s="92">
        <v>178</v>
      </c>
      <c r="G144" s="92" t="s">
        <v>1000</v>
      </c>
      <c r="H144" s="92"/>
      <c r="I144" s="92">
        <v>0</v>
      </c>
      <c r="J144" s="92">
        <v>23113201</v>
      </c>
      <c r="K144" s="92" t="s">
        <v>1061</v>
      </c>
      <c r="L144" s="92">
        <v>14</v>
      </c>
      <c r="M144" s="92">
        <v>5916</v>
      </c>
      <c r="N144" s="92">
        <v>496</v>
      </c>
      <c r="O144" s="92">
        <v>496</v>
      </c>
      <c r="P144" s="92">
        <v>0</v>
      </c>
      <c r="Q144" s="92">
        <v>0</v>
      </c>
      <c r="R144" s="92">
        <v>0</v>
      </c>
      <c r="S144" s="92">
        <v>0</v>
      </c>
      <c r="T144" s="92">
        <v>0</v>
      </c>
      <c r="U144" s="92">
        <v>0</v>
      </c>
      <c r="V144" s="92">
        <v>0</v>
      </c>
      <c r="W144" s="92">
        <v>0</v>
      </c>
      <c r="X144" s="92">
        <v>0</v>
      </c>
      <c r="Y144" s="92">
        <v>0</v>
      </c>
      <c r="Z144" s="92">
        <v>0</v>
      </c>
      <c r="AA144" s="92">
        <v>0</v>
      </c>
      <c r="AB144" s="92">
        <v>15975</v>
      </c>
      <c r="AC144" s="92">
        <v>16732</v>
      </c>
      <c r="AD144" s="92">
        <v>17547</v>
      </c>
      <c r="AE144" s="92">
        <v>0</v>
      </c>
      <c r="AF144" s="92">
        <v>0</v>
      </c>
      <c r="AG144" s="92">
        <v>0</v>
      </c>
    </row>
    <row r="145" spans="1:35" x14ac:dyDescent="0.25">
      <c r="A145" t="str">
        <f t="shared" si="4"/>
        <v>16-2-16</v>
      </c>
      <c r="B145">
        <v>16</v>
      </c>
      <c r="C145" s="92" t="s">
        <v>1029</v>
      </c>
      <c r="D145" s="92">
        <v>2</v>
      </c>
      <c r="E145" s="92" t="s">
        <v>53</v>
      </c>
      <c r="F145" s="92">
        <v>16</v>
      </c>
      <c r="G145" s="92" t="s">
        <v>264</v>
      </c>
      <c r="H145" s="92"/>
      <c r="I145" s="92">
        <v>15</v>
      </c>
      <c r="J145" s="92">
        <v>103978443</v>
      </c>
      <c r="K145" s="92"/>
      <c r="L145" s="92">
        <v>207941</v>
      </c>
      <c r="M145" s="92">
        <v>69909</v>
      </c>
      <c r="N145" s="92">
        <v>24524</v>
      </c>
      <c r="O145" s="92">
        <v>24524</v>
      </c>
      <c r="P145" s="92">
        <v>0</v>
      </c>
      <c r="Q145" s="92">
        <v>0</v>
      </c>
      <c r="R145" s="92">
        <v>0</v>
      </c>
      <c r="S145" s="92">
        <v>0</v>
      </c>
      <c r="T145" s="92">
        <v>0</v>
      </c>
      <c r="U145" s="92">
        <v>0</v>
      </c>
      <c r="V145" s="92">
        <v>0</v>
      </c>
      <c r="W145" s="92">
        <v>0</v>
      </c>
      <c r="X145" s="92">
        <v>0</v>
      </c>
      <c r="Y145" s="92">
        <v>0</v>
      </c>
      <c r="Z145" s="92">
        <v>0</v>
      </c>
      <c r="AA145" s="92">
        <v>0</v>
      </c>
      <c r="AB145" s="92">
        <v>6724377</v>
      </c>
      <c r="AC145" s="92">
        <v>6978766</v>
      </c>
      <c r="AD145" s="92">
        <v>7315901</v>
      </c>
      <c r="AE145" s="92">
        <v>0</v>
      </c>
      <c r="AF145" s="92">
        <v>0</v>
      </c>
      <c r="AG145" s="92">
        <v>0</v>
      </c>
      <c r="AH145" s="92" t="s">
        <v>1121</v>
      </c>
    </row>
    <row r="146" spans="1:35" x14ac:dyDescent="0.25">
      <c r="A146" t="str">
        <f t="shared" si="4"/>
        <v>16-4-57</v>
      </c>
      <c r="B146">
        <v>16</v>
      </c>
      <c r="C146" s="92" t="s">
        <v>1029</v>
      </c>
      <c r="D146" s="92">
        <v>4</v>
      </c>
      <c r="E146" s="92" t="s">
        <v>66</v>
      </c>
      <c r="F146" s="92">
        <v>57</v>
      </c>
      <c r="G146" s="92" t="s">
        <v>766</v>
      </c>
      <c r="H146" s="92"/>
      <c r="I146" s="92">
        <v>0</v>
      </c>
      <c r="J146" s="92">
        <v>96720270</v>
      </c>
      <c r="K146" s="92">
        <v>1</v>
      </c>
      <c r="L146" s="92">
        <v>140394</v>
      </c>
      <c r="M146" s="92">
        <v>45791</v>
      </c>
      <c r="N146" s="92">
        <v>22963</v>
      </c>
      <c r="O146" s="92">
        <v>22963</v>
      </c>
      <c r="P146" s="92">
        <v>0</v>
      </c>
      <c r="Q146" s="92">
        <v>0</v>
      </c>
      <c r="R146" s="92">
        <v>0</v>
      </c>
      <c r="S146" s="92">
        <v>0</v>
      </c>
      <c r="T146" s="92">
        <v>0</v>
      </c>
      <c r="U146" s="92">
        <v>0</v>
      </c>
      <c r="V146" s="92">
        <v>0</v>
      </c>
      <c r="W146" s="92">
        <v>0</v>
      </c>
      <c r="X146" s="92">
        <v>0</v>
      </c>
      <c r="Y146" s="92">
        <v>0</v>
      </c>
      <c r="Z146" s="92">
        <v>0</v>
      </c>
      <c r="AA146" s="92">
        <v>0</v>
      </c>
      <c r="AB146" s="92">
        <v>216791</v>
      </c>
      <c r="AC146" s="92">
        <v>224587</v>
      </c>
      <c r="AD146" s="92">
        <v>234937</v>
      </c>
      <c r="AE146" s="92">
        <v>0</v>
      </c>
      <c r="AF146" s="92">
        <v>0</v>
      </c>
      <c r="AG146" s="92">
        <v>0</v>
      </c>
    </row>
    <row r="147" spans="1:35" x14ac:dyDescent="0.25">
      <c r="A147" t="str">
        <f t="shared" si="4"/>
        <v>36-4-57</v>
      </c>
      <c r="B147">
        <v>36</v>
      </c>
      <c r="C147" s="92" t="s">
        <v>1048</v>
      </c>
      <c r="D147" s="92">
        <v>4</v>
      </c>
      <c r="E147" s="92" t="s">
        <v>66</v>
      </c>
      <c r="F147" s="92">
        <v>57</v>
      </c>
      <c r="G147" s="92" t="s">
        <v>766</v>
      </c>
      <c r="H147" s="92"/>
      <c r="I147" s="92">
        <v>0</v>
      </c>
      <c r="J147" s="92">
        <v>2026524</v>
      </c>
      <c r="K147" s="92">
        <v>1</v>
      </c>
      <c r="L147" s="92">
        <v>140394</v>
      </c>
      <c r="M147" s="92">
        <v>45791</v>
      </c>
      <c r="N147" s="92">
        <v>22963</v>
      </c>
      <c r="O147" s="92">
        <v>22963</v>
      </c>
      <c r="P147" s="92">
        <v>0</v>
      </c>
      <c r="Q147" s="92">
        <v>0</v>
      </c>
      <c r="R147" s="92">
        <v>0</v>
      </c>
      <c r="S147" s="92">
        <v>0</v>
      </c>
      <c r="T147" s="92">
        <v>0</v>
      </c>
      <c r="U147" s="92">
        <v>0</v>
      </c>
      <c r="V147" s="92">
        <v>0</v>
      </c>
      <c r="W147" s="92">
        <v>0</v>
      </c>
      <c r="X147" s="92">
        <v>0</v>
      </c>
      <c r="Y147" s="92">
        <v>0</v>
      </c>
      <c r="Z147" s="92">
        <v>0</v>
      </c>
      <c r="AA147" s="92">
        <v>0</v>
      </c>
      <c r="AB147" s="92">
        <v>216791</v>
      </c>
      <c r="AC147" s="92">
        <v>224587</v>
      </c>
      <c r="AD147" s="92">
        <v>234937</v>
      </c>
      <c r="AE147" s="92">
        <v>0</v>
      </c>
      <c r="AF147" s="92">
        <v>0</v>
      </c>
      <c r="AG147" s="92">
        <v>0</v>
      </c>
    </row>
    <row r="148" spans="1:35" x14ac:dyDescent="0.25">
      <c r="A148" t="str">
        <f t="shared" si="4"/>
        <v>42-4-57</v>
      </c>
      <c r="B148">
        <v>42</v>
      </c>
      <c r="C148" s="92" t="s">
        <v>1196</v>
      </c>
      <c r="D148" s="92">
        <v>4</v>
      </c>
      <c r="E148" s="92" t="s">
        <v>66</v>
      </c>
      <c r="F148" s="92">
        <v>57</v>
      </c>
      <c r="G148" s="92" t="s">
        <v>766</v>
      </c>
      <c r="H148" s="92"/>
      <c r="I148" s="92">
        <v>0</v>
      </c>
      <c r="J148" s="92">
        <v>1767809</v>
      </c>
      <c r="K148" s="92">
        <v>1</v>
      </c>
      <c r="L148" s="92">
        <v>140394</v>
      </c>
      <c r="M148" s="92">
        <v>45791</v>
      </c>
      <c r="N148" s="92">
        <v>22963</v>
      </c>
      <c r="O148" s="92">
        <v>22963</v>
      </c>
      <c r="P148" s="92">
        <v>0</v>
      </c>
      <c r="Q148" s="92">
        <v>0</v>
      </c>
      <c r="R148" s="92">
        <v>0</v>
      </c>
      <c r="S148" s="92">
        <v>0</v>
      </c>
      <c r="T148" s="92">
        <v>0</v>
      </c>
      <c r="U148" s="92">
        <v>0</v>
      </c>
      <c r="V148" s="92">
        <v>0</v>
      </c>
      <c r="W148" s="92">
        <v>0</v>
      </c>
      <c r="X148" s="92">
        <v>0</v>
      </c>
      <c r="Y148" s="92">
        <v>0</v>
      </c>
      <c r="Z148" s="92">
        <v>0</v>
      </c>
      <c r="AA148" s="92">
        <v>0</v>
      </c>
      <c r="AB148" s="92">
        <v>216791</v>
      </c>
      <c r="AC148" s="92">
        <v>224587</v>
      </c>
      <c r="AD148" s="92">
        <v>234937</v>
      </c>
      <c r="AE148" s="92">
        <v>0</v>
      </c>
      <c r="AF148" s="92">
        <v>0</v>
      </c>
      <c r="AG148" s="92">
        <v>0</v>
      </c>
    </row>
    <row r="149" spans="1:35" x14ac:dyDescent="0.25">
      <c r="A149" t="str">
        <f t="shared" si="4"/>
        <v>42-9-143</v>
      </c>
      <c r="B149">
        <v>42</v>
      </c>
      <c r="C149" s="92" t="s">
        <v>1196</v>
      </c>
      <c r="D149" s="92">
        <v>9</v>
      </c>
      <c r="E149" s="92" t="s">
        <v>588</v>
      </c>
      <c r="F149" s="92">
        <v>143</v>
      </c>
      <c r="G149" s="92" t="s">
        <v>993</v>
      </c>
      <c r="H149" s="92"/>
      <c r="I149" s="92">
        <v>0</v>
      </c>
      <c r="J149" s="92">
        <v>0</v>
      </c>
      <c r="K149" s="92" t="s">
        <v>1061</v>
      </c>
      <c r="L149" s="92">
        <v>0</v>
      </c>
      <c r="M149" s="92">
        <v>0</v>
      </c>
      <c r="N149" s="92">
        <v>0</v>
      </c>
      <c r="O149" s="92">
        <v>0</v>
      </c>
      <c r="P149" s="92">
        <v>0</v>
      </c>
      <c r="Q149" s="92">
        <v>0</v>
      </c>
      <c r="R149" s="92">
        <v>0</v>
      </c>
      <c r="S149" s="92">
        <v>0</v>
      </c>
      <c r="T149" s="92">
        <v>206</v>
      </c>
      <c r="U149" s="92">
        <v>0</v>
      </c>
      <c r="V149" s="92">
        <v>0</v>
      </c>
      <c r="W149" s="92">
        <v>0</v>
      </c>
      <c r="X149" s="92">
        <v>0</v>
      </c>
      <c r="Y149" s="92">
        <v>0</v>
      </c>
      <c r="Z149" s="92">
        <v>0</v>
      </c>
      <c r="AA149" s="92">
        <v>0</v>
      </c>
      <c r="AB149" s="92">
        <v>117172</v>
      </c>
      <c r="AC149" s="92">
        <v>121457</v>
      </c>
      <c r="AD149" s="92">
        <v>125601</v>
      </c>
      <c r="AE149" s="92">
        <v>0</v>
      </c>
      <c r="AF149" s="92">
        <v>0</v>
      </c>
      <c r="AG149" s="92">
        <v>0</v>
      </c>
      <c r="AI149" s="250">
        <v>7.6816199999999997E-4</v>
      </c>
    </row>
    <row r="150" spans="1:35" x14ac:dyDescent="0.25">
      <c r="A150" t="str">
        <f t="shared" si="4"/>
        <v>42-17-28</v>
      </c>
      <c r="B150">
        <v>42</v>
      </c>
      <c r="C150" s="92" t="s">
        <v>1196</v>
      </c>
      <c r="D150" s="92">
        <v>17</v>
      </c>
      <c r="E150" s="92" t="s">
        <v>593</v>
      </c>
      <c r="F150" s="92">
        <v>28</v>
      </c>
      <c r="G150" s="92" t="s">
        <v>563</v>
      </c>
      <c r="H150" s="92"/>
      <c r="I150" s="92">
        <v>3362</v>
      </c>
      <c r="J150" s="92">
        <v>18083039</v>
      </c>
      <c r="K150" s="92" t="s">
        <v>1061</v>
      </c>
      <c r="L150" s="92">
        <v>2952</v>
      </c>
      <c r="M150" s="92">
        <v>375</v>
      </c>
      <c r="N150" s="92">
        <v>9</v>
      </c>
      <c r="O150" s="92">
        <v>9</v>
      </c>
      <c r="P150" s="92">
        <v>0</v>
      </c>
      <c r="Q150" s="92">
        <v>0</v>
      </c>
      <c r="R150" s="92">
        <v>0</v>
      </c>
      <c r="S150" s="92">
        <v>0</v>
      </c>
      <c r="T150" s="92">
        <v>51</v>
      </c>
      <c r="U150" s="92">
        <v>0</v>
      </c>
      <c r="V150" s="92">
        <v>0</v>
      </c>
      <c r="W150" s="92">
        <v>0</v>
      </c>
      <c r="X150" s="92">
        <v>0</v>
      </c>
      <c r="Y150" s="92">
        <v>0</v>
      </c>
      <c r="Z150" s="92">
        <v>0</v>
      </c>
      <c r="AA150" s="92">
        <v>0</v>
      </c>
      <c r="AB150" s="92">
        <v>33675</v>
      </c>
      <c r="AC150" s="92">
        <v>47649</v>
      </c>
      <c r="AD150" s="92">
        <v>49314</v>
      </c>
      <c r="AE150" s="92">
        <v>0</v>
      </c>
      <c r="AF150" s="92">
        <v>0</v>
      </c>
      <c r="AG150" s="92">
        <v>0</v>
      </c>
    </row>
    <row r="151" spans="1:35" x14ac:dyDescent="0.25">
      <c r="A151" t="str">
        <f t="shared" si="4"/>
        <v>37-4-173</v>
      </c>
      <c r="B151">
        <v>37</v>
      </c>
      <c r="C151" s="92" t="s">
        <v>1049</v>
      </c>
      <c r="D151" s="92">
        <v>4</v>
      </c>
      <c r="E151" s="92" t="s">
        <v>66</v>
      </c>
      <c r="F151" s="92">
        <v>173</v>
      </c>
      <c r="G151" s="92" t="s">
        <v>953</v>
      </c>
      <c r="H151" s="92"/>
      <c r="I151" s="92">
        <v>0</v>
      </c>
      <c r="J151" s="92">
        <v>1244579</v>
      </c>
      <c r="K151" s="92">
        <v>1</v>
      </c>
      <c r="L151" s="92">
        <v>7846</v>
      </c>
      <c r="M151" s="92">
        <v>2086</v>
      </c>
      <c r="N151" s="92">
        <v>100</v>
      </c>
      <c r="O151" s="92">
        <v>100</v>
      </c>
      <c r="P151" s="92">
        <v>0</v>
      </c>
      <c r="Q151" s="92">
        <v>0</v>
      </c>
      <c r="R151" s="92">
        <v>0</v>
      </c>
      <c r="S151" s="92">
        <v>0</v>
      </c>
      <c r="T151" s="92">
        <v>0</v>
      </c>
      <c r="U151" s="92">
        <v>0</v>
      </c>
      <c r="V151" s="92">
        <v>0</v>
      </c>
      <c r="W151" s="92">
        <v>0</v>
      </c>
      <c r="X151" s="92">
        <v>0</v>
      </c>
      <c r="Y151" s="92">
        <v>0</v>
      </c>
      <c r="Z151" s="92">
        <v>0</v>
      </c>
      <c r="AA151" s="92">
        <v>0</v>
      </c>
      <c r="AB151" s="92">
        <v>44427</v>
      </c>
      <c r="AC151" s="92">
        <v>46063</v>
      </c>
      <c r="AD151" s="92">
        <v>47521</v>
      </c>
      <c r="AE151" s="92">
        <v>0</v>
      </c>
      <c r="AF151" s="92">
        <v>0</v>
      </c>
      <c r="AG151" s="92">
        <v>0</v>
      </c>
    </row>
    <row r="152" spans="1:35" x14ac:dyDescent="0.25">
      <c r="A152" t="str">
        <f t="shared" si="4"/>
        <v>42-4-173</v>
      </c>
      <c r="B152">
        <v>42</v>
      </c>
      <c r="C152" s="92" t="s">
        <v>1196</v>
      </c>
      <c r="D152" s="92">
        <v>4</v>
      </c>
      <c r="E152" s="92" t="s">
        <v>66</v>
      </c>
      <c r="F152" s="92">
        <v>173</v>
      </c>
      <c r="G152" s="92" t="s">
        <v>953</v>
      </c>
      <c r="H152" s="92"/>
      <c r="I152" s="92">
        <v>0</v>
      </c>
      <c r="J152" s="92">
        <v>21167587</v>
      </c>
      <c r="K152" s="92">
        <v>1</v>
      </c>
      <c r="L152" s="92">
        <v>7846</v>
      </c>
      <c r="M152" s="92">
        <v>2086</v>
      </c>
      <c r="N152" s="92">
        <v>100</v>
      </c>
      <c r="O152" s="92">
        <v>100</v>
      </c>
      <c r="P152" s="92">
        <v>0</v>
      </c>
      <c r="Q152" s="92">
        <v>0</v>
      </c>
      <c r="R152" s="92">
        <v>0</v>
      </c>
      <c r="S152" s="92">
        <v>0</v>
      </c>
      <c r="T152" s="92">
        <v>0</v>
      </c>
      <c r="U152" s="92">
        <v>0</v>
      </c>
      <c r="V152" s="92">
        <v>0</v>
      </c>
      <c r="W152" s="92">
        <v>0</v>
      </c>
      <c r="X152" s="92">
        <v>0</v>
      </c>
      <c r="Y152" s="92">
        <v>0</v>
      </c>
      <c r="Z152" s="92">
        <v>0</v>
      </c>
      <c r="AA152" s="92">
        <v>0</v>
      </c>
      <c r="AB152" s="92">
        <v>44427</v>
      </c>
      <c r="AC152" s="92">
        <v>46063</v>
      </c>
      <c r="AD152" s="92">
        <v>47521</v>
      </c>
      <c r="AE152" s="92">
        <v>0</v>
      </c>
      <c r="AF152" s="92">
        <v>0</v>
      </c>
      <c r="AG152" s="92">
        <v>0</v>
      </c>
    </row>
    <row r="153" spans="1:35" x14ac:dyDescent="0.25">
      <c r="A153" t="str">
        <f t="shared" si="4"/>
        <v>28-21-1</v>
      </c>
      <c r="B153">
        <v>28</v>
      </c>
      <c r="C153" s="92" t="s">
        <v>1041</v>
      </c>
      <c r="D153" s="92">
        <v>21</v>
      </c>
      <c r="E153" s="92" t="s">
        <v>594</v>
      </c>
      <c r="F153" s="92">
        <v>1</v>
      </c>
      <c r="G153" s="92" t="s">
        <v>431</v>
      </c>
      <c r="H153" s="92"/>
      <c r="I153" s="92">
        <v>1279</v>
      </c>
      <c r="J153" s="92">
        <v>701876</v>
      </c>
      <c r="K153" s="92">
        <v>1</v>
      </c>
      <c r="L153" s="92">
        <v>0</v>
      </c>
      <c r="M153" s="92">
        <v>70</v>
      </c>
      <c r="N153" s="92">
        <v>5</v>
      </c>
      <c r="O153" s="92">
        <v>5</v>
      </c>
      <c r="P153" s="92">
        <v>0</v>
      </c>
      <c r="Q153" s="92">
        <v>0</v>
      </c>
      <c r="R153" s="92">
        <v>0</v>
      </c>
      <c r="S153" s="92">
        <v>0</v>
      </c>
      <c r="T153" s="92">
        <v>0</v>
      </c>
      <c r="U153" s="92">
        <v>0</v>
      </c>
      <c r="V153" s="92">
        <v>0</v>
      </c>
      <c r="W153" s="92">
        <v>0</v>
      </c>
      <c r="X153" s="92">
        <v>0</v>
      </c>
      <c r="Y153" s="92">
        <v>0</v>
      </c>
      <c r="Z153" s="92">
        <v>0</v>
      </c>
      <c r="AA153" s="92">
        <v>0</v>
      </c>
      <c r="AB153" s="92">
        <v>13858</v>
      </c>
      <c r="AC153" s="92">
        <v>14330</v>
      </c>
      <c r="AD153" s="92">
        <v>14875</v>
      </c>
      <c r="AE153" s="92">
        <v>0</v>
      </c>
      <c r="AF153" s="92">
        <v>0</v>
      </c>
      <c r="AG153" s="92">
        <v>0</v>
      </c>
    </row>
    <row r="154" spans="1:35" x14ac:dyDescent="0.25">
      <c r="A154" t="str">
        <f t="shared" si="4"/>
        <v>40-21-1</v>
      </c>
      <c r="B154">
        <v>40</v>
      </c>
      <c r="C154" s="92" t="s">
        <v>1051</v>
      </c>
      <c r="D154" s="92">
        <v>21</v>
      </c>
      <c r="E154" s="92" t="s">
        <v>594</v>
      </c>
      <c r="F154" s="92">
        <v>1</v>
      </c>
      <c r="G154" s="92" t="s">
        <v>431</v>
      </c>
      <c r="H154" s="92"/>
      <c r="I154" s="92">
        <v>1279</v>
      </c>
      <c r="J154" s="92">
        <v>2474652</v>
      </c>
      <c r="K154" s="92">
        <v>1</v>
      </c>
      <c r="L154" s="92">
        <v>0</v>
      </c>
      <c r="M154" s="92">
        <v>70</v>
      </c>
      <c r="N154" s="92">
        <v>5</v>
      </c>
      <c r="O154" s="92">
        <v>5</v>
      </c>
      <c r="P154" s="92">
        <v>0</v>
      </c>
      <c r="Q154" s="92">
        <v>0</v>
      </c>
      <c r="R154" s="92">
        <v>0</v>
      </c>
      <c r="S154" s="92">
        <v>0</v>
      </c>
      <c r="T154" s="92">
        <v>0</v>
      </c>
      <c r="U154" s="92">
        <v>0</v>
      </c>
      <c r="V154" s="92">
        <v>0</v>
      </c>
      <c r="W154" s="92">
        <v>0</v>
      </c>
      <c r="X154" s="92">
        <v>0</v>
      </c>
      <c r="Y154" s="92">
        <v>0</v>
      </c>
      <c r="Z154" s="92">
        <v>0</v>
      </c>
      <c r="AA154" s="92">
        <v>0</v>
      </c>
      <c r="AB154" s="92">
        <v>13858</v>
      </c>
      <c r="AC154" s="92">
        <v>14330</v>
      </c>
      <c r="AD154" s="92">
        <v>14875</v>
      </c>
      <c r="AE154" s="92">
        <v>0</v>
      </c>
      <c r="AF154" s="92">
        <v>0</v>
      </c>
      <c r="AG154" s="92">
        <v>0</v>
      </c>
    </row>
    <row r="155" spans="1:35" x14ac:dyDescent="0.25">
      <c r="A155" t="str">
        <f t="shared" si="4"/>
        <v>15-7-17</v>
      </c>
      <c r="B155">
        <v>15</v>
      </c>
      <c r="C155" s="92" t="s">
        <v>1028</v>
      </c>
      <c r="D155" s="92">
        <v>7</v>
      </c>
      <c r="E155" s="92" t="s">
        <v>586</v>
      </c>
      <c r="F155" s="92">
        <v>17</v>
      </c>
      <c r="G155" s="92" t="s">
        <v>257</v>
      </c>
      <c r="H155" s="92"/>
      <c r="I155" s="92">
        <v>0</v>
      </c>
      <c r="J155" s="92">
        <v>19400002</v>
      </c>
      <c r="K155" s="92" t="s">
        <v>1061</v>
      </c>
      <c r="L155" s="92">
        <v>610</v>
      </c>
      <c r="M155" s="92">
        <v>70</v>
      </c>
      <c r="N155" s="92">
        <v>56</v>
      </c>
      <c r="O155" s="92">
        <v>56</v>
      </c>
      <c r="P155" s="92">
        <v>0</v>
      </c>
      <c r="Q155" s="92">
        <v>0</v>
      </c>
      <c r="R155" s="92">
        <v>0</v>
      </c>
      <c r="S155" s="92">
        <v>0</v>
      </c>
      <c r="T155" s="92">
        <v>0</v>
      </c>
      <c r="U155" s="92">
        <v>0</v>
      </c>
      <c r="V155" s="92">
        <v>0</v>
      </c>
      <c r="W155" s="92">
        <v>0</v>
      </c>
      <c r="X155" s="92">
        <v>0</v>
      </c>
      <c r="Y155" s="92">
        <v>0</v>
      </c>
      <c r="Z155" s="92">
        <v>0</v>
      </c>
      <c r="AA155" s="92">
        <v>0</v>
      </c>
      <c r="AB155" s="92">
        <v>9796</v>
      </c>
      <c r="AC155" s="92">
        <v>10271</v>
      </c>
      <c r="AD155" s="92">
        <v>10601</v>
      </c>
      <c r="AE155" s="92">
        <v>0</v>
      </c>
      <c r="AF155" s="92">
        <v>0</v>
      </c>
      <c r="AG155" s="92">
        <v>0</v>
      </c>
    </row>
    <row r="156" spans="1:35" x14ac:dyDescent="0.25">
      <c r="A156" t="str">
        <f t="shared" si="4"/>
        <v>10-7-19</v>
      </c>
      <c r="B156">
        <v>10</v>
      </c>
      <c r="C156" s="92" t="s">
        <v>1023</v>
      </c>
      <c r="D156" s="92">
        <v>7</v>
      </c>
      <c r="E156" s="92" t="s">
        <v>586</v>
      </c>
      <c r="F156" s="92">
        <v>19</v>
      </c>
      <c r="G156" s="92" t="s">
        <v>395</v>
      </c>
      <c r="H156" s="92"/>
      <c r="I156" s="92">
        <v>0</v>
      </c>
      <c r="J156" s="92">
        <v>9911261</v>
      </c>
      <c r="K156" s="92">
        <v>1</v>
      </c>
      <c r="L156" s="92">
        <v>953</v>
      </c>
      <c r="M156" s="92">
        <v>444</v>
      </c>
      <c r="N156" s="92">
        <v>159</v>
      </c>
      <c r="O156" s="92">
        <v>159</v>
      </c>
      <c r="P156" s="92">
        <v>0</v>
      </c>
      <c r="Q156" s="92">
        <v>0</v>
      </c>
      <c r="R156" s="92">
        <v>0</v>
      </c>
      <c r="S156" s="92">
        <v>0</v>
      </c>
      <c r="T156" s="92">
        <v>0</v>
      </c>
      <c r="U156" s="92">
        <v>0</v>
      </c>
      <c r="V156" s="92">
        <v>0</v>
      </c>
      <c r="W156" s="92">
        <v>0</v>
      </c>
      <c r="X156" s="92">
        <v>0</v>
      </c>
      <c r="Y156" s="92">
        <v>0</v>
      </c>
      <c r="Z156" s="92">
        <v>0</v>
      </c>
      <c r="AA156" s="92">
        <v>0</v>
      </c>
      <c r="AB156" s="92">
        <v>69908</v>
      </c>
      <c r="AC156" s="92">
        <v>73245</v>
      </c>
      <c r="AD156" s="92">
        <v>76601</v>
      </c>
      <c r="AE156" s="92">
        <v>0</v>
      </c>
      <c r="AF156" s="92">
        <v>0</v>
      </c>
      <c r="AG156" s="92">
        <v>0</v>
      </c>
    </row>
    <row r="157" spans="1:35" x14ac:dyDescent="0.25">
      <c r="A157" t="str">
        <f t="shared" si="4"/>
        <v>26-7-19</v>
      </c>
      <c r="B157">
        <v>26</v>
      </c>
      <c r="C157" s="92" t="s">
        <v>1039</v>
      </c>
      <c r="D157" s="92">
        <v>7</v>
      </c>
      <c r="E157" s="92" t="s">
        <v>586</v>
      </c>
      <c r="F157" s="92">
        <v>19</v>
      </c>
      <c r="G157" s="92" t="s">
        <v>395</v>
      </c>
      <c r="H157" s="92"/>
      <c r="I157" s="92">
        <v>0</v>
      </c>
      <c r="J157" s="92">
        <v>8509901</v>
      </c>
      <c r="K157" s="92">
        <v>1</v>
      </c>
      <c r="L157" s="92">
        <v>953</v>
      </c>
      <c r="M157" s="92">
        <v>444</v>
      </c>
      <c r="N157" s="92">
        <v>159</v>
      </c>
      <c r="O157" s="92">
        <v>159</v>
      </c>
      <c r="P157" s="92">
        <v>0</v>
      </c>
      <c r="Q157" s="92">
        <v>0</v>
      </c>
      <c r="R157" s="92">
        <v>0</v>
      </c>
      <c r="S157" s="92">
        <v>0</v>
      </c>
      <c r="T157" s="92">
        <v>0</v>
      </c>
      <c r="U157" s="92">
        <v>0</v>
      </c>
      <c r="V157" s="92">
        <v>0</v>
      </c>
      <c r="W157" s="92">
        <v>0</v>
      </c>
      <c r="X157" s="92">
        <v>0</v>
      </c>
      <c r="Y157" s="92">
        <v>0</v>
      </c>
      <c r="Z157" s="92">
        <v>0</v>
      </c>
      <c r="AA157" s="92">
        <v>0</v>
      </c>
      <c r="AB157" s="92">
        <v>69908</v>
      </c>
      <c r="AC157" s="92">
        <v>73245</v>
      </c>
      <c r="AD157" s="92">
        <v>76601</v>
      </c>
      <c r="AE157" s="92">
        <v>0</v>
      </c>
      <c r="AF157" s="92">
        <v>0</v>
      </c>
      <c r="AG157" s="92">
        <v>0</v>
      </c>
    </row>
    <row r="158" spans="1:35" x14ac:dyDescent="0.25">
      <c r="A158" t="str">
        <f t="shared" si="4"/>
        <v>31-11-5</v>
      </c>
      <c r="B158">
        <v>31</v>
      </c>
      <c r="C158" s="92" t="s">
        <v>1044</v>
      </c>
      <c r="D158" s="92">
        <v>11</v>
      </c>
      <c r="E158" s="92" t="s">
        <v>1062</v>
      </c>
      <c r="F158" s="92">
        <v>5</v>
      </c>
      <c r="G158" s="92" t="s">
        <v>926</v>
      </c>
      <c r="H158" s="92"/>
      <c r="I158" s="92">
        <v>29691</v>
      </c>
      <c r="J158" s="92">
        <v>3939808</v>
      </c>
      <c r="K158" s="92" t="s">
        <v>1061</v>
      </c>
      <c r="L158" s="92">
        <v>8168</v>
      </c>
      <c r="M158" s="92">
        <v>1121</v>
      </c>
      <c r="N158" s="92">
        <v>486</v>
      </c>
      <c r="O158" s="92">
        <v>328</v>
      </c>
      <c r="P158" s="92">
        <v>0</v>
      </c>
      <c r="Q158" s="92">
        <v>0</v>
      </c>
      <c r="R158" s="92">
        <v>0</v>
      </c>
      <c r="S158" s="92">
        <v>0</v>
      </c>
      <c r="T158" s="92">
        <v>0</v>
      </c>
      <c r="U158" s="92">
        <v>0</v>
      </c>
      <c r="V158" s="92">
        <v>0</v>
      </c>
      <c r="W158" s="92">
        <v>0</v>
      </c>
      <c r="X158" s="92">
        <v>0</v>
      </c>
      <c r="Y158" s="92">
        <v>0</v>
      </c>
      <c r="Z158" s="92">
        <v>0</v>
      </c>
      <c r="AA158" s="92">
        <v>0</v>
      </c>
      <c r="AB158" s="92">
        <v>194932</v>
      </c>
      <c r="AC158" s="92">
        <v>204145</v>
      </c>
      <c r="AD158" s="92">
        <v>213356</v>
      </c>
      <c r="AE158" s="92">
        <v>0</v>
      </c>
      <c r="AF158" s="92">
        <v>0</v>
      </c>
      <c r="AG158" s="92">
        <v>0</v>
      </c>
    </row>
    <row r="159" spans="1:35" x14ac:dyDescent="0.25">
      <c r="A159" t="str">
        <f t="shared" si="4"/>
        <v>35-19-5</v>
      </c>
      <c r="B159">
        <v>35</v>
      </c>
      <c r="C159" s="92" t="s">
        <v>1195</v>
      </c>
      <c r="D159" s="92">
        <v>19</v>
      </c>
      <c r="E159" s="92" t="s">
        <v>1063</v>
      </c>
      <c r="F159" s="92">
        <v>5</v>
      </c>
      <c r="G159" s="92" t="s">
        <v>946</v>
      </c>
      <c r="H159" s="92"/>
      <c r="I159" s="92">
        <v>22410</v>
      </c>
      <c r="J159" s="92">
        <v>6789032</v>
      </c>
      <c r="K159" s="92" t="s">
        <v>1061</v>
      </c>
      <c r="L159" s="92">
        <v>70</v>
      </c>
      <c r="M159" s="92">
        <v>624</v>
      </c>
      <c r="N159" s="92">
        <v>29</v>
      </c>
      <c r="O159" s="92">
        <v>29</v>
      </c>
      <c r="P159" s="92">
        <v>0</v>
      </c>
      <c r="Q159" s="92">
        <v>0</v>
      </c>
      <c r="R159" s="92">
        <v>0</v>
      </c>
      <c r="S159" s="92">
        <v>0</v>
      </c>
      <c r="T159" s="92">
        <v>345</v>
      </c>
      <c r="U159" s="92">
        <v>62</v>
      </c>
      <c r="V159" s="92">
        <v>0</v>
      </c>
      <c r="W159" s="92">
        <v>0</v>
      </c>
      <c r="X159" s="92">
        <v>0</v>
      </c>
      <c r="Y159" s="92">
        <v>0</v>
      </c>
      <c r="Z159" s="92">
        <v>0</v>
      </c>
      <c r="AA159" s="92">
        <v>0</v>
      </c>
      <c r="AB159" s="92">
        <v>332377</v>
      </c>
      <c r="AC159" s="92">
        <v>344917</v>
      </c>
      <c r="AD159" s="92">
        <v>345923</v>
      </c>
      <c r="AE159" s="92">
        <v>0</v>
      </c>
      <c r="AF159" s="92">
        <v>0</v>
      </c>
      <c r="AG159" s="92">
        <v>0</v>
      </c>
    </row>
    <row r="160" spans="1:35" x14ac:dyDescent="0.25">
      <c r="A160" t="str">
        <f t="shared" si="4"/>
        <v>19-7-20</v>
      </c>
      <c r="B160">
        <v>19</v>
      </c>
      <c r="C160" s="92" t="s">
        <v>1032</v>
      </c>
      <c r="D160" s="92">
        <v>7</v>
      </c>
      <c r="E160" s="92" t="s">
        <v>586</v>
      </c>
      <c r="F160" s="92">
        <v>20</v>
      </c>
      <c r="G160" s="92" t="s">
        <v>303</v>
      </c>
      <c r="H160" s="92"/>
      <c r="I160" s="92">
        <v>0</v>
      </c>
      <c r="J160" s="92">
        <v>8102953</v>
      </c>
      <c r="K160" s="92" t="s">
        <v>1061</v>
      </c>
      <c r="L160" s="92">
        <v>273</v>
      </c>
      <c r="M160" s="92">
        <v>410</v>
      </c>
      <c r="N160" s="92">
        <v>110</v>
      </c>
      <c r="O160" s="92">
        <v>110</v>
      </c>
      <c r="P160" s="92">
        <v>0</v>
      </c>
      <c r="Q160" s="92">
        <v>0</v>
      </c>
      <c r="R160" s="92">
        <v>0</v>
      </c>
      <c r="S160" s="92">
        <v>0</v>
      </c>
      <c r="T160" s="92">
        <v>0</v>
      </c>
      <c r="U160" s="92">
        <v>0</v>
      </c>
      <c r="V160" s="92">
        <v>0</v>
      </c>
      <c r="W160" s="92">
        <v>0</v>
      </c>
      <c r="X160" s="92">
        <v>0</v>
      </c>
      <c r="Y160" s="92">
        <v>0</v>
      </c>
      <c r="Z160" s="92">
        <v>0</v>
      </c>
      <c r="AA160" s="92">
        <v>0</v>
      </c>
      <c r="AB160" s="92">
        <v>38546</v>
      </c>
      <c r="AC160" s="92">
        <v>39702</v>
      </c>
      <c r="AD160" s="92">
        <v>41114</v>
      </c>
      <c r="AE160" s="92">
        <v>0</v>
      </c>
      <c r="AF160" s="92">
        <v>0</v>
      </c>
      <c r="AG160" s="92">
        <v>0</v>
      </c>
    </row>
    <row r="161" spans="1:33" x14ac:dyDescent="0.25">
      <c r="A161" t="str">
        <f t="shared" si="4"/>
        <v>19-4-68</v>
      </c>
      <c r="B161">
        <v>19</v>
      </c>
      <c r="C161" s="92" t="s">
        <v>1032</v>
      </c>
      <c r="D161" s="92">
        <v>4</v>
      </c>
      <c r="E161" s="92" t="s">
        <v>66</v>
      </c>
      <c r="F161" s="92">
        <v>68</v>
      </c>
      <c r="G161" s="92" t="s">
        <v>811</v>
      </c>
      <c r="H161" s="92"/>
      <c r="I161" s="92">
        <v>0</v>
      </c>
      <c r="J161" s="92">
        <v>10598762</v>
      </c>
      <c r="K161" s="92">
        <v>1</v>
      </c>
      <c r="L161" s="92">
        <v>0</v>
      </c>
      <c r="M161" s="92">
        <v>3539</v>
      </c>
      <c r="N161" s="92">
        <v>1487</v>
      </c>
      <c r="O161" s="92">
        <v>1487</v>
      </c>
      <c r="P161" s="92">
        <v>0</v>
      </c>
      <c r="Q161" s="92">
        <v>0</v>
      </c>
      <c r="R161" s="92">
        <v>0</v>
      </c>
      <c r="S161" s="92">
        <v>0</v>
      </c>
      <c r="T161" s="92">
        <v>0</v>
      </c>
      <c r="U161" s="92">
        <v>0</v>
      </c>
      <c r="V161" s="92">
        <v>0</v>
      </c>
      <c r="W161" s="92">
        <v>0</v>
      </c>
      <c r="X161" s="92">
        <v>0</v>
      </c>
      <c r="Y161" s="92">
        <v>0</v>
      </c>
      <c r="Z161" s="92">
        <v>0</v>
      </c>
      <c r="AA161" s="92">
        <v>0</v>
      </c>
      <c r="AB161" s="92">
        <v>12167</v>
      </c>
      <c r="AC161" s="92">
        <v>12554</v>
      </c>
      <c r="AD161" s="92">
        <v>12962</v>
      </c>
      <c r="AE161" s="92">
        <v>0</v>
      </c>
      <c r="AF161" s="92">
        <v>0</v>
      </c>
      <c r="AG161" s="92">
        <v>0</v>
      </c>
    </row>
    <row r="162" spans="1:33" x14ac:dyDescent="0.25">
      <c r="A162" t="str">
        <f t="shared" ref="A162:A194" si="5">B162&amp;"-"&amp;D162&amp;"-"&amp;F162</f>
        <v>30-4-68</v>
      </c>
      <c r="B162">
        <v>30</v>
      </c>
      <c r="C162" s="92" t="s">
        <v>1043</v>
      </c>
      <c r="D162" s="92">
        <v>4</v>
      </c>
      <c r="E162" s="92" t="s">
        <v>66</v>
      </c>
      <c r="F162" s="92">
        <v>68</v>
      </c>
      <c r="G162" s="92" t="s">
        <v>811</v>
      </c>
      <c r="H162" s="92"/>
      <c r="I162" s="92">
        <v>0</v>
      </c>
      <c r="J162" s="92">
        <v>384265</v>
      </c>
      <c r="K162" s="92">
        <v>1</v>
      </c>
      <c r="L162" s="92">
        <v>0</v>
      </c>
      <c r="M162" s="92">
        <v>3539</v>
      </c>
      <c r="N162" s="92">
        <v>1487</v>
      </c>
      <c r="O162" s="92">
        <v>1487</v>
      </c>
      <c r="P162" s="92">
        <v>0</v>
      </c>
      <c r="Q162" s="92">
        <v>0</v>
      </c>
      <c r="R162" s="92">
        <v>0</v>
      </c>
      <c r="S162" s="92">
        <v>0</v>
      </c>
      <c r="T162" s="92">
        <v>0</v>
      </c>
      <c r="U162" s="92">
        <v>0</v>
      </c>
      <c r="V162" s="92">
        <v>0</v>
      </c>
      <c r="W162" s="92">
        <v>0</v>
      </c>
      <c r="X162" s="92">
        <v>0</v>
      </c>
      <c r="Y162" s="92">
        <v>0</v>
      </c>
      <c r="Z162" s="92">
        <v>0</v>
      </c>
      <c r="AA162" s="92">
        <v>0</v>
      </c>
      <c r="AB162" s="92">
        <v>12167</v>
      </c>
      <c r="AC162" s="92">
        <v>12554</v>
      </c>
      <c r="AD162" s="92">
        <v>12962</v>
      </c>
      <c r="AE162" s="92">
        <v>0</v>
      </c>
      <c r="AF162" s="92">
        <v>0</v>
      </c>
      <c r="AG162" s="92">
        <v>0</v>
      </c>
    </row>
    <row r="163" spans="1:33" x14ac:dyDescent="0.25">
      <c r="A163" t="str">
        <f t="shared" si="5"/>
        <v>6-3-1</v>
      </c>
      <c r="B163">
        <v>6</v>
      </c>
      <c r="C163" s="92" t="s">
        <v>1020</v>
      </c>
      <c r="D163" s="92">
        <v>3</v>
      </c>
      <c r="E163" s="92" t="s">
        <v>67</v>
      </c>
      <c r="F163" s="92">
        <v>1</v>
      </c>
      <c r="G163" s="92" t="s">
        <v>134</v>
      </c>
      <c r="H163" s="92"/>
      <c r="I163" s="92">
        <v>11153</v>
      </c>
      <c r="J163" s="92">
        <v>2763653</v>
      </c>
      <c r="K163" s="92" t="s">
        <v>1061</v>
      </c>
      <c r="L163" s="92">
        <v>2947</v>
      </c>
      <c r="M163" s="92">
        <v>7986</v>
      </c>
      <c r="N163" s="92">
        <v>4655</v>
      </c>
      <c r="O163" s="92">
        <v>4696</v>
      </c>
      <c r="P163" s="92">
        <v>0</v>
      </c>
      <c r="Q163" s="92">
        <v>0</v>
      </c>
      <c r="R163" s="92">
        <v>0</v>
      </c>
      <c r="S163" s="92">
        <v>0</v>
      </c>
      <c r="T163" s="92">
        <v>0</v>
      </c>
      <c r="U163" s="92">
        <v>0</v>
      </c>
      <c r="V163" s="92">
        <v>0</v>
      </c>
      <c r="W163" s="92">
        <v>0</v>
      </c>
      <c r="X163" s="92">
        <v>0</v>
      </c>
      <c r="Y163" s="92">
        <v>0</v>
      </c>
      <c r="Z163" s="92">
        <v>0</v>
      </c>
      <c r="AA163" s="92">
        <v>0</v>
      </c>
      <c r="AB163" s="92">
        <v>494846</v>
      </c>
      <c r="AC163" s="92">
        <v>511175</v>
      </c>
      <c r="AD163" s="92">
        <v>526510</v>
      </c>
      <c r="AE163" s="92">
        <v>0</v>
      </c>
      <c r="AF163" s="92">
        <v>0</v>
      </c>
      <c r="AG163" s="92">
        <v>0</v>
      </c>
    </row>
    <row r="164" spans="1:33" x14ac:dyDescent="0.25">
      <c r="A164" t="str">
        <f t="shared" si="5"/>
        <v>34-3-2</v>
      </c>
      <c r="B164">
        <v>34</v>
      </c>
      <c r="C164" s="92" t="s">
        <v>1047</v>
      </c>
      <c r="D164" s="92">
        <v>3</v>
      </c>
      <c r="E164" s="92" t="s">
        <v>67</v>
      </c>
      <c r="F164" s="92">
        <v>2</v>
      </c>
      <c r="G164" s="92" t="s">
        <v>488</v>
      </c>
      <c r="H164" s="92"/>
      <c r="I164" s="92">
        <v>0</v>
      </c>
      <c r="J164" s="92">
        <v>354277</v>
      </c>
      <c r="K164" s="92" t="s">
        <v>1061</v>
      </c>
      <c r="L164" s="92">
        <v>0</v>
      </c>
      <c r="M164" s="92">
        <v>1271</v>
      </c>
      <c r="N164" s="92">
        <v>559</v>
      </c>
      <c r="O164" s="92">
        <v>563</v>
      </c>
      <c r="P164" s="92">
        <v>0</v>
      </c>
      <c r="Q164" s="92">
        <v>0</v>
      </c>
      <c r="R164" s="92">
        <v>0</v>
      </c>
      <c r="S164" s="92">
        <v>0</v>
      </c>
      <c r="T164" s="92">
        <v>0</v>
      </c>
      <c r="U164" s="92">
        <v>0</v>
      </c>
      <c r="V164" s="92">
        <v>0</v>
      </c>
      <c r="W164" s="92">
        <v>0</v>
      </c>
      <c r="X164" s="92">
        <v>0</v>
      </c>
      <c r="Y164" s="92">
        <v>0</v>
      </c>
      <c r="Z164" s="92">
        <v>0</v>
      </c>
      <c r="AA164" s="92">
        <v>0</v>
      </c>
      <c r="AB164" s="92">
        <v>19713</v>
      </c>
      <c r="AC164" s="92">
        <v>20359</v>
      </c>
      <c r="AD164" s="92">
        <v>21021</v>
      </c>
      <c r="AE164" s="92">
        <v>0</v>
      </c>
      <c r="AF164" s="92">
        <v>0</v>
      </c>
      <c r="AG164" s="92">
        <v>0</v>
      </c>
    </row>
    <row r="165" spans="1:33" x14ac:dyDescent="0.25">
      <c r="A165" t="str">
        <f t="shared" si="5"/>
        <v>16-3-3</v>
      </c>
      <c r="B165">
        <v>16</v>
      </c>
      <c r="C165" s="92" t="s">
        <v>1029</v>
      </c>
      <c r="D165" s="92">
        <v>3</v>
      </c>
      <c r="E165" s="92" t="s">
        <v>67</v>
      </c>
      <c r="F165" s="92">
        <v>3</v>
      </c>
      <c r="G165" s="92" t="s">
        <v>265</v>
      </c>
      <c r="H165" s="92"/>
      <c r="I165" s="92">
        <v>3574</v>
      </c>
      <c r="J165" s="92">
        <v>341897</v>
      </c>
      <c r="K165" s="92" t="s">
        <v>1061</v>
      </c>
      <c r="L165" s="92">
        <v>94</v>
      </c>
      <c r="M165" s="92">
        <v>569</v>
      </c>
      <c r="N165" s="92">
        <v>59</v>
      </c>
      <c r="O165" s="92">
        <v>62</v>
      </c>
      <c r="P165" s="92">
        <v>0</v>
      </c>
      <c r="Q165" s="92">
        <v>0</v>
      </c>
      <c r="R165" s="92">
        <v>0</v>
      </c>
      <c r="S165" s="92">
        <v>0</v>
      </c>
      <c r="T165" s="92">
        <v>0</v>
      </c>
      <c r="U165" s="92">
        <v>0</v>
      </c>
      <c r="V165" s="92">
        <v>0</v>
      </c>
      <c r="W165" s="92">
        <v>0</v>
      </c>
      <c r="X165" s="92">
        <v>0</v>
      </c>
      <c r="Y165" s="92">
        <v>0</v>
      </c>
      <c r="Z165" s="92">
        <v>0</v>
      </c>
      <c r="AA165" s="92">
        <v>0</v>
      </c>
      <c r="AB165" s="92">
        <v>34453</v>
      </c>
      <c r="AC165" s="92">
        <v>35487</v>
      </c>
      <c r="AD165" s="92">
        <v>36359</v>
      </c>
      <c r="AE165" s="92">
        <v>0</v>
      </c>
      <c r="AF165" s="92">
        <v>0</v>
      </c>
      <c r="AG165" s="92">
        <v>0</v>
      </c>
    </row>
    <row r="166" spans="1:33" x14ac:dyDescent="0.25">
      <c r="A166" t="str">
        <f t="shared" si="5"/>
        <v>39-3-4</v>
      </c>
      <c r="B166">
        <v>39</v>
      </c>
      <c r="C166" s="92" t="s">
        <v>79</v>
      </c>
      <c r="D166" s="92">
        <v>3</v>
      </c>
      <c r="E166" s="92" t="s">
        <v>67</v>
      </c>
      <c r="F166" s="92">
        <v>4</v>
      </c>
      <c r="G166" s="92" t="s">
        <v>526</v>
      </c>
      <c r="H166" s="92"/>
      <c r="I166" s="92">
        <v>331</v>
      </c>
      <c r="J166" s="92">
        <v>8109640</v>
      </c>
      <c r="K166" s="92" t="s">
        <v>1061</v>
      </c>
      <c r="L166" s="92">
        <v>209</v>
      </c>
      <c r="M166" s="92">
        <v>31137</v>
      </c>
      <c r="N166" s="92">
        <v>15156</v>
      </c>
      <c r="O166" s="92">
        <v>16796</v>
      </c>
      <c r="P166" s="92">
        <v>0</v>
      </c>
      <c r="Q166" s="92">
        <v>0</v>
      </c>
      <c r="R166" s="92">
        <v>0</v>
      </c>
      <c r="S166" s="92">
        <v>0</v>
      </c>
      <c r="T166" s="92">
        <v>0</v>
      </c>
      <c r="U166" s="92">
        <v>0</v>
      </c>
      <c r="V166" s="92">
        <v>0</v>
      </c>
      <c r="W166" s="92">
        <v>0</v>
      </c>
      <c r="X166" s="92">
        <v>0</v>
      </c>
      <c r="Y166" s="92">
        <v>0</v>
      </c>
      <c r="Z166" s="92">
        <v>0</v>
      </c>
      <c r="AA166" s="92">
        <v>0</v>
      </c>
      <c r="AB166" s="92">
        <v>1375080</v>
      </c>
      <c r="AC166" s="92">
        <v>1437049</v>
      </c>
      <c r="AD166" s="92">
        <v>1500905</v>
      </c>
      <c r="AE166" s="92">
        <v>0</v>
      </c>
      <c r="AF166" s="92">
        <v>0</v>
      </c>
      <c r="AG166" s="92">
        <v>0</v>
      </c>
    </row>
    <row r="167" spans="1:33" x14ac:dyDescent="0.25">
      <c r="A167" t="str">
        <f t="shared" si="5"/>
        <v>10-3-5</v>
      </c>
      <c r="B167">
        <v>10</v>
      </c>
      <c r="C167" s="92" t="s">
        <v>1023</v>
      </c>
      <c r="D167" s="92">
        <v>3</v>
      </c>
      <c r="E167" s="92" t="s">
        <v>67</v>
      </c>
      <c r="F167" s="92">
        <v>5</v>
      </c>
      <c r="G167" s="92" t="s">
        <v>194</v>
      </c>
      <c r="H167" s="92"/>
      <c r="I167" s="92">
        <v>4</v>
      </c>
      <c r="J167" s="92">
        <v>9321552</v>
      </c>
      <c r="K167" s="92" t="s">
        <v>1061</v>
      </c>
      <c r="L167" s="92">
        <v>153</v>
      </c>
      <c r="M167" s="92">
        <v>22691</v>
      </c>
      <c r="N167" s="92">
        <v>6092</v>
      </c>
      <c r="O167" s="92">
        <v>6092</v>
      </c>
      <c r="P167" s="92">
        <v>0</v>
      </c>
      <c r="Q167" s="92">
        <v>0</v>
      </c>
      <c r="R167" s="92">
        <v>0</v>
      </c>
      <c r="S167" s="92">
        <v>10</v>
      </c>
      <c r="T167" s="92">
        <v>0</v>
      </c>
      <c r="U167" s="92">
        <v>451</v>
      </c>
      <c r="V167" s="92">
        <v>0</v>
      </c>
      <c r="W167" s="92">
        <v>0</v>
      </c>
      <c r="X167" s="92">
        <v>0</v>
      </c>
      <c r="Y167" s="92">
        <v>0</v>
      </c>
      <c r="Z167" s="92">
        <v>0</v>
      </c>
      <c r="AA167" s="92">
        <v>0</v>
      </c>
      <c r="AB167" s="92">
        <v>2498829</v>
      </c>
      <c r="AC167" s="92">
        <v>2643428</v>
      </c>
      <c r="AD167" s="92">
        <v>2811013</v>
      </c>
      <c r="AE167" s="92">
        <v>0</v>
      </c>
      <c r="AF167" s="92">
        <v>0</v>
      </c>
      <c r="AG167" s="92">
        <v>0</v>
      </c>
    </row>
    <row r="168" spans="1:33" x14ac:dyDescent="0.25">
      <c r="A168" t="str">
        <f t="shared" si="5"/>
        <v>12-3-6</v>
      </c>
      <c r="B168">
        <v>12</v>
      </c>
      <c r="C168" s="92" t="s">
        <v>1025</v>
      </c>
      <c r="D168" s="92">
        <v>3</v>
      </c>
      <c r="E168" s="92" t="s">
        <v>67</v>
      </c>
      <c r="F168" s="92">
        <v>6</v>
      </c>
      <c r="G168" s="92" t="s">
        <v>212</v>
      </c>
      <c r="H168" s="92"/>
      <c r="I168" s="92">
        <v>0</v>
      </c>
      <c r="J168" s="92">
        <v>1073021</v>
      </c>
      <c r="K168" s="92" t="s">
        <v>1061</v>
      </c>
      <c r="L168" s="92">
        <v>563</v>
      </c>
      <c r="M168" s="92">
        <v>11394</v>
      </c>
      <c r="N168" s="92">
        <v>1101</v>
      </c>
      <c r="O168" s="92">
        <v>1101</v>
      </c>
      <c r="P168" s="92">
        <v>0</v>
      </c>
      <c r="Q168" s="92">
        <v>0</v>
      </c>
      <c r="R168" s="92">
        <v>0</v>
      </c>
      <c r="S168" s="92">
        <v>0</v>
      </c>
      <c r="T168" s="92">
        <v>0</v>
      </c>
      <c r="U168" s="92">
        <v>0</v>
      </c>
      <c r="V168" s="92">
        <v>0</v>
      </c>
      <c r="W168" s="92">
        <v>0</v>
      </c>
      <c r="X168" s="92">
        <v>0</v>
      </c>
      <c r="Y168" s="92">
        <v>0</v>
      </c>
      <c r="Z168" s="92">
        <v>0</v>
      </c>
      <c r="AA168" s="92">
        <v>0</v>
      </c>
      <c r="AB168" s="92">
        <v>255488</v>
      </c>
      <c r="AC168" s="92">
        <v>265720</v>
      </c>
      <c r="AD168" s="92">
        <v>265720</v>
      </c>
      <c r="AE168" s="92">
        <v>0</v>
      </c>
      <c r="AF168" s="92">
        <v>0</v>
      </c>
      <c r="AG168" s="92">
        <v>0</v>
      </c>
    </row>
    <row r="169" spans="1:33" x14ac:dyDescent="0.25">
      <c r="A169" t="str">
        <f t="shared" si="5"/>
        <v>3-3-7</v>
      </c>
      <c r="B169">
        <v>3</v>
      </c>
      <c r="C169" s="92" t="s">
        <v>1018</v>
      </c>
      <c r="D169" s="92">
        <v>3</v>
      </c>
      <c r="E169" s="92" t="s">
        <v>67</v>
      </c>
      <c r="F169" s="92">
        <v>7</v>
      </c>
      <c r="G169" s="92" t="s">
        <v>99</v>
      </c>
      <c r="H169" s="92"/>
      <c r="I169" s="92">
        <v>0</v>
      </c>
      <c r="J169" s="92">
        <v>7348431</v>
      </c>
      <c r="K169" s="92" t="s">
        <v>1061</v>
      </c>
      <c r="L169" s="92">
        <v>27</v>
      </c>
      <c r="M169" s="92">
        <v>202</v>
      </c>
      <c r="N169" s="92">
        <v>173</v>
      </c>
      <c r="O169" s="92">
        <v>182</v>
      </c>
      <c r="P169" s="92">
        <v>0</v>
      </c>
      <c r="Q169" s="92">
        <v>0</v>
      </c>
      <c r="R169" s="92">
        <v>0</v>
      </c>
      <c r="S169" s="92">
        <v>0</v>
      </c>
      <c r="T169" s="92">
        <v>0</v>
      </c>
      <c r="U169" s="92">
        <v>0</v>
      </c>
      <c r="V169" s="92">
        <v>0</v>
      </c>
      <c r="W169" s="92">
        <v>0</v>
      </c>
      <c r="X169" s="92">
        <v>0</v>
      </c>
      <c r="Y169" s="92">
        <v>0</v>
      </c>
      <c r="Z169" s="92">
        <v>0</v>
      </c>
      <c r="AA169" s="92">
        <v>0</v>
      </c>
      <c r="AB169" s="92">
        <v>46823</v>
      </c>
      <c r="AC169" s="92">
        <v>48240</v>
      </c>
      <c r="AD169" s="92">
        <v>49851</v>
      </c>
      <c r="AE169" s="92">
        <v>0</v>
      </c>
      <c r="AF169" s="92">
        <v>0</v>
      </c>
      <c r="AG169" s="92">
        <v>0</v>
      </c>
    </row>
    <row r="170" spans="1:33" x14ac:dyDescent="0.25">
      <c r="A170" t="str">
        <f t="shared" si="5"/>
        <v>22-3-8</v>
      </c>
      <c r="B170">
        <v>22</v>
      </c>
      <c r="C170" s="92" t="s">
        <v>1035</v>
      </c>
      <c r="D170" s="92">
        <v>3</v>
      </c>
      <c r="E170" s="92" t="s">
        <v>67</v>
      </c>
      <c r="F170" s="92">
        <v>8</v>
      </c>
      <c r="G170" s="92" t="s">
        <v>331</v>
      </c>
      <c r="H170" s="92"/>
      <c r="I170" s="92">
        <v>890</v>
      </c>
      <c r="J170" s="92">
        <v>1334326</v>
      </c>
      <c r="K170" s="92" t="s">
        <v>1061</v>
      </c>
      <c r="L170" s="92">
        <v>2103</v>
      </c>
      <c r="M170" s="92">
        <v>9150</v>
      </c>
      <c r="N170" s="92">
        <v>1167</v>
      </c>
      <c r="O170" s="92">
        <v>1188</v>
      </c>
      <c r="P170" s="92">
        <v>0</v>
      </c>
      <c r="Q170" s="92">
        <v>0</v>
      </c>
      <c r="R170" s="92">
        <v>0</v>
      </c>
      <c r="S170" s="92">
        <v>0</v>
      </c>
      <c r="T170" s="92">
        <v>0</v>
      </c>
      <c r="U170" s="92">
        <v>0</v>
      </c>
      <c r="V170" s="92">
        <v>0</v>
      </c>
      <c r="W170" s="92">
        <v>0</v>
      </c>
      <c r="X170" s="92">
        <v>0</v>
      </c>
      <c r="Y170" s="92">
        <v>0</v>
      </c>
      <c r="Z170" s="92">
        <v>0</v>
      </c>
      <c r="AA170" s="92">
        <v>0</v>
      </c>
      <c r="AB170" s="92">
        <v>433859</v>
      </c>
      <c r="AC170" s="92">
        <v>447247</v>
      </c>
      <c r="AD170" s="92">
        <v>475688</v>
      </c>
      <c r="AE170" s="92">
        <v>0</v>
      </c>
      <c r="AF170" s="92">
        <v>0</v>
      </c>
      <c r="AG170" s="92">
        <v>0</v>
      </c>
    </row>
    <row r="171" spans="1:33" x14ac:dyDescent="0.25">
      <c r="A171" t="str">
        <f t="shared" si="5"/>
        <v>28-3-9</v>
      </c>
      <c r="B171">
        <v>28</v>
      </c>
      <c r="C171" s="92" t="s">
        <v>1041</v>
      </c>
      <c r="D171" s="92">
        <v>3</v>
      </c>
      <c r="E171" s="92" t="s">
        <v>67</v>
      </c>
      <c r="F171" s="92">
        <v>9</v>
      </c>
      <c r="G171" s="92" t="s">
        <v>405</v>
      </c>
      <c r="H171" s="92"/>
      <c r="I171" s="92">
        <v>0</v>
      </c>
      <c r="J171" s="92">
        <v>8732335</v>
      </c>
      <c r="K171" s="92" t="s">
        <v>1061</v>
      </c>
      <c r="L171" s="92">
        <v>0</v>
      </c>
      <c r="M171" s="92">
        <v>5031</v>
      </c>
      <c r="N171" s="92">
        <v>212</v>
      </c>
      <c r="O171" s="92">
        <v>222</v>
      </c>
      <c r="P171" s="92">
        <v>0</v>
      </c>
      <c r="Q171" s="92">
        <v>0</v>
      </c>
      <c r="R171" s="92">
        <v>0</v>
      </c>
      <c r="S171" s="92">
        <v>0</v>
      </c>
      <c r="T171" s="92">
        <v>0</v>
      </c>
      <c r="U171" s="92">
        <v>0</v>
      </c>
      <c r="V171" s="92">
        <v>0</v>
      </c>
      <c r="W171" s="92">
        <v>0</v>
      </c>
      <c r="X171" s="92">
        <v>0</v>
      </c>
      <c r="Y171" s="92">
        <v>0</v>
      </c>
      <c r="Z171" s="92">
        <v>0</v>
      </c>
      <c r="AA171" s="92">
        <v>0</v>
      </c>
      <c r="AB171" s="92">
        <v>189552</v>
      </c>
      <c r="AC171" s="92">
        <v>198524</v>
      </c>
      <c r="AD171" s="92">
        <v>214815</v>
      </c>
      <c r="AE171" s="92">
        <v>0</v>
      </c>
      <c r="AF171" s="92">
        <v>0</v>
      </c>
      <c r="AG171" s="92">
        <v>0</v>
      </c>
    </row>
    <row r="172" spans="1:33" x14ac:dyDescent="0.25">
      <c r="A172" t="str">
        <f t="shared" si="5"/>
        <v>15-3-11</v>
      </c>
      <c r="B172">
        <v>15</v>
      </c>
      <c r="C172" s="92" t="s">
        <v>1028</v>
      </c>
      <c r="D172" s="92">
        <v>3</v>
      </c>
      <c r="E172" s="92" t="s">
        <v>67</v>
      </c>
      <c r="F172" s="92">
        <v>11</v>
      </c>
      <c r="G172" s="92" t="s">
        <v>253</v>
      </c>
      <c r="H172" s="92"/>
      <c r="I172" s="92">
        <v>0</v>
      </c>
      <c r="J172" s="92">
        <v>4321016</v>
      </c>
      <c r="K172" s="92" t="s">
        <v>1061</v>
      </c>
      <c r="L172" s="92">
        <v>4432</v>
      </c>
      <c r="M172" s="92">
        <v>5638</v>
      </c>
      <c r="N172" s="92">
        <v>2194</v>
      </c>
      <c r="O172" s="92">
        <v>2221</v>
      </c>
      <c r="P172" s="92">
        <v>0</v>
      </c>
      <c r="Q172" s="92">
        <v>0</v>
      </c>
      <c r="R172" s="92">
        <v>0</v>
      </c>
      <c r="S172" s="92">
        <v>0</v>
      </c>
      <c r="T172" s="92">
        <v>0</v>
      </c>
      <c r="U172" s="92">
        <v>0</v>
      </c>
      <c r="V172" s="92">
        <v>0</v>
      </c>
      <c r="W172" s="92">
        <v>0</v>
      </c>
      <c r="X172" s="92">
        <v>0</v>
      </c>
      <c r="Y172" s="92">
        <v>0</v>
      </c>
      <c r="Z172" s="92">
        <v>0</v>
      </c>
      <c r="AA172" s="92">
        <v>0</v>
      </c>
      <c r="AB172" s="92">
        <v>209160</v>
      </c>
      <c r="AC172" s="92">
        <v>215917</v>
      </c>
      <c r="AD172" s="92">
        <v>223023</v>
      </c>
      <c r="AE172" s="92">
        <v>0</v>
      </c>
      <c r="AF172" s="92">
        <v>0</v>
      </c>
      <c r="AG172" s="92">
        <v>0</v>
      </c>
    </row>
    <row r="173" spans="1:33" x14ac:dyDescent="0.25">
      <c r="A173" t="str">
        <f t="shared" si="5"/>
        <v>6-3-12</v>
      </c>
      <c r="B173">
        <v>6</v>
      </c>
      <c r="C173" s="92" t="s">
        <v>1020</v>
      </c>
      <c r="D173" s="92">
        <v>3</v>
      </c>
      <c r="E173" s="92" t="s">
        <v>67</v>
      </c>
      <c r="F173" s="92">
        <v>12</v>
      </c>
      <c r="G173" s="92" t="s">
        <v>135</v>
      </c>
      <c r="H173" s="92"/>
      <c r="I173" s="92">
        <v>792</v>
      </c>
      <c r="J173" s="92">
        <v>1300327</v>
      </c>
      <c r="K173" s="92" t="s">
        <v>1061</v>
      </c>
      <c r="L173" s="92">
        <v>6</v>
      </c>
      <c r="M173" s="92">
        <v>92</v>
      </c>
      <c r="N173" s="92">
        <v>43</v>
      </c>
      <c r="O173" s="92">
        <v>45</v>
      </c>
      <c r="P173" s="92">
        <v>0</v>
      </c>
      <c r="Q173" s="92">
        <v>0</v>
      </c>
      <c r="R173" s="92">
        <v>0</v>
      </c>
      <c r="S173" s="92">
        <v>0</v>
      </c>
      <c r="T173" s="92">
        <v>0</v>
      </c>
      <c r="U173" s="92">
        <v>0</v>
      </c>
      <c r="V173" s="92">
        <v>0</v>
      </c>
      <c r="W173" s="92">
        <v>0</v>
      </c>
      <c r="X173" s="92">
        <v>0</v>
      </c>
      <c r="Y173" s="92">
        <v>0</v>
      </c>
      <c r="Z173" s="92">
        <v>0</v>
      </c>
      <c r="AA173" s="92">
        <v>0</v>
      </c>
      <c r="AB173" s="92">
        <v>21123</v>
      </c>
      <c r="AC173" s="92">
        <v>21761</v>
      </c>
      <c r="AD173" s="92">
        <v>22416</v>
      </c>
      <c r="AE173" s="92">
        <v>0</v>
      </c>
      <c r="AF173" s="92">
        <v>0</v>
      </c>
      <c r="AG173" s="92">
        <v>0</v>
      </c>
    </row>
    <row r="174" spans="1:33" x14ac:dyDescent="0.25">
      <c r="A174" t="str">
        <f t="shared" si="5"/>
        <v>7-3-13</v>
      </c>
      <c r="B174">
        <v>7</v>
      </c>
      <c r="C174" s="92" t="s">
        <v>1057</v>
      </c>
      <c r="D174" s="92">
        <v>3</v>
      </c>
      <c r="E174" s="92" t="s">
        <v>67</v>
      </c>
      <c r="F174" s="92">
        <v>13</v>
      </c>
      <c r="G174" s="92" t="s">
        <v>155</v>
      </c>
      <c r="H174" s="92"/>
      <c r="I174" s="92">
        <v>4176</v>
      </c>
      <c r="J174" s="92">
        <v>1629699</v>
      </c>
      <c r="K174" s="92" t="s">
        <v>1061</v>
      </c>
      <c r="L174" s="92">
        <v>19</v>
      </c>
      <c r="M174" s="92">
        <v>7054</v>
      </c>
      <c r="N174" s="92">
        <v>979</v>
      </c>
      <c r="O174" s="92">
        <v>979</v>
      </c>
      <c r="P174" s="92">
        <v>0</v>
      </c>
      <c r="Q174" s="92">
        <v>0</v>
      </c>
      <c r="R174" s="92">
        <v>0</v>
      </c>
      <c r="S174" s="92">
        <v>0</v>
      </c>
      <c r="T174" s="92">
        <v>0</v>
      </c>
      <c r="U174" s="92">
        <v>0</v>
      </c>
      <c r="V174" s="92">
        <v>0</v>
      </c>
      <c r="W174" s="92">
        <v>0</v>
      </c>
      <c r="X174" s="92">
        <v>0</v>
      </c>
      <c r="Y174" s="92">
        <v>0</v>
      </c>
      <c r="Z174" s="92">
        <v>0</v>
      </c>
      <c r="AA174" s="92">
        <v>0</v>
      </c>
      <c r="AB174" s="92">
        <v>811514</v>
      </c>
      <c r="AC174" s="92">
        <v>844255</v>
      </c>
      <c r="AD174" s="92">
        <v>887000</v>
      </c>
      <c r="AE174" s="92">
        <v>0</v>
      </c>
      <c r="AF174" s="92">
        <v>0</v>
      </c>
      <c r="AG174" s="92">
        <v>0</v>
      </c>
    </row>
    <row r="175" spans="1:33" x14ac:dyDescent="0.25">
      <c r="A175" t="str">
        <f t="shared" si="5"/>
        <v>6-3-14</v>
      </c>
      <c r="B175">
        <v>6</v>
      </c>
      <c r="C175" s="92" t="s">
        <v>1020</v>
      </c>
      <c r="D175" s="92">
        <v>3</v>
      </c>
      <c r="E175" s="92" t="s">
        <v>67</v>
      </c>
      <c r="F175" s="92">
        <v>14</v>
      </c>
      <c r="G175" s="92" t="s">
        <v>136</v>
      </c>
      <c r="H175" s="92"/>
      <c r="I175" s="92">
        <v>328744</v>
      </c>
      <c r="J175" s="92">
        <v>11433828</v>
      </c>
      <c r="K175" s="92" t="s">
        <v>1061</v>
      </c>
      <c r="L175" s="92">
        <v>1345</v>
      </c>
      <c r="M175" s="92">
        <v>77714</v>
      </c>
      <c r="N175" s="92">
        <v>16471</v>
      </c>
      <c r="O175" s="92">
        <v>16605</v>
      </c>
      <c r="P175" s="92">
        <v>0</v>
      </c>
      <c r="Q175" s="92">
        <v>0</v>
      </c>
      <c r="R175" s="92">
        <v>0</v>
      </c>
      <c r="S175" s="92">
        <v>0</v>
      </c>
      <c r="T175" s="92">
        <v>0</v>
      </c>
      <c r="U175" s="92">
        <v>0</v>
      </c>
      <c r="V175" s="92">
        <v>0</v>
      </c>
      <c r="W175" s="92">
        <v>0</v>
      </c>
      <c r="X175" s="92">
        <v>0</v>
      </c>
      <c r="Y175" s="92">
        <v>0</v>
      </c>
      <c r="Z175" s="92">
        <v>0</v>
      </c>
      <c r="AA175" s="92">
        <v>0</v>
      </c>
      <c r="AB175" s="92">
        <v>5645436</v>
      </c>
      <c r="AC175" s="92">
        <v>5931740</v>
      </c>
      <c r="AD175" s="92">
        <v>6118377</v>
      </c>
      <c r="AE175" s="92">
        <v>0</v>
      </c>
      <c r="AF175" s="92">
        <v>0</v>
      </c>
      <c r="AG175" s="92">
        <v>0</v>
      </c>
    </row>
    <row r="176" spans="1:33" x14ac:dyDescent="0.25">
      <c r="A176" t="str">
        <f t="shared" si="5"/>
        <v>24-3-15</v>
      </c>
      <c r="B176">
        <v>24</v>
      </c>
      <c r="C176" s="92" t="s">
        <v>1037</v>
      </c>
      <c r="D176" s="92">
        <v>3</v>
      </c>
      <c r="E176" s="92" t="s">
        <v>67</v>
      </c>
      <c r="F176" s="92">
        <v>15</v>
      </c>
      <c r="G176" s="92" t="s">
        <v>345</v>
      </c>
      <c r="H176" s="92"/>
      <c r="I176" s="92">
        <v>0</v>
      </c>
      <c r="J176" s="92">
        <v>3081608</v>
      </c>
      <c r="K176" s="92" t="s">
        <v>1061</v>
      </c>
      <c r="L176" s="92">
        <v>0</v>
      </c>
      <c r="M176" s="92">
        <v>5782</v>
      </c>
      <c r="N176" s="92">
        <v>818</v>
      </c>
      <c r="O176" s="92">
        <v>908</v>
      </c>
      <c r="P176" s="92">
        <v>0</v>
      </c>
      <c r="Q176" s="92">
        <v>0</v>
      </c>
      <c r="R176" s="92">
        <v>0</v>
      </c>
      <c r="S176" s="92">
        <v>0</v>
      </c>
      <c r="T176" s="92">
        <v>0</v>
      </c>
      <c r="U176" s="92">
        <v>0</v>
      </c>
      <c r="V176" s="92">
        <v>0</v>
      </c>
      <c r="W176" s="92">
        <v>0</v>
      </c>
      <c r="X176" s="92">
        <v>0</v>
      </c>
      <c r="Y176" s="92">
        <v>0</v>
      </c>
      <c r="Z176" s="92">
        <v>0</v>
      </c>
      <c r="AA176" s="92">
        <v>0</v>
      </c>
      <c r="AB176" s="92">
        <v>77588</v>
      </c>
      <c r="AC176" s="92">
        <v>80927</v>
      </c>
      <c r="AD176" s="92">
        <v>80927</v>
      </c>
      <c r="AE176" s="92">
        <v>0</v>
      </c>
      <c r="AF176" s="92">
        <v>0</v>
      </c>
      <c r="AG176" s="92">
        <v>0</v>
      </c>
    </row>
    <row r="177" spans="1:33" x14ac:dyDescent="0.25">
      <c r="A177" t="str">
        <f t="shared" si="5"/>
        <v>4-3-16</v>
      </c>
      <c r="B177">
        <v>4</v>
      </c>
      <c r="C177" s="92" t="s">
        <v>1194</v>
      </c>
      <c r="D177" s="92">
        <v>3</v>
      </c>
      <c r="E177" s="92" t="s">
        <v>67</v>
      </c>
      <c r="F177" s="92">
        <v>16</v>
      </c>
      <c r="G177" s="92" t="s">
        <v>114</v>
      </c>
      <c r="H177" s="92"/>
      <c r="I177" s="92">
        <v>0</v>
      </c>
      <c r="J177" s="92">
        <v>232336</v>
      </c>
      <c r="K177" s="92" t="s">
        <v>1061</v>
      </c>
      <c r="L177" s="92">
        <v>17</v>
      </c>
      <c r="M177" s="92">
        <v>352</v>
      </c>
      <c r="N177" s="92">
        <v>1</v>
      </c>
      <c r="O177" s="92">
        <v>1</v>
      </c>
      <c r="P177" s="92">
        <v>0</v>
      </c>
      <c r="Q177" s="92">
        <v>0</v>
      </c>
      <c r="R177" s="92">
        <v>0</v>
      </c>
      <c r="S177" s="92">
        <v>0</v>
      </c>
      <c r="T177" s="92">
        <v>0</v>
      </c>
      <c r="U177" s="92">
        <v>0</v>
      </c>
      <c r="V177" s="92">
        <v>0</v>
      </c>
      <c r="W177" s="92">
        <v>0</v>
      </c>
      <c r="X177" s="92">
        <v>0</v>
      </c>
      <c r="Y177" s="92">
        <v>0</v>
      </c>
      <c r="Z177" s="92">
        <v>0</v>
      </c>
      <c r="AA177" s="92">
        <v>0</v>
      </c>
      <c r="AB177" s="92">
        <v>26053</v>
      </c>
      <c r="AC177" s="92">
        <v>27814</v>
      </c>
      <c r="AD177" s="92">
        <v>29655</v>
      </c>
      <c r="AE177" s="92">
        <v>0</v>
      </c>
      <c r="AF177" s="92">
        <v>0</v>
      </c>
      <c r="AG177" s="92">
        <v>0</v>
      </c>
    </row>
    <row r="178" spans="1:33" x14ac:dyDescent="0.25">
      <c r="A178" t="str">
        <f t="shared" si="5"/>
        <v>1-3-17</v>
      </c>
      <c r="B178">
        <v>1</v>
      </c>
      <c r="C178" s="92" t="s">
        <v>1016</v>
      </c>
      <c r="D178" s="92">
        <v>3</v>
      </c>
      <c r="E178" s="92" t="s">
        <v>67</v>
      </c>
      <c r="F178" s="92">
        <v>17</v>
      </c>
      <c r="G178" s="92" t="s">
        <v>599</v>
      </c>
      <c r="H178" s="92"/>
      <c r="I178" s="92">
        <v>3652309</v>
      </c>
      <c r="J178" s="92">
        <v>452497758</v>
      </c>
      <c r="K178" s="92" t="s">
        <v>1061</v>
      </c>
      <c r="L178" s="92">
        <v>1303</v>
      </c>
      <c r="M178" s="92">
        <v>1096081</v>
      </c>
      <c r="N178" s="92">
        <v>264903</v>
      </c>
      <c r="O178" s="92">
        <v>264903</v>
      </c>
      <c r="P178" s="92">
        <v>0</v>
      </c>
      <c r="Q178" s="92">
        <v>0</v>
      </c>
      <c r="R178" s="92">
        <v>0</v>
      </c>
      <c r="S178" s="92">
        <v>10451</v>
      </c>
      <c r="T178" s="92">
        <v>10337</v>
      </c>
      <c r="U178" s="92">
        <v>16339</v>
      </c>
      <c r="V178" s="92">
        <v>0</v>
      </c>
      <c r="W178" s="92">
        <v>0</v>
      </c>
      <c r="X178" s="92">
        <v>0</v>
      </c>
      <c r="Y178" s="92">
        <v>0</v>
      </c>
      <c r="Z178" s="92">
        <v>0</v>
      </c>
      <c r="AA178" s="92">
        <v>0</v>
      </c>
      <c r="AB178" s="92">
        <v>179325518</v>
      </c>
      <c r="AC178" s="92">
        <v>188828383</v>
      </c>
      <c r="AD178" s="92">
        <v>203006557</v>
      </c>
      <c r="AE178" s="92">
        <v>0</v>
      </c>
      <c r="AF178" s="92">
        <v>0</v>
      </c>
      <c r="AG178" s="92">
        <v>0</v>
      </c>
    </row>
    <row r="179" spans="1:33" x14ac:dyDescent="0.25">
      <c r="A179" t="str">
        <f t="shared" si="5"/>
        <v>11-3-18</v>
      </c>
      <c r="B179">
        <v>11</v>
      </c>
      <c r="C179" s="92" t="s">
        <v>1024</v>
      </c>
      <c r="D179" s="92">
        <v>3</v>
      </c>
      <c r="E179" s="92" t="s">
        <v>67</v>
      </c>
      <c r="F179" s="92">
        <v>18</v>
      </c>
      <c r="G179" s="92" t="s">
        <v>735</v>
      </c>
      <c r="H179" s="92"/>
      <c r="I179" s="92">
        <v>0</v>
      </c>
      <c r="J179" s="92">
        <v>18173825</v>
      </c>
      <c r="K179" s="92" t="s">
        <v>1061</v>
      </c>
      <c r="L179" s="92">
        <v>447</v>
      </c>
      <c r="M179" s="92">
        <v>16142</v>
      </c>
      <c r="N179" s="92">
        <v>3213</v>
      </c>
      <c r="O179" s="92">
        <v>3213</v>
      </c>
      <c r="P179" s="92">
        <v>0</v>
      </c>
      <c r="Q179" s="92">
        <v>0</v>
      </c>
      <c r="R179" s="92">
        <v>0</v>
      </c>
      <c r="S179" s="92">
        <v>0</v>
      </c>
      <c r="T179" s="92">
        <v>0</v>
      </c>
      <c r="U179" s="92">
        <v>0</v>
      </c>
      <c r="V179" s="92">
        <v>0</v>
      </c>
      <c r="W179" s="92">
        <v>0</v>
      </c>
      <c r="X179" s="92">
        <v>0</v>
      </c>
      <c r="Y179" s="92">
        <v>0</v>
      </c>
      <c r="Z179" s="92">
        <v>0</v>
      </c>
      <c r="AA179" s="92">
        <v>0</v>
      </c>
      <c r="AB179" s="92">
        <v>703085</v>
      </c>
      <c r="AC179" s="92">
        <v>734192</v>
      </c>
      <c r="AD179" s="92">
        <v>761408</v>
      </c>
      <c r="AE179" s="92">
        <v>0</v>
      </c>
      <c r="AF179" s="92">
        <v>0</v>
      </c>
      <c r="AG179" s="92">
        <v>0</v>
      </c>
    </row>
    <row r="180" spans="1:33" x14ac:dyDescent="0.25">
      <c r="A180" t="str">
        <f t="shared" si="5"/>
        <v>29-3-19</v>
      </c>
      <c r="B180">
        <v>29</v>
      </c>
      <c r="C180" s="92" t="s">
        <v>1042</v>
      </c>
      <c r="D180" s="92">
        <v>3</v>
      </c>
      <c r="E180" s="92" t="s">
        <v>67</v>
      </c>
      <c r="F180" s="92">
        <v>19</v>
      </c>
      <c r="G180" s="92" t="s">
        <v>434</v>
      </c>
      <c r="H180" s="92"/>
      <c r="I180" s="92">
        <v>0</v>
      </c>
      <c r="J180" s="92">
        <v>283487</v>
      </c>
      <c r="K180" s="92" t="s">
        <v>1061</v>
      </c>
      <c r="L180" s="92">
        <v>11</v>
      </c>
      <c r="M180" s="92">
        <v>2838</v>
      </c>
      <c r="N180" s="92">
        <v>3</v>
      </c>
      <c r="O180" s="92">
        <v>3</v>
      </c>
      <c r="P180" s="92">
        <v>0</v>
      </c>
      <c r="Q180" s="92">
        <v>0</v>
      </c>
      <c r="R180" s="92">
        <v>0</v>
      </c>
      <c r="S180" s="92">
        <v>0</v>
      </c>
      <c r="T180" s="92">
        <v>0</v>
      </c>
      <c r="U180" s="92">
        <v>0</v>
      </c>
      <c r="V180" s="92">
        <v>0</v>
      </c>
      <c r="W180" s="92">
        <v>0</v>
      </c>
      <c r="X180" s="92">
        <v>0</v>
      </c>
      <c r="Y180" s="92">
        <v>0</v>
      </c>
      <c r="Z180" s="92">
        <v>0</v>
      </c>
      <c r="AA180" s="92">
        <v>0</v>
      </c>
      <c r="AB180" s="92">
        <v>46627</v>
      </c>
      <c r="AC180" s="92">
        <v>46627</v>
      </c>
      <c r="AD180" s="92">
        <v>46627</v>
      </c>
      <c r="AE180" s="92">
        <v>0</v>
      </c>
      <c r="AF180" s="92">
        <v>0</v>
      </c>
      <c r="AG180" s="92">
        <v>0</v>
      </c>
    </row>
    <row r="181" spans="1:33" x14ac:dyDescent="0.25">
      <c r="A181" t="str">
        <f t="shared" si="5"/>
        <v>42-3-20</v>
      </c>
      <c r="B181">
        <v>42</v>
      </c>
      <c r="C181" s="92" t="s">
        <v>1196</v>
      </c>
      <c r="D181" s="92">
        <v>3</v>
      </c>
      <c r="E181" s="92" t="s">
        <v>67</v>
      </c>
      <c r="F181" s="92">
        <v>20</v>
      </c>
      <c r="G181" s="92" t="s">
        <v>551</v>
      </c>
      <c r="H181" s="92"/>
      <c r="I181" s="92">
        <v>0</v>
      </c>
      <c r="J181" s="92">
        <v>3960386</v>
      </c>
      <c r="K181" s="92" t="s">
        <v>1061</v>
      </c>
      <c r="L181" s="92">
        <v>190</v>
      </c>
      <c r="M181" s="92">
        <v>27811</v>
      </c>
      <c r="N181" s="92">
        <v>4376</v>
      </c>
      <c r="O181" s="92">
        <v>4637</v>
      </c>
      <c r="P181" s="92">
        <v>0</v>
      </c>
      <c r="Q181" s="92">
        <v>0</v>
      </c>
      <c r="R181" s="92">
        <v>0</v>
      </c>
      <c r="S181" s="92">
        <v>0</v>
      </c>
      <c r="T181" s="92">
        <v>703</v>
      </c>
      <c r="U181" s="92">
        <v>3094</v>
      </c>
      <c r="V181" s="92">
        <v>0</v>
      </c>
      <c r="W181" s="92">
        <v>0</v>
      </c>
      <c r="X181" s="92">
        <v>0</v>
      </c>
      <c r="Y181" s="92">
        <v>0</v>
      </c>
      <c r="Z181" s="92">
        <v>0</v>
      </c>
      <c r="AA181" s="92">
        <v>0</v>
      </c>
      <c r="AB181" s="92">
        <v>2073864</v>
      </c>
      <c r="AC181" s="92">
        <v>2177827</v>
      </c>
      <c r="AD181" s="92">
        <v>2428646</v>
      </c>
      <c r="AE181" s="92">
        <v>0</v>
      </c>
      <c r="AF181" s="92">
        <v>0</v>
      </c>
      <c r="AG181" s="92">
        <v>0</v>
      </c>
    </row>
    <row r="182" spans="1:33" x14ac:dyDescent="0.25">
      <c r="A182" t="str">
        <f t="shared" si="5"/>
        <v>16-3-201</v>
      </c>
      <c r="B182">
        <v>16</v>
      </c>
      <c r="C182" s="92" t="s">
        <v>1029</v>
      </c>
      <c r="D182" s="92">
        <v>3</v>
      </c>
      <c r="E182" s="92" t="s">
        <v>67</v>
      </c>
      <c r="F182" s="92">
        <v>201</v>
      </c>
      <c r="G182" s="92" t="s">
        <v>266</v>
      </c>
      <c r="H182" s="92"/>
      <c r="I182" s="92">
        <v>0</v>
      </c>
      <c r="J182" s="92">
        <v>8768855</v>
      </c>
      <c r="K182" s="92">
        <v>1</v>
      </c>
      <c r="L182" s="92">
        <v>2721</v>
      </c>
      <c r="M182" s="92">
        <v>91948</v>
      </c>
      <c r="N182" s="92">
        <v>22801</v>
      </c>
      <c r="O182" s="92">
        <v>25082</v>
      </c>
      <c r="P182" s="92">
        <v>0</v>
      </c>
      <c r="Q182" s="92">
        <v>0</v>
      </c>
      <c r="R182" s="92">
        <v>0</v>
      </c>
      <c r="S182" s="92">
        <v>0</v>
      </c>
      <c r="T182" s="92">
        <v>0</v>
      </c>
      <c r="U182" s="92">
        <v>0</v>
      </c>
      <c r="V182" s="92">
        <v>0</v>
      </c>
      <c r="W182" s="92">
        <v>0</v>
      </c>
      <c r="X182" s="92">
        <v>0</v>
      </c>
      <c r="Y182" s="92">
        <v>0</v>
      </c>
      <c r="Z182" s="92">
        <v>0</v>
      </c>
      <c r="AA182" s="92">
        <v>0</v>
      </c>
      <c r="AB182" s="92">
        <v>3139716</v>
      </c>
      <c r="AC182" s="92">
        <v>3271024</v>
      </c>
      <c r="AD182" s="92">
        <v>3465540</v>
      </c>
      <c r="AE182" s="92">
        <v>0</v>
      </c>
      <c r="AF182" s="92">
        <v>0</v>
      </c>
      <c r="AG182" s="92">
        <v>0</v>
      </c>
    </row>
    <row r="183" spans="1:33" x14ac:dyDescent="0.25">
      <c r="A183" t="str">
        <f t="shared" si="5"/>
        <v>34-3-201</v>
      </c>
      <c r="B183">
        <v>34</v>
      </c>
      <c r="C183" s="92" t="s">
        <v>1047</v>
      </c>
      <c r="D183" s="92">
        <v>3</v>
      </c>
      <c r="E183" s="92" t="s">
        <v>67</v>
      </c>
      <c r="F183" s="92">
        <v>201</v>
      </c>
      <c r="G183" s="92" t="s">
        <v>266</v>
      </c>
      <c r="H183" s="92"/>
      <c r="I183" s="92">
        <v>0</v>
      </c>
      <c r="J183" s="92">
        <v>714349</v>
      </c>
      <c r="K183" s="92">
        <v>1</v>
      </c>
      <c r="L183" s="92">
        <v>2721</v>
      </c>
      <c r="M183" s="92">
        <v>91948</v>
      </c>
      <c r="N183" s="92">
        <v>22801</v>
      </c>
      <c r="O183" s="92">
        <v>25082</v>
      </c>
      <c r="P183" s="92">
        <v>0</v>
      </c>
      <c r="Q183" s="92">
        <v>0</v>
      </c>
      <c r="R183" s="92">
        <v>0</v>
      </c>
      <c r="S183" s="92">
        <v>0</v>
      </c>
      <c r="T183" s="92">
        <v>0</v>
      </c>
      <c r="U183" s="92">
        <v>0</v>
      </c>
      <c r="V183" s="92">
        <v>0</v>
      </c>
      <c r="W183" s="92">
        <v>0</v>
      </c>
      <c r="X183" s="92">
        <v>0</v>
      </c>
      <c r="Y183" s="92">
        <v>0</v>
      </c>
      <c r="Z183" s="92">
        <v>0</v>
      </c>
      <c r="AA183" s="92">
        <v>0</v>
      </c>
      <c r="AB183" s="92">
        <v>3139716</v>
      </c>
      <c r="AC183" s="92">
        <v>3271024</v>
      </c>
      <c r="AD183" s="92">
        <v>3465540</v>
      </c>
      <c r="AE183" s="92">
        <v>0</v>
      </c>
      <c r="AF183" s="92">
        <v>0</v>
      </c>
      <c r="AG183" s="92">
        <v>0</v>
      </c>
    </row>
    <row r="184" spans="1:33" x14ac:dyDescent="0.25">
      <c r="A184" t="str">
        <f t="shared" si="5"/>
        <v>12-3-22</v>
      </c>
      <c r="B184">
        <v>12</v>
      </c>
      <c r="C184" s="92" t="s">
        <v>1025</v>
      </c>
      <c r="D184" s="92">
        <v>3</v>
      </c>
      <c r="E184" s="92" t="s">
        <v>67</v>
      </c>
      <c r="F184" s="92">
        <v>22</v>
      </c>
      <c r="G184" s="92" t="s">
        <v>1342</v>
      </c>
      <c r="H184" s="92"/>
      <c r="I184" s="92">
        <v>0</v>
      </c>
      <c r="J184" s="92">
        <v>29572</v>
      </c>
      <c r="K184" s="92" t="s">
        <v>1061</v>
      </c>
      <c r="L184" s="92">
        <v>0</v>
      </c>
      <c r="M184" s="92">
        <v>0</v>
      </c>
      <c r="N184" s="92">
        <v>0</v>
      </c>
      <c r="O184" s="92">
        <v>0</v>
      </c>
      <c r="P184" s="92">
        <v>0</v>
      </c>
      <c r="Q184" s="92">
        <v>0</v>
      </c>
      <c r="R184" s="92">
        <v>0</v>
      </c>
      <c r="S184" s="92">
        <v>0</v>
      </c>
      <c r="T184" s="92">
        <v>0</v>
      </c>
      <c r="U184" s="92">
        <v>0</v>
      </c>
      <c r="V184" s="92">
        <v>0</v>
      </c>
      <c r="W184" s="92">
        <v>0</v>
      </c>
      <c r="X184" s="92">
        <v>0</v>
      </c>
      <c r="Y184" s="92">
        <v>0</v>
      </c>
      <c r="Z184" s="92">
        <v>0</v>
      </c>
      <c r="AA184" s="92">
        <v>0</v>
      </c>
      <c r="AB184" s="92">
        <v>0</v>
      </c>
      <c r="AC184" s="92">
        <v>0</v>
      </c>
      <c r="AD184" s="92">
        <v>600</v>
      </c>
      <c r="AE184" s="92">
        <v>0</v>
      </c>
      <c r="AF184" s="92">
        <v>0</v>
      </c>
      <c r="AG184" s="92">
        <v>0</v>
      </c>
    </row>
    <row r="185" spans="1:33" x14ac:dyDescent="0.25">
      <c r="A185" t="str">
        <f t="shared" si="5"/>
        <v>14-3-23</v>
      </c>
      <c r="B185">
        <v>14</v>
      </c>
      <c r="C185" s="92" t="s">
        <v>1027</v>
      </c>
      <c r="D185" s="92">
        <v>3</v>
      </c>
      <c r="E185" s="92" t="s">
        <v>67</v>
      </c>
      <c r="F185" s="92">
        <v>23</v>
      </c>
      <c r="G185" s="92" t="s">
        <v>218</v>
      </c>
      <c r="H185" s="92"/>
      <c r="I185" s="92">
        <v>3078007</v>
      </c>
      <c r="J185" s="92">
        <v>69367145</v>
      </c>
      <c r="K185" s="92" t="s">
        <v>1061</v>
      </c>
      <c r="L185" s="92">
        <v>3479</v>
      </c>
      <c r="M185" s="92">
        <v>215603</v>
      </c>
      <c r="N185" s="92">
        <v>34837</v>
      </c>
      <c r="O185" s="92">
        <v>35691</v>
      </c>
      <c r="P185" s="92">
        <v>0</v>
      </c>
      <c r="Q185" s="92">
        <v>0</v>
      </c>
      <c r="R185" s="92">
        <v>0</v>
      </c>
      <c r="S185" s="92">
        <v>0</v>
      </c>
      <c r="T185" s="92">
        <v>0</v>
      </c>
      <c r="U185" s="92">
        <v>0</v>
      </c>
      <c r="V185" s="92">
        <v>0</v>
      </c>
      <c r="W185" s="92">
        <v>0</v>
      </c>
      <c r="X185" s="92">
        <v>0</v>
      </c>
      <c r="Y185" s="92">
        <v>0</v>
      </c>
      <c r="Z185" s="92">
        <v>0</v>
      </c>
      <c r="AA185" s="92">
        <v>0</v>
      </c>
      <c r="AB185" s="92">
        <v>26777895</v>
      </c>
      <c r="AC185" s="92">
        <v>29080020</v>
      </c>
      <c r="AD185" s="92">
        <v>31528863</v>
      </c>
      <c r="AE185" s="92">
        <v>0</v>
      </c>
      <c r="AF185" s="92">
        <v>0</v>
      </c>
      <c r="AG185" s="92">
        <v>0</v>
      </c>
    </row>
    <row r="186" spans="1:33" x14ac:dyDescent="0.25">
      <c r="A186" t="str">
        <f t="shared" si="5"/>
        <v>44-3-24</v>
      </c>
      <c r="B186">
        <v>44</v>
      </c>
      <c r="C186" s="92" t="s">
        <v>1054</v>
      </c>
      <c r="D186" s="92">
        <v>3</v>
      </c>
      <c r="E186" s="92" t="s">
        <v>67</v>
      </c>
      <c r="F186" s="92">
        <v>24</v>
      </c>
      <c r="G186" s="92" t="s">
        <v>575</v>
      </c>
      <c r="H186" s="92"/>
      <c r="I186" s="92">
        <v>3</v>
      </c>
      <c r="J186" s="92">
        <v>770487</v>
      </c>
      <c r="K186" s="92" t="s">
        <v>1061</v>
      </c>
      <c r="L186" s="92">
        <v>52</v>
      </c>
      <c r="M186" s="92">
        <v>2427</v>
      </c>
      <c r="N186" s="92">
        <v>291</v>
      </c>
      <c r="O186" s="92">
        <v>291</v>
      </c>
      <c r="P186" s="92">
        <v>0</v>
      </c>
      <c r="Q186" s="92">
        <v>0</v>
      </c>
      <c r="R186" s="92">
        <v>0</v>
      </c>
      <c r="S186" s="92">
        <v>0</v>
      </c>
      <c r="T186" s="92">
        <v>0</v>
      </c>
      <c r="U186" s="92">
        <v>0</v>
      </c>
      <c r="V186" s="92">
        <v>0</v>
      </c>
      <c r="W186" s="92">
        <v>0</v>
      </c>
      <c r="X186" s="92">
        <v>0</v>
      </c>
      <c r="Y186" s="92">
        <v>0</v>
      </c>
      <c r="Z186" s="92">
        <v>0</v>
      </c>
      <c r="AA186" s="92">
        <v>0</v>
      </c>
      <c r="AB186" s="92">
        <v>65503</v>
      </c>
      <c r="AC186" s="92">
        <v>67578</v>
      </c>
      <c r="AD186" s="92">
        <v>69766</v>
      </c>
      <c r="AE186" s="92">
        <v>0</v>
      </c>
      <c r="AF186" s="92">
        <v>0</v>
      </c>
      <c r="AG186" s="92">
        <v>0</v>
      </c>
    </row>
    <row r="187" spans="1:33" x14ac:dyDescent="0.25">
      <c r="A187" t="str">
        <f t="shared" si="5"/>
        <v>7-3-202</v>
      </c>
      <c r="B187">
        <v>7</v>
      </c>
      <c r="C187" s="92" t="s">
        <v>1057</v>
      </c>
      <c r="D187" s="92">
        <v>3</v>
      </c>
      <c r="E187" s="92" t="s">
        <v>67</v>
      </c>
      <c r="F187" s="92">
        <v>202</v>
      </c>
      <c r="G187" s="92" t="s">
        <v>156</v>
      </c>
      <c r="H187" s="92"/>
      <c r="I187" s="92">
        <v>16058</v>
      </c>
      <c r="J187" s="92">
        <v>873449</v>
      </c>
      <c r="K187" s="92" t="s">
        <v>1061</v>
      </c>
      <c r="L187" s="92">
        <v>28</v>
      </c>
      <c r="M187" s="92">
        <v>1056</v>
      </c>
      <c r="N187" s="92">
        <v>196</v>
      </c>
      <c r="O187" s="92">
        <v>196</v>
      </c>
      <c r="P187" s="92">
        <v>0</v>
      </c>
      <c r="Q187" s="92">
        <v>0</v>
      </c>
      <c r="R187" s="92">
        <v>0</v>
      </c>
      <c r="S187" s="92">
        <v>0</v>
      </c>
      <c r="T187" s="92">
        <v>0</v>
      </c>
      <c r="U187" s="92">
        <v>0</v>
      </c>
      <c r="V187" s="92">
        <v>0</v>
      </c>
      <c r="W187" s="92">
        <v>0</v>
      </c>
      <c r="X187" s="92">
        <v>0</v>
      </c>
      <c r="Y187" s="92">
        <v>0</v>
      </c>
      <c r="Z187" s="92">
        <v>0</v>
      </c>
      <c r="AA187" s="92">
        <v>0</v>
      </c>
      <c r="AB187" s="92">
        <v>73182</v>
      </c>
      <c r="AC187" s="92">
        <v>75377</v>
      </c>
      <c r="AD187" s="92">
        <v>77688</v>
      </c>
      <c r="AE187" s="92">
        <v>0</v>
      </c>
      <c r="AF187" s="92">
        <v>0</v>
      </c>
      <c r="AG187" s="92">
        <v>0</v>
      </c>
    </row>
    <row r="188" spans="1:33" x14ac:dyDescent="0.25">
      <c r="A188" t="str">
        <f t="shared" si="5"/>
        <v>43-3-25</v>
      </c>
      <c r="B188">
        <v>43</v>
      </c>
      <c r="C188" s="92" t="s">
        <v>1053</v>
      </c>
      <c r="D188" s="92">
        <v>3</v>
      </c>
      <c r="E188" s="92" t="s">
        <v>67</v>
      </c>
      <c r="F188" s="92">
        <v>25</v>
      </c>
      <c r="G188" s="92" t="s">
        <v>565</v>
      </c>
      <c r="H188" s="92"/>
      <c r="I188" s="92">
        <v>134123</v>
      </c>
      <c r="J188" s="92">
        <v>1724063</v>
      </c>
      <c r="K188" s="92" t="s">
        <v>1061</v>
      </c>
      <c r="L188" s="92">
        <v>55</v>
      </c>
      <c r="M188" s="92">
        <v>17275</v>
      </c>
      <c r="N188" s="92">
        <v>1442</v>
      </c>
      <c r="O188" s="92">
        <v>1442</v>
      </c>
      <c r="P188" s="92">
        <v>0</v>
      </c>
      <c r="Q188" s="92">
        <v>0</v>
      </c>
      <c r="R188" s="92">
        <v>0</v>
      </c>
      <c r="S188" s="92">
        <v>0</v>
      </c>
      <c r="T188" s="92">
        <v>0</v>
      </c>
      <c r="U188" s="92">
        <v>0</v>
      </c>
      <c r="V188" s="92">
        <v>0</v>
      </c>
      <c r="W188" s="92">
        <v>0</v>
      </c>
      <c r="X188" s="92">
        <v>0</v>
      </c>
      <c r="Y188" s="92">
        <v>0</v>
      </c>
      <c r="Z188" s="92">
        <v>0</v>
      </c>
      <c r="AA188" s="92">
        <v>0</v>
      </c>
      <c r="AB188" s="92">
        <v>931270</v>
      </c>
      <c r="AC188" s="92">
        <v>981849</v>
      </c>
      <c r="AD188" s="92">
        <v>1030394</v>
      </c>
      <c r="AE188" s="92">
        <v>0</v>
      </c>
      <c r="AF188" s="92">
        <v>0</v>
      </c>
      <c r="AG188" s="92">
        <v>0</v>
      </c>
    </row>
    <row r="189" spans="1:33" x14ac:dyDescent="0.25">
      <c r="A189" t="str">
        <f t="shared" si="5"/>
        <v>42-3-26</v>
      </c>
      <c r="B189">
        <v>42</v>
      </c>
      <c r="C189" s="92" t="s">
        <v>1196</v>
      </c>
      <c r="D189" s="92">
        <v>3</v>
      </c>
      <c r="E189" s="92" t="s">
        <v>67</v>
      </c>
      <c r="F189" s="92">
        <v>26</v>
      </c>
      <c r="G189" s="92" t="s">
        <v>552</v>
      </c>
      <c r="H189" s="92"/>
      <c r="I189" s="92">
        <v>1517</v>
      </c>
      <c r="J189" s="92">
        <v>131432</v>
      </c>
      <c r="K189" s="92" t="s">
        <v>1061</v>
      </c>
      <c r="L189" s="92">
        <v>0</v>
      </c>
      <c r="M189" s="92">
        <v>225</v>
      </c>
      <c r="N189" s="92">
        <v>1</v>
      </c>
      <c r="O189" s="92">
        <v>1</v>
      </c>
      <c r="P189" s="92">
        <v>0</v>
      </c>
      <c r="Q189" s="92">
        <v>0</v>
      </c>
      <c r="R189" s="92">
        <v>0</v>
      </c>
      <c r="S189" s="92">
        <v>0</v>
      </c>
      <c r="T189" s="92">
        <v>0</v>
      </c>
      <c r="U189" s="92">
        <v>0</v>
      </c>
      <c r="V189" s="92">
        <v>0</v>
      </c>
      <c r="W189" s="92">
        <v>0</v>
      </c>
      <c r="X189" s="92">
        <v>0</v>
      </c>
      <c r="Y189" s="92">
        <v>0</v>
      </c>
      <c r="Z189" s="92">
        <v>0</v>
      </c>
      <c r="AA189" s="92">
        <v>0</v>
      </c>
      <c r="AB189" s="92">
        <v>16716</v>
      </c>
      <c r="AC189" s="92">
        <v>17224</v>
      </c>
      <c r="AD189" s="92">
        <v>17748</v>
      </c>
      <c r="AE189" s="92">
        <v>0</v>
      </c>
      <c r="AF189" s="92">
        <v>0</v>
      </c>
      <c r="AG189" s="92">
        <v>0</v>
      </c>
    </row>
    <row r="190" spans="1:33" x14ac:dyDescent="0.25">
      <c r="A190" t="str">
        <f t="shared" si="5"/>
        <v>19-3-27</v>
      </c>
      <c r="B190">
        <v>19</v>
      </c>
      <c r="C190" s="92" t="s">
        <v>1032</v>
      </c>
      <c r="D190" s="92">
        <v>3</v>
      </c>
      <c r="E190" s="92" t="s">
        <v>67</v>
      </c>
      <c r="F190" s="92">
        <v>27</v>
      </c>
      <c r="G190" s="92" t="s">
        <v>299</v>
      </c>
      <c r="H190" s="92"/>
      <c r="I190" s="92">
        <v>0</v>
      </c>
      <c r="J190" s="92">
        <v>612294</v>
      </c>
      <c r="K190" s="92" t="s">
        <v>1061</v>
      </c>
      <c r="L190" s="92">
        <v>17</v>
      </c>
      <c r="M190" s="92">
        <v>6834</v>
      </c>
      <c r="N190" s="92">
        <v>1393</v>
      </c>
      <c r="O190" s="92">
        <v>1393</v>
      </c>
      <c r="P190" s="92">
        <v>0</v>
      </c>
      <c r="Q190" s="92">
        <v>0</v>
      </c>
      <c r="R190" s="92">
        <v>0</v>
      </c>
      <c r="S190" s="92">
        <v>0</v>
      </c>
      <c r="T190" s="92">
        <v>0</v>
      </c>
      <c r="U190" s="92">
        <v>0</v>
      </c>
      <c r="V190" s="92">
        <v>0</v>
      </c>
      <c r="W190" s="92">
        <v>0</v>
      </c>
      <c r="X190" s="92">
        <v>0</v>
      </c>
      <c r="Y190" s="92">
        <v>0</v>
      </c>
      <c r="Z190" s="92">
        <v>0</v>
      </c>
      <c r="AA190" s="92">
        <v>0</v>
      </c>
      <c r="AB190" s="92">
        <v>334221</v>
      </c>
      <c r="AC190" s="92">
        <v>341049</v>
      </c>
      <c r="AD190" s="92">
        <v>361407</v>
      </c>
      <c r="AE190" s="92">
        <v>0</v>
      </c>
      <c r="AF190" s="92">
        <v>0</v>
      </c>
      <c r="AG190" s="92">
        <v>9090</v>
      </c>
    </row>
    <row r="191" spans="1:33" x14ac:dyDescent="0.25">
      <c r="A191" t="str">
        <f t="shared" si="5"/>
        <v>3-3-29</v>
      </c>
      <c r="B191">
        <v>3</v>
      </c>
      <c r="C191" s="92" t="s">
        <v>1018</v>
      </c>
      <c r="D191" s="92">
        <v>3</v>
      </c>
      <c r="E191" s="92" t="s">
        <v>67</v>
      </c>
      <c r="F191" s="92">
        <v>29</v>
      </c>
      <c r="G191" s="92" t="s">
        <v>100</v>
      </c>
      <c r="H191" s="92"/>
      <c r="I191" s="92">
        <v>0</v>
      </c>
      <c r="J191" s="92">
        <v>12754179</v>
      </c>
      <c r="K191" s="92" t="s">
        <v>1061</v>
      </c>
      <c r="L191" s="92">
        <v>0</v>
      </c>
      <c r="M191" s="92">
        <v>81774</v>
      </c>
      <c r="N191" s="92">
        <v>15726</v>
      </c>
      <c r="O191" s="92">
        <v>16083</v>
      </c>
      <c r="P191" s="92">
        <v>0</v>
      </c>
      <c r="Q191" s="92">
        <v>0</v>
      </c>
      <c r="R191" s="92">
        <v>0</v>
      </c>
      <c r="S191" s="92">
        <v>0</v>
      </c>
      <c r="T191" s="92">
        <v>0</v>
      </c>
      <c r="U191" s="92">
        <v>0</v>
      </c>
      <c r="V191" s="92">
        <v>0</v>
      </c>
      <c r="W191" s="92">
        <v>0</v>
      </c>
      <c r="X191" s="92">
        <v>0</v>
      </c>
      <c r="Y191" s="92">
        <v>0</v>
      </c>
      <c r="Z191" s="92">
        <v>0</v>
      </c>
      <c r="AA191" s="92">
        <v>0</v>
      </c>
      <c r="AB191" s="92">
        <v>8190694</v>
      </c>
      <c r="AC191" s="92">
        <v>8387511</v>
      </c>
      <c r="AD191" s="92">
        <v>8889386</v>
      </c>
      <c r="AE191" s="92">
        <v>147522</v>
      </c>
      <c r="AF191" s="92">
        <v>0</v>
      </c>
      <c r="AG191" s="92">
        <v>0</v>
      </c>
    </row>
    <row r="192" spans="1:33" x14ac:dyDescent="0.25">
      <c r="A192" t="str">
        <f t="shared" si="5"/>
        <v>9-3-30</v>
      </c>
      <c r="B192">
        <v>9</v>
      </c>
      <c r="C192" s="92" t="s">
        <v>1022</v>
      </c>
      <c r="D192" s="92">
        <v>3</v>
      </c>
      <c r="E192" s="92" t="s">
        <v>67</v>
      </c>
      <c r="F192" s="92">
        <v>30</v>
      </c>
      <c r="G192" s="92" t="s">
        <v>178</v>
      </c>
      <c r="H192" s="92"/>
      <c r="I192" s="92">
        <v>0</v>
      </c>
      <c r="J192" s="92">
        <v>2954632</v>
      </c>
      <c r="K192" s="92" t="s">
        <v>1061</v>
      </c>
      <c r="L192" s="92">
        <v>0</v>
      </c>
      <c r="M192" s="92">
        <v>1635</v>
      </c>
      <c r="N192" s="92">
        <v>523</v>
      </c>
      <c r="O192" s="92">
        <v>606</v>
      </c>
      <c r="P192" s="92">
        <v>0</v>
      </c>
      <c r="Q192" s="92">
        <v>0</v>
      </c>
      <c r="R192" s="92">
        <v>0</v>
      </c>
      <c r="S192" s="92">
        <v>0</v>
      </c>
      <c r="T192" s="92">
        <v>0</v>
      </c>
      <c r="U192" s="92">
        <v>0</v>
      </c>
      <c r="V192" s="92">
        <v>0</v>
      </c>
      <c r="W192" s="92">
        <v>0</v>
      </c>
      <c r="X192" s="92">
        <v>0</v>
      </c>
      <c r="Y192" s="92">
        <v>0</v>
      </c>
      <c r="Z192" s="92">
        <v>0</v>
      </c>
      <c r="AA192" s="92">
        <v>0</v>
      </c>
      <c r="AB192" s="92">
        <v>90591</v>
      </c>
      <c r="AC192" s="92">
        <v>93509</v>
      </c>
      <c r="AD192" s="92">
        <v>93553</v>
      </c>
      <c r="AE192" s="92">
        <v>0</v>
      </c>
      <c r="AF192" s="92">
        <v>0</v>
      </c>
      <c r="AG192" s="92">
        <v>0</v>
      </c>
    </row>
    <row r="193" spans="1:33" x14ac:dyDescent="0.25">
      <c r="A193" t="str">
        <f t="shared" si="5"/>
        <v>21-3-32</v>
      </c>
      <c r="B193">
        <v>21</v>
      </c>
      <c r="C193" s="92" t="s">
        <v>1034</v>
      </c>
      <c r="D193" s="92">
        <v>3</v>
      </c>
      <c r="E193" s="92" t="s">
        <v>67</v>
      </c>
      <c r="F193" s="92">
        <v>32</v>
      </c>
      <c r="G193" s="92" t="s">
        <v>314</v>
      </c>
      <c r="H193" s="92"/>
      <c r="I193" s="92">
        <v>0</v>
      </c>
      <c r="J193" s="92">
        <v>557229</v>
      </c>
      <c r="K193" s="92" t="s">
        <v>1061</v>
      </c>
      <c r="L193" s="92">
        <v>24</v>
      </c>
      <c r="M193" s="92">
        <v>285</v>
      </c>
      <c r="N193" s="92">
        <v>82</v>
      </c>
      <c r="O193" s="92">
        <v>97</v>
      </c>
      <c r="P193" s="92">
        <v>0</v>
      </c>
      <c r="Q193" s="92">
        <v>0</v>
      </c>
      <c r="R193" s="92">
        <v>0</v>
      </c>
      <c r="S193" s="92">
        <v>0</v>
      </c>
      <c r="T193" s="92">
        <v>0</v>
      </c>
      <c r="U193" s="92">
        <v>0</v>
      </c>
      <c r="V193" s="92">
        <v>0</v>
      </c>
      <c r="W193" s="92">
        <v>0</v>
      </c>
      <c r="X193" s="92">
        <v>0</v>
      </c>
      <c r="Y193" s="92">
        <v>0</v>
      </c>
      <c r="Z193" s="92">
        <v>0</v>
      </c>
      <c r="AA193" s="92">
        <v>0</v>
      </c>
      <c r="AB193" s="92">
        <v>35518</v>
      </c>
      <c r="AC193" s="92">
        <v>36360</v>
      </c>
      <c r="AD193" s="92">
        <v>38854</v>
      </c>
      <c r="AE193" s="92">
        <v>808</v>
      </c>
      <c r="AF193" s="92">
        <v>0</v>
      </c>
      <c r="AG193" s="92">
        <v>0</v>
      </c>
    </row>
    <row r="194" spans="1:33" x14ac:dyDescent="0.25">
      <c r="A194" t="str">
        <f t="shared" si="5"/>
        <v>28-3-33</v>
      </c>
      <c r="B194">
        <v>28</v>
      </c>
      <c r="C194" s="92" t="s">
        <v>1041</v>
      </c>
      <c r="D194" s="92">
        <v>3</v>
      </c>
      <c r="E194" s="92" t="s">
        <v>67</v>
      </c>
      <c r="F194" s="92">
        <v>33</v>
      </c>
      <c r="G194" s="92" t="s">
        <v>406</v>
      </c>
      <c r="H194" s="92"/>
      <c r="I194" s="92">
        <v>6490922</v>
      </c>
      <c r="J194" s="92">
        <v>58283583</v>
      </c>
      <c r="K194" s="92" t="s">
        <v>1061</v>
      </c>
      <c r="L194" s="92">
        <v>461</v>
      </c>
      <c r="M194" s="92">
        <v>288085</v>
      </c>
      <c r="N194" s="92">
        <v>39034</v>
      </c>
      <c r="O194" s="92">
        <v>40210</v>
      </c>
      <c r="P194" s="92">
        <v>0</v>
      </c>
      <c r="Q194" s="92">
        <v>0</v>
      </c>
      <c r="R194" s="92">
        <v>0</v>
      </c>
      <c r="S194" s="92">
        <v>0</v>
      </c>
      <c r="T194" s="92">
        <v>0</v>
      </c>
      <c r="U194" s="92">
        <v>5224</v>
      </c>
      <c r="V194" s="92">
        <v>0</v>
      </c>
      <c r="W194" s="92">
        <v>0</v>
      </c>
      <c r="X194" s="92">
        <v>0</v>
      </c>
      <c r="Y194" s="92">
        <v>0</v>
      </c>
      <c r="Z194" s="92">
        <v>0</v>
      </c>
      <c r="AA194" s="92">
        <v>0</v>
      </c>
      <c r="AB194" s="92">
        <v>26267446</v>
      </c>
      <c r="AC194" s="92">
        <v>27529149</v>
      </c>
      <c r="AD194" s="92">
        <v>28970794</v>
      </c>
      <c r="AE194" s="92">
        <v>0</v>
      </c>
      <c r="AF194" s="92">
        <v>0</v>
      </c>
      <c r="AG194" s="92">
        <v>0</v>
      </c>
    </row>
    <row r="195" spans="1:33" x14ac:dyDescent="0.25">
      <c r="A195" t="str">
        <f t="shared" ref="A195:A210" si="6">B195&amp;"-"&amp;D195&amp;"-"&amp;F195</f>
        <v>25-3-34</v>
      </c>
      <c r="B195">
        <v>25</v>
      </c>
      <c r="C195" s="92" t="s">
        <v>1038</v>
      </c>
      <c r="D195" s="92">
        <v>3</v>
      </c>
      <c r="E195" s="92" t="s">
        <v>67</v>
      </c>
      <c r="F195" s="92">
        <v>34</v>
      </c>
      <c r="G195" s="92" t="s">
        <v>362</v>
      </c>
      <c r="H195" s="92"/>
      <c r="I195" s="92">
        <v>10980</v>
      </c>
      <c r="J195" s="92">
        <v>883651</v>
      </c>
      <c r="K195" s="92" t="s">
        <v>1061</v>
      </c>
      <c r="L195" s="92">
        <v>0</v>
      </c>
      <c r="M195" s="92">
        <v>4976</v>
      </c>
      <c r="N195" s="92">
        <v>579</v>
      </c>
      <c r="O195" s="92">
        <v>589</v>
      </c>
      <c r="P195" s="92">
        <v>0</v>
      </c>
      <c r="Q195" s="92">
        <v>0</v>
      </c>
      <c r="R195" s="92">
        <v>0</v>
      </c>
      <c r="S195" s="92">
        <v>0</v>
      </c>
      <c r="T195" s="92">
        <v>0</v>
      </c>
      <c r="U195" s="92">
        <v>0</v>
      </c>
      <c r="V195" s="92">
        <v>0</v>
      </c>
      <c r="W195" s="92">
        <v>0</v>
      </c>
      <c r="X195" s="92">
        <v>0</v>
      </c>
      <c r="Y195" s="92">
        <v>0</v>
      </c>
      <c r="Z195" s="92">
        <v>0</v>
      </c>
      <c r="AA195" s="92">
        <v>0</v>
      </c>
      <c r="AB195" s="92">
        <v>318175</v>
      </c>
      <c r="AC195" s="92">
        <v>328701</v>
      </c>
      <c r="AD195" s="92">
        <v>339840</v>
      </c>
      <c r="AE195" s="92">
        <v>0</v>
      </c>
      <c r="AF195" s="92">
        <v>0</v>
      </c>
      <c r="AG195" s="92">
        <v>0</v>
      </c>
    </row>
    <row r="196" spans="1:33" x14ac:dyDescent="0.25">
      <c r="A196" t="str">
        <f t="shared" si="6"/>
        <v>2-3-35</v>
      </c>
      <c r="B196">
        <v>2</v>
      </c>
      <c r="C196" s="92" t="s">
        <v>1017</v>
      </c>
      <c r="D196" s="92">
        <v>3</v>
      </c>
      <c r="E196" s="92" t="s">
        <v>67</v>
      </c>
      <c r="F196" s="92">
        <v>35</v>
      </c>
      <c r="G196" s="92" t="s">
        <v>622</v>
      </c>
      <c r="H196" s="92"/>
      <c r="I196" s="92">
        <v>32623</v>
      </c>
      <c r="J196" s="92">
        <v>1612240</v>
      </c>
      <c r="K196" s="92" t="s">
        <v>1061</v>
      </c>
      <c r="L196" s="92">
        <v>23</v>
      </c>
      <c r="M196" s="92">
        <v>8559</v>
      </c>
      <c r="N196" s="92">
        <v>939</v>
      </c>
      <c r="O196" s="92">
        <v>939</v>
      </c>
      <c r="P196" s="92">
        <v>0</v>
      </c>
      <c r="Q196" s="92">
        <v>0</v>
      </c>
      <c r="R196" s="92">
        <v>0</v>
      </c>
      <c r="S196" s="92">
        <v>0</v>
      </c>
      <c r="T196" s="92">
        <v>0</v>
      </c>
      <c r="U196" s="92">
        <v>0</v>
      </c>
      <c r="V196" s="92">
        <v>0</v>
      </c>
      <c r="W196" s="92">
        <v>0</v>
      </c>
      <c r="X196" s="92">
        <v>0</v>
      </c>
      <c r="Y196" s="92">
        <v>0</v>
      </c>
      <c r="Z196" s="92">
        <v>0</v>
      </c>
      <c r="AA196" s="92">
        <v>0</v>
      </c>
      <c r="AB196" s="92">
        <v>208711</v>
      </c>
      <c r="AC196" s="92">
        <v>218530</v>
      </c>
      <c r="AD196" s="92">
        <v>225372</v>
      </c>
      <c r="AE196" s="92">
        <v>0</v>
      </c>
      <c r="AF196" s="92">
        <v>0</v>
      </c>
      <c r="AG196" s="92">
        <v>0</v>
      </c>
    </row>
    <row r="197" spans="1:33" x14ac:dyDescent="0.25">
      <c r="A197" t="str">
        <f t="shared" si="6"/>
        <v>31-3-36</v>
      </c>
      <c r="B197">
        <v>31</v>
      </c>
      <c r="C197" s="92" t="s">
        <v>1044</v>
      </c>
      <c r="D197" s="92">
        <v>3</v>
      </c>
      <c r="E197" s="92" t="s">
        <v>67</v>
      </c>
      <c r="F197" s="92">
        <v>36</v>
      </c>
      <c r="G197" s="92" t="s">
        <v>459</v>
      </c>
      <c r="H197" s="92"/>
      <c r="I197" s="92">
        <v>0</v>
      </c>
      <c r="J197" s="92">
        <v>621465</v>
      </c>
      <c r="K197" s="92" t="s">
        <v>1061</v>
      </c>
      <c r="L197" s="92">
        <v>838</v>
      </c>
      <c r="M197" s="92">
        <v>4889</v>
      </c>
      <c r="N197" s="92">
        <v>2025</v>
      </c>
      <c r="O197" s="92">
        <v>2181</v>
      </c>
      <c r="P197" s="92">
        <v>0</v>
      </c>
      <c r="Q197" s="92">
        <v>0</v>
      </c>
      <c r="R197" s="92">
        <v>0</v>
      </c>
      <c r="S197" s="92">
        <v>0</v>
      </c>
      <c r="T197" s="92">
        <v>0</v>
      </c>
      <c r="U197" s="92">
        <v>0</v>
      </c>
      <c r="V197" s="92">
        <v>0</v>
      </c>
      <c r="W197" s="92">
        <v>0</v>
      </c>
      <c r="X197" s="92">
        <v>0</v>
      </c>
      <c r="Y197" s="92">
        <v>0</v>
      </c>
      <c r="Z197" s="92">
        <v>0</v>
      </c>
      <c r="AA197" s="92">
        <v>0</v>
      </c>
      <c r="AB197" s="92">
        <v>247450</v>
      </c>
      <c r="AC197" s="92">
        <v>260149</v>
      </c>
      <c r="AD197" s="92">
        <v>264750</v>
      </c>
      <c r="AE197" s="92">
        <v>0</v>
      </c>
      <c r="AF197" s="92">
        <v>3846</v>
      </c>
      <c r="AG197" s="92">
        <v>0</v>
      </c>
    </row>
    <row r="198" spans="1:33" x14ac:dyDescent="0.25">
      <c r="A198" t="str">
        <f t="shared" si="6"/>
        <v>35-3-38</v>
      </c>
      <c r="B198">
        <v>35</v>
      </c>
      <c r="C198" s="92" t="s">
        <v>1195</v>
      </c>
      <c r="D198" s="92">
        <v>3</v>
      </c>
      <c r="E198" s="92" t="s">
        <v>67</v>
      </c>
      <c r="F198" s="92">
        <v>38</v>
      </c>
      <c r="G198" s="92" t="s">
        <v>494</v>
      </c>
      <c r="H198" s="92"/>
      <c r="I198" s="92">
        <v>360</v>
      </c>
      <c r="J198" s="92">
        <v>432448</v>
      </c>
      <c r="K198" s="92" t="s">
        <v>1061</v>
      </c>
      <c r="L198" s="92">
        <v>32</v>
      </c>
      <c r="M198" s="92">
        <v>148</v>
      </c>
      <c r="N198" s="92">
        <v>39</v>
      </c>
      <c r="O198" s="92">
        <v>39</v>
      </c>
      <c r="P198" s="92">
        <v>0</v>
      </c>
      <c r="Q198" s="92">
        <v>0</v>
      </c>
      <c r="R198" s="92">
        <v>0</v>
      </c>
      <c r="S198" s="92">
        <v>0</v>
      </c>
      <c r="T198" s="92">
        <v>0</v>
      </c>
      <c r="U198" s="92">
        <v>0</v>
      </c>
      <c r="V198" s="92">
        <v>0</v>
      </c>
      <c r="W198" s="92">
        <v>0</v>
      </c>
      <c r="X198" s="92">
        <v>0</v>
      </c>
      <c r="Y198" s="92">
        <v>0</v>
      </c>
      <c r="Z198" s="92">
        <v>0</v>
      </c>
      <c r="AA198" s="92">
        <v>0</v>
      </c>
      <c r="AB198" s="92">
        <v>130653</v>
      </c>
      <c r="AC198" s="92">
        <v>134579</v>
      </c>
      <c r="AD198" s="92">
        <v>139175</v>
      </c>
      <c r="AE198" s="92">
        <v>0</v>
      </c>
      <c r="AF198" s="92">
        <v>0</v>
      </c>
      <c r="AG198" s="92">
        <v>0</v>
      </c>
    </row>
    <row r="199" spans="1:33" x14ac:dyDescent="0.25">
      <c r="A199" t="str">
        <f t="shared" si="6"/>
        <v>28-3-39</v>
      </c>
      <c r="B199">
        <v>28</v>
      </c>
      <c r="C199" s="92" t="s">
        <v>1041</v>
      </c>
      <c r="D199" s="92">
        <v>3</v>
      </c>
      <c r="E199" s="92" t="s">
        <v>67</v>
      </c>
      <c r="F199" s="92">
        <v>39</v>
      </c>
      <c r="G199" s="92" t="s">
        <v>407</v>
      </c>
      <c r="H199" s="92"/>
      <c r="I199" s="92">
        <v>0</v>
      </c>
      <c r="J199" s="92">
        <v>4860279</v>
      </c>
      <c r="K199" s="92" t="s">
        <v>1061</v>
      </c>
      <c r="L199" s="92">
        <v>2</v>
      </c>
      <c r="M199" s="92">
        <v>2169</v>
      </c>
      <c r="N199" s="92">
        <v>174</v>
      </c>
      <c r="O199" s="92">
        <v>243</v>
      </c>
      <c r="P199" s="92">
        <v>0</v>
      </c>
      <c r="Q199" s="92">
        <v>0</v>
      </c>
      <c r="R199" s="92">
        <v>0</v>
      </c>
      <c r="S199" s="92">
        <v>0</v>
      </c>
      <c r="T199" s="92">
        <v>0</v>
      </c>
      <c r="U199" s="92">
        <v>0</v>
      </c>
      <c r="V199" s="92">
        <v>0</v>
      </c>
      <c r="W199" s="92">
        <v>0</v>
      </c>
      <c r="X199" s="92">
        <v>0</v>
      </c>
      <c r="Y199" s="92">
        <v>0</v>
      </c>
      <c r="Z199" s="92">
        <v>0</v>
      </c>
      <c r="AA199" s="92">
        <v>0</v>
      </c>
      <c r="AB199" s="92">
        <v>181629</v>
      </c>
      <c r="AC199" s="92">
        <v>187377</v>
      </c>
      <c r="AD199" s="92">
        <v>194150</v>
      </c>
      <c r="AE199" s="92">
        <v>0</v>
      </c>
      <c r="AF199" s="92">
        <v>0</v>
      </c>
      <c r="AG199" s="92">
        <v>0</v>
      </c>
    </row>
    <row r="200" spans="1:33" x14ac:dyDescent="0.25">
      <c r="A200" t="str">
        <f t="shared" si="6"/>
        <v>21-3-40</v>
      </c>
      <c r="B200">
        <v>21</v>
      </c>
      <c r="C200" s="92" t="s">
        <v>1034</v>
      </c>
      <c r="D200" s="92">
        <v>3</v>
      </c>
      <c r="E200" s="92" t="s">
        <v>67</v>
      </c>
      <c r="F200" s="92">
        <v>40</v>
      </c>
      <c r="G200" s="92" t="s">
        <v>315</v>
      </c>
      <c r="H200" s="92"/>
      <c r="I200" s="92">
        <v>0</v>
      </c>
      <c r="J200" s="92">
        <v>17970132</v>
      </c>
      <c r="K200" s="92" t="s">
        <v>1061</v>
      </c>
      <c r="L200" s="92">
        <v>875</v>
      </c>
      <c r="M200" s="92">
        <v>540</v>
      </c>
      <c r="N200" s="92">
        <v>191</v>
      </c>
      <c r="O200" s="92">
        <v>260</v>
      </c>
      <c r="P200" s="92">
        <v>0</v>
      </c>
      <c r="Q200" s="92">
        <v>0</v>
      </c>
      <c r="R200" s="92">
        <v>0</v>
      </c>
      <c r="S200" s="92">
        <v>0</v>
      </c>
      <c r="T200" s="92">
        <v>0</v>
      </c>
      <c r="U200" s="92">
        <v>0</v>
      </c>
      <c r="V200" s="92">
        <v>0</v>
      </c>
      <c r="W200" s="92">
        <v>0</v>
      </c>
      <c r="X200" s="92">
        <v>0</v>
      </c>
      <c r="Y200" s="92">
        <v>0</v>
      </c>
      <c r="Z200" s="92">
        <v>0</v>
      </c>
      <c r="AA200" s="92">
        <v>0</v>
      </c>
      <c r="AB200" s="92">
        <v>32269</v>
      </c>
      <c r="AC200" s="92">
        <v>33761</v>
      </c>
      <c r="AD200" s="92">
        <v>35137</v>
      </c>
      <c r="AE200" s="92">
        <v>0</v>
      </c>
      <c r="AF200" s="92">
        <v>0</v>
      </c>
      <c r="AG200" s="92">
        <v>0</v>
      </c>
    </row>
    <row r="201" spans="1:33" x14ac:dyDescent="0.25">
      <c r="A201" t="str">
        <f t="shared" si="6"/>
        <v>29-3-41</v>
      </c>
      <c r="B201">
        <v>29</v>
      </c>
      <c r="C201" s="92" t="s">
        <v>1042</v>
      </c>
      <c r="D201" s="92">
        <v>3</v>
      </c>
      <c r="E201" s="92" t="s">
        <v>67</v>
      </c>
      <c r="F201" s="92">
        <v>41</v>
      </c>
      <c r="G201" s="92" t="s">
        <v>435</v>
      </c>
      <c r="H201" s="92"/>
      <c r="I201" s="92">
        <v>0</v>
      </c>
      <c r="J201" s="92">
        <v>829247</v>
      </c>
      <c r="K201" s="92" t="s">
        <v>1061</v>
      </c>
      <c r="L201" s="92">
        <v>31</v>
      </c>
      <c r="M201" s="92">
        <v>2314</v>
      </c>
      <c r="N201" s="92">
        <v>6</v>
      </c>
      <c r="O201" s="92">
        <v>6</v>
      </c>
      <c r="P201" s="92">
        <v>0</v>
      </c>
      <c r="Q201" s="92">
        <v>0</v>
      </c>
      <c r="R201" s="92">
        <v>0</v>
      </c>
      <c r="S201" s="92">
        <v>172.42</v>
      </c>
      <c r="T201" s="92">
        <v>301</v>
      </c>
      <c r="U201" s="92">
        <v>0</v>
      </c>
      <c r="V201" s="92">
        <v>0</v>
      </c>
      <c r="W201" s="92">
        <v>0</v>
      </c>
      <c r="X201" s="92">
        <v>0</v>
      </c>
      <c r="Y201" s="92">
        <v>0</v>
      </c>
      <c r="Z201" s="92">
        <v>0</v>
      </c>
      <c r="AA201" s="92">
        <v>0</v>
      </c>
      <c r="AB201" s="92">
        <v>155454</v>
      </c>
      <c r="AC201" s="92">
        <v>160755</v>
      </c>
      <c r="AD201" s="92">
        <v>168225</v>
      </c>
      <c r="AE201" s="92">
        <v>0</v>
      </c>
      <c r="AF201" s="92">
        <v>0</v>
      </c>
      <c r="AG201" s="92">
        <v>0</v>
      </c>
    </row>
    <row r="202" spans="1:33" x14ac:dyDescent="0.25">
      <c r="A202" t="str">
        <f t="shared" si="6"/>
        <v>16-3-42</v>
      </c>
      <c r="B202">
        <v>16</v>
      </c>
      <c r="C202" s="92" t="s">
        <v>1029</v>
      </c>
      <c r="D202" s="92">
        <v>3</v>
      </c>
      <c r="E202" s="92" t="s">
        <v>67</v>
      </c>
      <c r="F202" s="92">
        <v>42</v>
      </c>
      <c r="G202" s="92" t="s">
        <v>267</v>
      </c>
      <c r="H202" s="92"/>
      <c r="I202" s="92">
        <v>0</v>
      </c>
      <c r="J202" s="92">
        <v>417596</v>
      </c>
      <c r="K202" s="92" t="s">
        <v>1061</v>
      </c>
      <c r="L202" s="92">
        <v>935</v>
      </c>
      <c r="M202" s="92">
        <v>675</v>
      </c>
      <c r="N202" s="92">
        <v>22</v>
      </c>
      <c r="O202" s="92">
        <v>27</v>
      </c>
      <c r="P202" s="92">
        <v>0</v>
      </c>
      <c r="Q202" s="92">
        <v>0</v>
      </c>
      <c r="R202" s="92">
        <v>0</v>
      </c>
      <c r="S202" s="92">
        <v>0</v>
      </c>
      <c r="T202" s="92">
        <v>0</v>
      </c>
      <c r="U202" s="92">
        <v>0</v>
      </c>
      <c r="V202" s="92">
        <v>0</v>
      </c>
      <c r="W202" s="92">
        <v>0</v>
      </c>
      <c r="X202" s="92">
        <v>0</v>
      </c>
      <c r="Y202" s="92">
        <v>0</v>
      </c>
      <c r="Z202" s="92">
        <v>0</v>
      </c>
      <c r="AA202" s="92">
        <v>0</v>
      </c>
      <c r="AB202" s="92">
        <v>33599</v>
      </c>
      <c r="AC202" s="92">
        <v>34958</v>
      </c>
      <c r="AD202" s="92">
        <v>36878</v>
      </c>
      <c r="AE202" s="92">
        <v>0</v>
      </c>
      <c r="AF202" s="92">
        <v>0</v>
      </c>
      <c r="AG202" s="92">
        <v>0</v>
      </c>
    </row>
    <row r="203" spans="1:33" x14ac:dyDescent="0.25">
      <c r="A203" t="str">
        <f t="shared" si="6"/>
        <v>32-3-43</v>
      </c>
      <c r="B203">
        <v>32</v>
      </c>
      <c r="C203" s="92" t="s">
        <v>1045</v>
      </c>
      <c r="D203" s="92">
        <v>3</v>
      </c>
      <c r="E203" s="92" t="s">
        <v>67</v>
      </c>
      <c r="F203" s="92">
        <v>43</v>
      </c>
      <c r="G203" s="92" t="s">
        <v>466</v>
      </c>
      <c r="H203" s="92"/>
      <c r="I203" s="92">
        <v>16</v>
      </c>
      <c r="J203" s="92">
        <v>798816</v>
      </c>
      <c r="K203" s="92" t="s">
        <v>1061</v>
      </c>
      <c r="L203" s="92">
        <v>10</v>
      </c>
      <c r="M203" s="92">
        <v>232</v>
      </c>
      <c r="N203" s="92">
        <v>36</v>
      </c>
      <c r="O203" s="92">
        <v>41</v>
      </c>
      <c r="P203" s="92">
        <v>0</v>
      </c>
      <c r="Q203" s="92">
        <v>0</v>
      </c>
      <c r="R203" s="92">
        <v>0</v>
      </c>
      <c r="S203" s="92">
        <v>0</v>
      </c>
      <c r="T203" s="92">
        <v>0</v>
      </c>
      <c r="U203" s="92">
        <v>0</v>
      </c>
      <c r="V203" s="92">
        <v>0</v>
      </c>
      <c r="W203" s="92">
        <v>0</v>
      </c>
      <c r="X203" s="92">
        <v>0</v>
      </c>
      <c r="Y203" s="92">
        <v>0</v>
      </c>
      <c r="Z203" s="92">
        <v>0</v>
      </c>
      <c r="AA203" s="92">
        <v>0</v>
      </c>
      <c r="AB203" s="92">
        <v>30048</v>
      </c>
      <c r="AC203" s="92">
        <v>31274</v>
      </c>
      <c r="AD203" s="92">
        <v>32613</v>
      </c>
      <c r="AE203" s="92">
        <v>0</v>
      </c>
      <c r="AF203" s="92">
        <v>0</v>
      </c>
      <c r="AG203" s="92">
        <v>0</v>
      </c>
    </row>
    <row r="204" spans="1:33" x14ac:dyDescent="0.25">
      <c r="A204" t="str">
        <f t="shared" si="6"/>
        <v>43-3-44</v>
      </c>
      <c r="B204">
        <v>43</v>
      </c>
      <c r="C204" s="92" t="s">
        <v>1053</v>
      </c>
      <c r="D204" s="92">
        <v>3</v>
      </c>
      <c r="E204" s="92" t="s">
        <v>67</v>
      </c>
      <c r="F204" s="92">
        <v>44</v>
      </c>
      <c r="G204" s="92" t="s">
        <v>566</v>
      </c>
      <c r="H204" s="92"/>
      <c r="I204" s="92">
        <v>0</v>
      </c>
      <c r="J204" s="92">
        <v>644328</v>
      </c>
      <c r="K204" s="92" t="s">
        <v>1061</v>
      </c>
      <c r="L204" s="92">
        <v>36</v>
      </c>
      <c r="M204" s="92">
        <v>2276</v>
      </c>
      <c r="N204" s="92">
        <v>409</v>
      </c>
      <c r="O204" s="92">
        <v>409</v>
      </c>
      <c r="P204" s="92">
        <v>0</v>
      </c>
      <c r="Q204" s="92">
        <v>0</v>
      </c>
      <c r="R204" s="92">
        <v>0</v>
      </c>
      <c r="S204" s="92">
        <v>0</v>
      </c>
      <c r="T204" s="92">
        <v>0</v>
      </c>
      <c r="U204" s="92">
        <v>0</v>
      </c>
      <c r="V204" s="92">
        <v>0</v>
      </c>
      <c r="W204" s="92">
        <v>0</v>
      </c>
      <c r="X204" s="92">
        <v>0</v>
      </c>
      <c r="Y204" s="92">
        <v>0</v>
      </c>
      <c r="Z204" s="92">
        <v>0</v>
      </c>
      <c r="AA204" s="92">
        <v>0</v>
      </c>
      <c r="AB204" s="92">
        <v>141190</v>
      </c>
      <c r="AC204" s="92">
        <v>146357</v>
      </c>
      <c r="AD204" s="92">
        <v>151423</v>
      </c>
      <c r="AE204" s="92">
        <v>0</v>
      </c>
      <c r="AF204" s="92">
        <v>0</v>
      </c>
      <c r="AG204" s="92">
        <v>0</v>
      </c>
    </row>
    <row r="205" spans="1:33" x14ac:dyDescent="0.25">
      <c r="A205" t="str">
        <f t="shared" si="6"/>
        <v>9-3-200</v>
      </c>
      <c r="B205">
        <v>9</v>
      </c>
      <c r="C205" s="92" t="s">
        <v>1022</v>
      </c>
      <c r="D205" s="92">
        <v>3</v>
      </c>
      <c r="E205" s="92" t="s">
        <v>67</v>
      </c>
      <c r="F205" s="92">
        <v>200</v>
      </c>
      <c r="G205" s="92" t="s">
        <v>179</v>
      </c>
      <c r="H205" s="92"/>
      <c r="I205" s="92">
        <v>3187</v>
      </c>
      <c r="J205" s="92">
        <v>6459458</v>
      </c>
      <c r="K205" s="92" t="s">
        <v>1061</v>
      </c>
      <c r="L205" s="92">
        <v>18</v>
      </c>
      <c r="M205" s="92">
        <v>560</v>
      </c>
      <c r="N205" s="92">
        <v>90</v>
      </c>
      <c r="O205" s="92">
        <v>154</v>
      </c>
      <c r="P205" s="92">
        <v>0</v>
      </c>
      <c r="Q205" s="92">
        <v>0</v>
      </c>
      <c r="R205" s="92">
        <v>0</v>
      </c>
      <c r="S205" s="92">
        <v>0</v>
      </c>
      <c r="T205" s="92">
        <v>25</v>
      </c>
      <c r="U205" s="92">
        <v>323</v>
      </c>
      <c r="V205" s="92">
        <v>0</v>
      </c>
      <c r="W205" s="92">
        <v>0</v>
      </c>
      <c r="X205" s="92">
        <v>0</v>
      </c>
      <c r="Y205" s="92">
        <v>0</v>
      </c>
      <c r="Z205" s="92">
        <v>0</v>
      </c>
      <c r="AA205" s="92">
        <v>0</v>
      </c>
      <c r="AB205" s="92">
        <v>99582</v>
      </c>
      <c r="AC205" s="92">
        <v>105134</v>
      </c>
      <c r="AD205" s="92">
        <v>109430</v>
      </c>
      <c r="AE205" s="92">
        <v>2892</v>
      </c>
      <c r="AF205" s="92">
        <v>3053</v>
      </c>
      <c r="AG205" s="92">
        <v>3187</v>
      </c>
    </row>
    <row r="206" spans="1:33" x14ac:dyDescent="0.25">
      <c r="A206" t="str">
        <f t="shared" si="6"/>
        <v>3-3-45</v>
      </c>
      <c r="B206">
        <v>3</v>
      </c>
      <c r="C206" s="92" t="s">
        <v>1018</v>
      </c>
      <c r="D206" s="92">
        <v>3</v>
      </c>
      <c r="E206" s="92" t="s">
        <v>67</v>
      </c>
      <c r="F206" s="92">
        <v>45</v>
      </c>
      <c r="G206" s="92" t="s">
        <v>101</v>
      </c>
      <c r="H206" s="92"/>
      <c r="I206" s="92">
        <v>54778</v>
      </c>
      <c r="J206" s="92">
        <v>9486952</v>
      </c>
      <c r="K206" s="92" t="s">
        <v>1061</v>
      </c>
      <c r="L206" s="92">
        <v>0</v>
      </c>
      <c r="M206" s="92">
        <v>4046</v>
      </c>
      <c r="N206" s="92">
        <v>674</v>
      </c>
      <c r="O206" s="92">
        <v>707</v>
      </c>
      <c r="P206" s="92">
        <v>0</v>
      </c>
      <c r="Q206" s="92">
        <v>0</v>
      </c>
      <c r="R206" s="92">
        <v>0</v>
      </c>
      <c r="S206" s="92">
        <v>0</v>
      </c>
      <c r="T206" s="92">
        <v>0</v>
      </c>
      <c r="U206" s="92">
        <v>0</v>
      </c>
      <c r="V206" s="92">
        <v>0</v>
      </c>
      <c r="W206" s="92">
        <v>0</v>
      </c>
      <c r="X206" s="92">
        <v>0</v>
      </c>
      <c r="Y206" s="92">
        <v>0</v>
      </c>
      <c r="Z206" s="92">
        <v>0</v>
      </c>
      <c r="AA206" s="92">
        <v>0</v>
      </c>
      <c r="AB206" s="92">
        <v>158996</v>
      </c>
      <c r="AC206" s="92">
        <v>158916</v>
      </c>
      <c r="AD206" s="92">
        <v>161322</v>
      </c>
      <c r="AE206" s="92">
        <v>0</v>
      </c>
      <c r="AF206" s="92">
        <v>0</v>
      </c>
      <c r="AG206" s="92">
        <v>0</v>
      </c>
    </row>
    <row r="207" spans="1:33" x14ac:dyDescent="0.25">
      <c r="A207" t="str">
        <f t="shared" si="6"/>
        <v>41-3-46</v>
      </c>
      <c r="B207">
        <v>41</v>
      </c>
      <c r="C207" s="92" t="s">
        <v>1052</v>
      </c>
      <c r="D207" s="92">
        <v>3</v>
      </c>
      <c r="E207" s="92" t="s">
        <v>67</v>
      </c>
      <c r="F207" s="92">
        <v>46</v>
      </c>
      <c r="G207" s="92" t="s">
        <v>543</v>
      </c>
      <c r="H207" s="92"/>
      <c r="I207" s="92">
        <v>0</v>
      </c>
      <c r="J207" s="92">
        <v>1135842</v>
      </c>
      <c r="K207" s="92" t="s">
        <v>1061</v>
      </c>
      <c r="L207" s="92">
        <v>292</v>
      </c>
      <c r="M207" s="92">
        <v>6439</v>
      </c>
      <c r="N207" s="92">
        <v>787</v>
      </c>
      <c r="O207" s="92">
        <v>820</v>
      </c>
      <c r="P207" s="92">
        <v>0</v>
      </c>
      <c r="Q207" s="92">
        <v>0</v>
      </c>
      <c r="R207" s="92">
        <v>0</v>
      </c>
      <c r="S207" s="92">
        <v>0</v>
      </c>
      <c r="T207" s="92">
        <v>0</v>
      </c>
      <c r="U207" s="92">
        <v>0</v>
      </c>
      <c r="V207" s="92">
        <v>0</v>
      </c>
      <c r="W207" s="92">
        <v>0</v>
      </c>
      <c r="X207" s="92">
        <v>0</v>
      </c>
      <c r="Y207" s="92">
        <v>0</v>
      </c>
      <c r="Z207" s="92">
        <v>0</v>
      </c>
      <c r="AA207" s="92">
        <v>0</v>
      </c>
      <c r="AB207" s="92">
        <v>721767</v>
      </c>
      <c r="AC207" s="92">
        <v>780110</v>
      </c>
      <c r="AD207" s="92">
        <v>839371</v>
      </c>
      <c r="AE207" s="92">
        <v>0</v>
      </c>
      <c r="AF207" s="92">
        <v>0</v>
      </c>
      <c r="AG207" s="92">
        <v>0</v>
      </c>
    </row>
    <row r="208" spans="1:33" x14ac:dyDescent="0.25">
      <c r="A208" t="str">
        <f t="shared" si="6"/>
        <v>22-3-47</v>
      </c>
      <c r="B208">
        <v>22</v>
      </c>
      <c r="C208" s="92" t="s">
        <v>1035</v>
      </c>
      <c r="D208" s="92">
        <v>3</v>
      </c>
      <c r="E208" s="92" t="s">
        <v>67</v>
      </c>
      <c r="F208" s="92">
        <v>47</v>
      </c>
      <c r="G208" s="92" t="s">
        <v>332</v>
      </c>
      <c r="H208" s="92"/>
      <c r="I208" s="92">
        <v>296</v>
      </c>
      <c r="J208" s="92">
        <v>8534</v>
      </c>
      <c r="K208" s="92" t="s">
        <v>1061</v>
      </c>
      <c r="L208" s="92">
        <v>0</v>
      </c>
      <c r="M208" s="92">
        <v>11</v>
      </c>
      <c r="N208" s="92">
        <v>12</v>
      </c>
      <c r="O208" s="92">
        <v>16</v>
      </c>
      <c r="P208" s="92">
        <v>0</v>
      </c>
      <c r="Q208" s="92">
        <v>0</v>
      </c>
      <c r="R208" s="92">
        <v>0</v>
      </c>
      <c r="S208" s="92">
        <v>0</v>
      </c>
      <c r="T208" s="92">
        <v>0</v>
      </c>
      <c r="U208" s="92">
        <v>0</v>
      </c>
      <c r="V208" s="92">
        <v>0</v>
      </c>
      <c r="W208" s="92">
        <v>0</v>
      </c>
      <c r="X208" s="92">
        <v>0</v>
      </c>
      <c r="Y208" s="92">
        <v>0</v>
      </c>
      <c r="Z208" s="92">
        <v>0</v>
      </c>
      <c r="AA208" s="92">
        <v>0</v>
      </c>
      <c r="AB208" s="92">
        <v>806</v>
      </c>
      <c r="AC208" s="92">
        <v>806</v>
      </c>
      <c r="AD208" s="92">
        <v>800</v>
      </c>
      <c r="AE208" s="92">
        <v>0</v>
      </c>
      <c r="AF208" s="92">
        <v>0</v>
      </c>
      <c r="AG208" s="92">
        <v>0</v>
      </c>
    </row>
    <row r="209" spans="1:33" x14ac:dyDescent="0.25">
      <c r="A209" t="str">
        <f t="shared" si="6"/>
        <v>17-3-48</v>
      </c>
      <c r="B209">
        <v>17</v>
      </c>
      <c r="C209" s="92" t="s">
        <v>1030</v>
      </c>
      <c r="D209" s="92">
        <v>3</v>
      </c>
      <c r="E209" s="92" t="s">
        <v>67</v>
      </c>
      <c r="F209" s="92">
        <v>48</v>
      </c>
      <c r="G209" s="92" t="s">
        <v>280</v>
      </c>
      <c r="H209" s="92"/>
      <c r="I209" s="92">
        <v>0</v>
      </c>
      <c r="J209" s="92">
        <v>4263920</v>
      </c>
      <c r="K209" s="92" t="s">
        <v>1061</v>
      </c>
      <c r="L209" s="92">
        <v>1732</v>
      </c>
      <c r="M209" s="92">
        <v>2225</v>
      </c>
      <c r="N209" s="92">
        <v>879</v>
      </c>
      <c r="O209" s="92">
        <v>879</v>
      </c>
      <c r="P209" s="92">
        <v>0</v>
      </c>
      <c r="Q209" s="92">
        <v>0</v>
      </c>
      <c r="R209" s="92">
        <v>0</v>
      </c>
      <c r="S209" s="92">
        <v>0</v>
      </c>
      <c r="T209" s="92">
        <v>0</v>
      </c>
      <c r="U209" s="92">
        <v>0</v>
      </c>
      <c r="V209" s="92">
        <v>0</v>
      </c>
      <c r="W209" s="92">
        <v>0</v>
      </c>
      <c r="X209" s="92">
        <v>0</v>
      </c>
      <c r="Y209" s="92">
        <v>0</v>
      </c>
      <c r="Z209" s="92">
        <v>0</v>
      </c>
      <c r="AA209" s="92">
        <v>0</v>
      </c>
      <c r="AB209" s="92">
        <v>63477</v>
      </c>
      <c r="AC209" s="92">
        <v>63645</v>
      </c>
      <c r="AD209" s="92">
        <v>66154</v>
      </c>
      <c r="AE209" s="92">
        <v>0</v>
      </c>
      <c r="AF209" s="92">
        <v>0</v>
      </c>
      <c r="AG209" s="92">
        <v>0</v>
      </c>
    </row>
    <row r="210" spans="1:33" x14ac:dyDescent="0.25">
      <c r="A210" t="str">
        <f t="shared" si="6"/>
        <v>1-3-50</v>
      </c>
      <c r="B210">
        <v>1</v>
      </c>
      <c r="C210" s="92" t="s">
        <v>1016</v>
      </c>
      <c r="D210" s="92">
        <v>3</v>
      </c>
      <c r="E210" s="92" t="s">
        <v>67</v>
      </c>
      <c r="F210" s="92">
        <v>50</v>
      </c>
      <c r="G210" s="92" t="s">
        <v>600</v>
      </c>
      <c r="H210" s="92"/>
      <c r="I210" s="92">
        <v>124902</v>
      </c>
      <c r="J210" s="92">
        <v>80543835</v>
      </c>
      <c r="K210" s="92">
        <v>1</v>
      </c>
      <c r="L210" s="92">
        <v>19</v>
      </c>
      <c r="M210" s="92">
        <v>8463</v>
      </c>
      <c r="N210" s="92">
        <v>1839</v>
      </c>
      <c r="O210" s="92">
        <v>1839</v>
      </c>
      <c r="P210" s="92">
        <v>0</v>
      </c>
      <c r="Q210" s="92">
        <v>0</v>
      </c>
      <c r="R210" s="92">
        <v>0</v>
      </c>
      <c r="S210" s="92">
        <v>0</v>
      </c>
      <c r="T210" s="92">
        <v>69</v>
      </c>
      <c r="U210" s="92">
        <v>369</v>
      </c>
      <c r="V210" s="92">
        <v>0</v>
      </c>
      <c r="W210" s="92">
        <v>0</v>
      </c>
      <c r="X210" s="92">
        <v>0</v>
      </c>
      <c r="Y210" s="92">
        <v>0</v>
      </c>
      <c r="Z210" s="92">
        <v>0</v>
      </c>
      <c r="AA210" s="92">
        <v>0</v>
      </c>
      <c r="AB210" s="92">
        <v>4762748</v>
      </c>
      <c r="AC210" s="92">
        <v>4944299</v>
      </c>
      <c r="AD210" s="92">
        <v>5232482</v>
      </c>
      <c r="AE210" s="92">
        <v>0</v>
      </c>
      <c r="AF210" s="92">
        <v>0</v>
      </c>
      <c r="AG210" s="92">
        <v>0</v>
      </c>
    </row>
    <row r="211" spans="1:33" x14ac:dyDescent="0.25">
      <c r="A211" s="177" t="s">
        <v>1170</v>
      </c>
      <c r="B211">
        <v>8</v>
      </c>
      <c r="C211" s="92" t="s">
        <v>1021</v>
      </c>
      <c r="D211" s="92">
        <v>3</v>
      </c>
      <c r="E211" s="92" t="s">
        <v>67</v>
      </c>
      <c r="F211" s="92">
        <v>50</v>
      </c>
      <c r="G211" s="92" t="s">
        <v>600</v>
      </c>
      <c r="H211" s="92"/>
      <c r="I211" s="92">
        <v>124902</v>
      </c>
      <c r="J211" s="92">
        <v>298111</v>
      </c>
      <c r="K211" s="92">
        <v>1</v>
      </c>
      <c r="L211" s="92">
        <v>19</v>
      </c>
      <c r="M211" s="92">
        <v>8463</v>
      </c>
      <c r="N211" s="92">
        <v>1839</v>
      </c>
      <c r="O211" s="92">
        <v>1839</v>
      </c>
      <c r="P211" s="92">
        <v>0</v>
      </c>
      <c r="Q211" s="92">
        <v>0</v>
      </c>
      <c r="R211" s="92">
        <v>0</v>
      </c>
      <c r="S211" s="92">
        <v>0</v>
      </c>
      <c r="T211" s="92">
        <v>69</v>
      </c>
      <c r="U211" s="92">
        <v>369</v>
      </c>
      <c r="V211" s="92">
        <v>0</v>
      </c>
      <c r="W211" s="92">
        <v>0</v>
      </c>
      <c r="X211" s="92">
        <v>0</v>
      </c>
      <c r="Y211" s="92">
        <v>0</v>
      </c>
      <c r="Z211" s="92">
        <v>0</v>
      </c>
      <c r="AA211" s="92">
        <v>0</v>
      </c>
      <c r="AB211" s="92">
        <v>4762748</v>
      </c>
      <c r="AC211" s="92">
        <v>4944299</v>
      </c>
      <c r="AD211" s="92">
        <v>5232482</v>
      </c>
      <c r="AE211" s="92">
        <v>0</v>
      </c>
      <c r="AF211" s="92">
        <v>0</v>
      </c>
      <c r="AG211" s="92">
        <v>0</v>
      </c>
    </row>
    <row r="212" spans="1:33" x14ac:dyDescent="0.25">
      <c r="A212" s="177" t="s">
        <v>1171</v>
      </c>
      <c r="B212">
        <v>23</v>
      </c>
      <c r="C212" s="92" t="s">
        <v>1036</v>
      </c>
      <c r="D212" s="92">
        <v>3</v>
      </c>
      <c r="E212" s="92" t="s">
        <v>67</v>
      </c>
      <c r="F212" s="92">
        <v>50</v>
      </c>
      <c r="G212" s="92" t="s">
        <v>600</v>
      </c>
      <c r="H212" s="92"/>
      <c r="I212" s="92">
        <v>124902</v>
      </c>
      <c r="J212" s="92">
        <v>0</v>
      </c>
      <c r="K212" s="92">
        <v>1</v>
      </c>
      <c r="L212" s="92">
        <v>19</v>
      </c>
      <c r="M212" s="92">
        <v>8463</v>
      </c>
      <c r="N212" s="92">
        <v>1839</v>
      </c>
      <c r="O212" s="92">
        <v>1839</v>
      </c>
      <c r="P212" s="92">
        <v>0</v>
      </c>
      <c r="Q212" s="92">
        <v>0</v>
      </c>
      <c r="R212" s="92">
        <v>0</v>
      </c>
      <c r="S212" s="92">
        <v>0</v>
      </c>
      <c r="T212" s="92">
        <v>69</v>
      </c>
      <c r="U212" s="92">
        <v>369</v>
      </c>
      <c r="V212" s="92">
        <v>0</v>
      </c>
      <c r="W212" s="92">
        <v>0</v>
      </c>
      <c r="X212" s="92">
        <v>0</v>
      </c>
      <c r="Y212" s="92">
        <v>0</v>
      </c>
      <c r="Z212" s="92">
        <v>0</v>
      </c>
      <c r="AA212" s="92">
        <v>0</v>
      </c>
      <c r="AB212" s="92">
        <v>4762748</v>
      </c>
      <c r="AC212" s="92">
        <v>4944299</v>
      </c>
      <c r="AD212" s="92">
        <v>5232482</v>
      </c>
      <c r="AE212" s="92">
        <v>0</v>
      </c>
      <c r="AF212" s="92">
        <v>0</v>
      </c>
      <c r="AG212" s="92">
        <v>0</v>
      </c>
    </row>
    <row r="213" spans="1:33" x14ac:dyDescent="0.25">
      <c r="A213" t="str">
        <f t="shared" ref="A213:A276" si="7">B213&amp;"-"&amp;D213&amp;"-"&amp;F213</f>
        <v>9-3-49</v>
      </c>
      <c r="B213">
        <v>9</v>
      </c>
      <c r="C213" s="92" t="s">
        <v>1022</v>
      </c>
      <c r="D213" s="92">
        <v>3</v>
      </c>
      <c r="E213" s="92" t="s">
        <v>67</v>
      </c>
      <c r="F213" s="92">
        <v>49</v>
      </c>
      <c r="G213" s="92" t="s">
        <v>180</v>
      </c>
      <c r="H213" s="92"/>
      <c r="I213" s="92">
        <v>0</v>
      </c>
      <c r="J213" s="92">
        <v>1747076</v>
      </c>
      <c r="K213" s="92" t="s">
        <v>1061</v>
      </c>
      <c r="L213" s="92">
        <v>11</v>
      </c>
      <c r="M213" s="92">
        <v>356</v>
      </c>
      <c r="N213" s="92">
        <v>60</v>
      </c>
      <c r="O213" s="92">
        <v>95</v>
      </c>
      <c r="P213" s="92">
        <v>0</v>
      </c>
      <c r="Q213" s="92">
        <v>0</v>
      </c>
      <c r="R213" s="92">
        <v>0</v>
      </c>
      <c r="S213" s="92">
        <v>0</v>
      </c>
      <c r="T213" s="92">
        <v>0</v>
      </c>
      <c r="U213" s="92">
        <v>0</v>
      </c>
      <c r="V213" s="92">
        <v>0</v>
      </c>
      <c r="W213" s="92">
        <v>0</v>
      </c>
      <c r="X213" s="92">
        <v>0</v>
      </c>
      <c r="Y213" s="92">
        <v>0</v>
      </c>
      <c r="Z213" s="92">
        <v>0</v>
      </c>
      <c r="AA213" s="92">
        <v>0</v>
      </c>
      <c r="AB213" s="92">
        <v>56887</v>
      </c>
      <c r="AC213" s="92">
        <v>59130</v>
      </c>
      <c r="AD213" s="92">
        <v>61302</v>
      </c>
      <c r="AE213" s="92">
        <v>0</v>
      </c>
      <c r="AF213" s="92">
        <v>0</v>
      </c>
      <c r="AG213" s="92">
        <v>0</v>
      </c>
    </row>
    <row r="214" spans="1:33" x14ac:dyDescent="0.25">
      <c r="A214" t="str">
        <f t="shared" si="7"/>
        <v>27-3-51</v>
      </c>
      <c r="B214">
        <v>27</v>
      </c>
      <c r="C214" s="92" t="s">
        <v>1040</v>
      </c>
      <c r="D214" s="92">
        <v>3</v>
      </c>
      <c r="E214" s="92" t="s">
        <v>67</v>
      </c>
      <c r="F214" s="92">
        <v>51</v>
      </c>
      <c r="G214" s="92" t="s">
        <v>398</v>
      </c>
      <c r="H214" s="92"/>
      <c r="I214" s="92">
        <v>12651</v>
      </c>
      <c r="J214" s="92">
        <v>237391</v>
      </c>
      <c r="K214" s="92" t="s">
        <v>1061</v>
      </c>
      <c r="L214" s="92">
        <v>73</v>
      </c>
      <c r="M214" s="92">
        <v>443</v>
      </c>
      <c r="N214" s="92">
        <v>26</v>
      </c>
      <c r="O214" s="92">
        <v>29</v>
      </c>
      <c r="P214" s="92">
        <v>0</v>
      </c>
      <c r="Q214" s="92">
        <v>0</v>
      </c>
      <c r="R214" s="92">
        <v>0</v>
      </c>
      <c r="S214" s="92">
        <v>0</v>
      </c>
      <c r="T214" s="92">
        <v>0</v>
      </c>
      <c r="U214" s="92">
        <v>0</v>
      </c>
      <c r="V214" s="92">
        <v>0</v>
      </c>
      <c r="W214" s="92">
        <v>0</v>
      </c>
      <c r="X214" s="92">
        <v>0</v>
      </c>
      <c r="Y214" s="92">
        <v>0</v>
      </c>
      <c r="Z214" s="92">
        <v>0</v>
      </c>
      <c r="AA214" s="92">
        <v>0</v>
      </c>
      <c r="AB214" s="92">
        <v>57898</v>
      </c>
      <c r="AC214" s="92">
        <v>59883</v>
      </c>
      <c r="AD214" s="92">
        <v>61148</v>
      </c>
      <c r="AE214" s="92">
        <v>0</v>
      </c>
      <c r="AF214" s="92">
        <v>0</v>
      </c>
      <c r="AG214" s="92">
        <v>0</v>
      </c>
    </row>
    <row r="215" spans="1:33" x14ac:dyDescent="0.25">
      <c r="A215" t="str">
        <f t="shared" si="7"/>
        <v>18-3-52</v>
      </c>
      <c r="B215">
        <v>18</v>
      </c>
      <c r="C215" s="92" t="s">
        <v>1031</v>
      </c>
      <c r="D215" s="92">
        <v>3</v>
      </c>
      <c r="E215" s="92" t="s">
        <v>67</v>
      </c>
      <c r="F215" s="92">
        <v>52</v>
      </c>
      <c r="G215" s="92" t="s">
        <v>285</v>
      </c>
      <c r="H215" s="92"/>
      <c r="I215" s="92">
        <v>0</v>
      </c>
      <c r="J215" s="92">
        <v>237031</v>
      </c>
      <c r="K215" s="92" t="s">
        <v>1061</v>
      </c>
      <c r="L215" s="92">
        <v>0</v>
      </c>
      <c r="M215" s="92">
        <v>2006</v>
      </c>
      <c r="N215" s="92">
        <v>2</v>
      </c>
      <c r="O215" s="92">
        <v>2</v>
      </c>
      <c r="P215" s="92">
        <v>0</v>
      </c>
      <c r="Q215" s="92">
        <v>0</v>
      </c>
      <c r="R215" s="92">
        <v>0</v>
      </c>
      <c r="S215" s="92">
        <v>0</v>
      </c>
      <c r="T215" s="92">
        <v>0</v>
      </c>
      <c r="U215" s="92">
        <v>0</v>
      </c>
      <c r="V215" s="92">
        <v>0</v>
      </c>
      <c r="W215" s="92">
        <v>0</v>
      </c>
      <c r="X215" s="92">
        <v>0</v>
      </c>
      <c r="Y215" s="92">
        <v>0</v>
      </c>
      <c r="Z215" s="92">
        <v>0</v>
      </c>
      <c r="AA215" s="92">
        <v>0</v>
      </c>
      <c r="AB215" s="92">
        <v>83625</v>
      </c>
      <c r="AC215" s="92">
        <v>86761</v>
      </c>
      <c r="AD215" s="92">
        <v>90513</v>
      </c>
      <c r="AE215" s="92">
        <v>0</v>
      </c>
      <c r="AF215" s="92">
        <v>0</v>
      </c>
      <c r="AG215" s="92">
        <v>0</v>
      </c>
    </row>
    <row r="216" spans="1:33" x14ac:dyDescent="0.25">
      <c r="A216" t="str">
        <f t="shared" si="7"/>
        <v>23-3-53</v>
      </c>
      <c r="B216">
        <v>23</v>
      </c>
      <c r="C216" s="92" t="s">
        <v>1036</v>
      </c>
      <c r="D216" s="92">
        <v>3</v>
      </c>
      <c r="E216" s="92" t="s">
        <v>67</v>
      </c>
      <c r="F216" s="92">
        <v>53</v>
      </c>
      <c r="G216" s="92" t="s">
        <v>339</v>
      </c>
      <c r="H216" s="92"/>
      <c r="I216" s="92">
        <v>1</v>
      </c>
      <c r="J216" s="92">
        <v>4322238</v>
      </c>
      <c r="K216" s="92" t="s">
        <v>1061</v>
      </c>
      <c r="L216" s="92">
        <v>1043</v>
      </c>
      <c r="M216" s="92">
        <v>49101</v>
      </c>
      <c r="N216" s="92">
        <v>3633</v>
      </c>
      <c r="O216" s="92">
        <v>3712</v>
      </c>
      <c r="P216" s="92">
        <v>0</v>
      </c>
      <c r="Q216" s="92">
        <v>0</v>
      </c>
      <c r="R216" s="92">
        <v>0</v>
      </c>
      <c r="S216" s="92">
        <v>0</v>
      </c>
      <c r="T216" s="92">
        <v>0</v>
      </c>
      <c r="U216" s="92">
        <v>0</v>
      </c>
      <c r="V216" s="92">
        <v>0</v>
      </c>
      <c r="W216" s="92">
        <v>0</v>
      </c>
      <c r="X216" s="92">
        <v>0</v>
      </c>
      <c r="Y216" s="92">
        <v>0</v>
      </c>
      <c r="Z216" s="92">
        <v>0</v>
      </c>
      <c r="AA216" s="92">
        <v>0</v>
      </c>
      <c r="AB216" s="92">
        <v>2243036</v>
      </c>
      <c r="AC216" s="92">
        <v>2385534</v>
      </c>
      <c r="AD216" s="92">
        <v>2519354</v>
      </c>
      <c r="AE216" s="92">
        <v>0</v>
      </c>
      <c r="AF216" s="92">
        <v>0</v>
      </c>
      <c r="AG216" s="92">
        <v>0</v>
      </c>
    </row>
    <row r="217" spans="1:33" x14ac:dyDescent="0.25">
      <c r="A217" t="str">
        <f t="shared" si="7"/>
        <v>13-3-54</v>
      </c>
      <c r="B217">
        <v>13</v>
      </c>
      <c r="C217" s="92" t="s">
        <v>1026</v>
      </c>
      <c r="D217" s="92">
        <v>3</v>
      </c>
      <c r="E217" s="92" t="s">
        <v>67</v>
      </c>
      <c r="F217" s="92">
        <v>54</v>
      </c>
      <c r="G217" s="92" t="s">
        <v>216</v>
      </c>
      <c r="H217" s="92"/>
      <c r="I217" s="92">
        <v>0</v>
      </c>
      <c r="J217" s="92">
        <v>1064575</v>
      </c>
      <c r="K217" s="92" t="s">
        <v>1061</v>
      </c>
      <c r="L217" s="92">
        <v>255</v>
      </c>
      <c r="M217" s="92">
        <v>2405</v>
      </c>
      <c r="N217" s="92">
        <v>78</v>
      </c>
      <c r="O217" s="92">
        <v>78</v>
      </c>
      <c r="P217" s="92">
        <v>0</v>
      </c>
      <c r="Q217" s="92">
        <v>0</v>
      </c>
      <c r="R217" s="92">
        <v>0</v>
      </c>
      <c r="S217" s="92">
        <v>0</v>
      </c>
      <c r="T217" s="92">
        <v>0</v>
      </c>
      <c r="U217" s="92">
        <v>0</v>
      </c>
      <c r="V217" s="92">
        <v>0</v>
      </c>
      <c r="W217" s="92">
        <v>0</v>
      </c>
      <c r="X217" s="92">
        <v>0</v>
      </c>
      <c r="Y217" s="92">
        <v>0</v>
      </c>
      <c r="Z217" s="92">
        <v>0</v>
      </c>
      <c r="AA217" s="92">
        <v>0</v>
      </c>
      <c r="AB217" s="92">
        <v>193531</v>
      </c>
      <c r="AC217" s="92">
        <v>199966</v>
      </c>
      <c r="AD217" s="92">
        <v>207223</v>
      </c>
      <c r="AE217" s="92">
        <v>0</v>
      </c>
      <c r="AF217" s="92">
        <v>0</v>
      </c>
      <c r="AG217" s="92">
        <v>0</v>
      </c>
    </row>
    <row r="218" spans="1:33" x14ac:dyDescent="0.25">
      <c r="A218" t="str">
        <f t="shared" si="7"/>
        <v>25-3-55</v>
      </c>
      <c r="B218">
        <v>25</v>
      </c>
      <c r="C218" s="92" t="s">
        <v>1038</v>
      </c>
      <c r="D218" s="92">
        <v>3</v>
      </c>
      <c r="E218" s="92" t="s">
        <v>67</v>
      </c>
      <c r="F218" s="92">
        <v>55</v>
      </c>
      <c r="G218" s="92" t="s">
        <v>363</v>
      </c>
      <c r="H218" s="92"/>
      <c r="I218" s="92">
        <v>0</v>
      </c>
      <c r="J218" s="92">
        <v>181902</v>
      </c>
      <c r="K218" s="92" t="s">
        <v>1061</v>
      </c>
      <c r="L218" s="92">
        <v>0</v>
      </c>
      <c r="M218" s="92">
        <v>834</v>
      </c>
      <c r="N218" s="92">
        <v>2</v>
      </c>
      <c r="O218" s="92">
        <v>2</v>
      </c>
      <c r="P218" s="92">
        <v>0</v>
      </c>
      <c r="Q218" s="92">
        <v>0</v>
      </c>
      <c r="R218" s="92">
        <v>0</v>
      </c>
      <c r="S218" s="92">
        <v>0</v>
      </c>
      <c r="T218" s="92">
        <v>0</v>
      </c>
      <c r="U218" s="92">
        <v>0</v>
      </c>
      <c r="V218" s="92">
        <v>0</v>
      </c>
      <c r="W218" s="92">
        <v>0</v>
      </c>
      <c r="X218" s="92">
        <v>0</v>
      </c>
      <c r="Y218" s="92">
        <v>0</v>
      </c>
      <c r="Z218" s="92">
        <v>0</v>
      </c>
      <c r="AA218" s="92">
        <v>0</v>
      </c>
      <c r="AB218" s="92">
        <v>25011</v>
      </c>
      <c r="AC218" s="92">
        <v>25998</v>
      </c>
      <c r="AD218" s="92">
        <v>26803</v>
      </c>
      <c r="AE218" s="92">
        <v>0</v>
      </c>
      <c r="AF218" s="92">
        <v>0</v>
      </c>
      <c r="AG218" s="92">
        <v>0</v>
      </c>
    </row>
    <row r="219" spans="1:33" x14ac:dyDescent="0.25">
      <c r="A219" t="str">
        <f t="shared" si="7"/>
        <v>28-3-56</v>
      </c>
      <c r="B219">
        <v>28</v>
      </c>
      <c r="C219" s="92" t="s">
        <v>1041</v>
      </c>
      <c r="D219" s="92">
        <v>3</v>
      </c>
      <c r="E219" s="92" t="s">
        <v>67</v>
      </c>
      <c r="F219" s="92">
        <v>56</v>
      </c>
      <c r="G219" s="92" t="s">
        <v>408</v>
      </c>
      <c r="H219" s="92"/>
      <c r="I219" s="92">
        <v>0</v>
      </c>
      <c r="J219" s="92">
        <v>236875</v>
      </c>
      <c r="K219" s="92" t="s">
        <v>1061</v>
      </c>
      <c r="L219" s="92">
        <v>0</v>
      </c>
      <c r="M219" s="92">
        <v>27</v>
      </c>
      <c r="N219" s="92">
        <v>2</v>
      </c>
      <c r="O219" s="92">
        <v>2</v>
      </c>
      <c r="P219" s="92">
        <v>0</v>
      </c>
      <c r="Q219" s="92">
        <v>0</v>
      </c>
      <c r="R219" s="92">
        <v>0</v>
      </c>
      <c r="S219" s="92">
        <v>0</v>
      </c>
      <c r="T219" s="92">
        <v>0</v>
      </c>
      <c r="U219" s="92">
        <v>0</v>
      </c>
      <c r="V219" s="92">
        <v>0</v>
      </c>
      <c r="W219" s="92">
        <v>0</v>
      </c>
      <c r="X219" s="92">
        <v>0</v>
      </c>
      <c r="Y219" s="92">
        <v>0</v>
      </c>
      <c r="Z219" s="92">
        <v>0</v>
      </c>
      <c r="AA219" s="92">
        <v>0</v>
      </c>
      <c r="AB219" s="92">
        <v>48236</v>
      </c>
      <c r="AC219" s="92">
        <v>49684</v>
      </c>
      <c r="AD219" s="92">
        <v>51175</v>
      </c>
      <c r="AE219" s="92">
        <v>0</v>
      </c>
      <c r="AF219" s="92">
        <v>0</v>
      </c>
      <c r="AG219" s="92">
        <v>0</v>
      </c>
    </row>
    <row r="220" spans="1:33" x14ac:dyDescent="0.25">
      <c r="A220" t="str">
        <f t="shared" si="7"/>
        <v>42-3-57</v>
      </c>
      <c r="B220">
        <v>42</v>
      </c>
      <c r="C220" s="92" t="s">
        <v>1196</v>
      </c>
      <c r="D220" s="92">
        <v>3</v>
      </c>
      <c r="E220" s="92" t="s">
        <v>67</v>
      </c>
      <c r="F220" s="92">
        <v>57</v>
      </c>
      <c r="G220" s="92" t="s">
        <v>553</v>
      </c>
      <c r="H220" s="92"/>
      <c r="I220" s="92">
        <v>50921</v>
      </c>
      <c r="J220" s="92">
        <v>3343239</v>
      </c>
      <c r="K220" s="92" t="s">
        <v>1061</v>
      </c>
      <c r="L220" s="92">
        <v>1657</v>
      </c>
      <c r="M220" s="92">
        <v>13350</v>
      </c>
      <c r="N220" s="92">
        <v>6794</v>
      </c>
      <c r="O220" s="92">
        <v>7208</v>
      </c>
      <c r="P220" s="92">
        <v>0</v>
      </c>
      <c r="Q220" s="92">
        <v>0</v>
      </c>
      <c r="R220" s="92">
        <v>0</v>
      </c>
      <c r="S220" s="92">
        <v>0</v>
      </c>
      <c r="T220" s="92">
        <v>0</v>
      </c>
      <c r="U220" s="92">
        <v>0</v>
      </c>
      <c r="V220" s="92">
        <v>0</v>
      </c>
      <c r="W220" s="92">
        <v>0</v>
      </c>
      <c r="X220" s="92">
        <v>0</v>
      </c>
      <c r="Y220" s="92">
        <v>0</v>
      </c>
      <c r="Z220" s="92">
        <v>0</v>
      </c>
      <c r="AA220" s="92">
        <v>0</v>
      </c>
      <c r="AB220" s="92">
        <v>1172340</v>
      </c>
      <c r="AC220" s="92">
        <v>1239793</v>
      </c>
      <c r="AD220" s="92">
        <v>1289117</v>
      </c>
      <c r="AE220" s="92">
        <v>0</v>
      </c>
      <c r="AF220" s="92">
        <v>0</v>
      </c>
      <c r="AG220" s="92">
        <v>0</v>
      </c>
    </row>
    <row r="221" spans="1:33" x14ac:dyDescent="0.25">
      <c r="A221" t="str">
        <f t="shared" si="7"/>
        <v>6-3-58</v>
      </c>
      <c r="B221">
        <v>6</v>
      </c>
      <c r="C221" s="92" t="s">
        <v>1020</v>
      </c>
      <c r="D221" s="92">
        <v>3</v>
      </c>
      <c r="E221" s="92" t="s">
        <v>67</v>
      </c>
      <c r="F221" s="92">
        <v>58</v>
      </c>
      <c r="G221" s="92" t="s">
        <v>137</v>
      </c>
      <c r="H221" s="92"/>
      <c r="I221" s="92">
        <v>26606</v>
      </c>
      <c r="J221" s="92">
        <v>1242013</v>
      </c>
      <c r="K221" s="92" t="s">
        <v>1061</v>
      </c>
      <c r="L221" s="92">
        <v>481</v>
      </c>
      <c r="M221" s="92">
        <v>1507</v>
      </c>
      <c r="N221" s="92">
        <v>275</v>
      </c>
      <c r="O221" s="92">
        <v>278</v>
      </c>
      <c r="P221" s="92">
        <v>0</v>
      </c>
      <c r="Q221" s="92">
        <v>0</v>
      </c>
      <c r="R221" s="92">
        <v>0</v>
      </c>
      <c r="S221" s="92">
        <v>0</v>
      </c>
      <c r="T221" s="92">
        <v>0</v>
      </c>
      <c r="U221" s="92">
        <v>0</v>
      </c>
      <c r="V221" s="92">
        <v>0</v>
      </c>
      <c r="W221" s="92">
        <v>0</v>
      </c>
      <c r="X221" s="92">
        <v>0</v>
      </c>
      <c r="Y221" s="92">
        <v>0</v>
      </c>
      <c r="Z221" s="92">
        <v>0</v>
      </c>
      <c r="AA221" s="92">
        <v>0</v>
      </c>
      <c r="AB221" s="92">
        <v>86363</v>
      </c>
      <c r="AC221" s="92">
        <v>86363</v>
      </c>
      <c r="AD221" s="92">
        <v>86360</v>
      </c>
      <c r="AE221" s="92">
        <v>0</v>
      </c>
      <c r="AF221" s="92">
        <v>0</v>
      </c>
      <c r="AG221" s="92">
        <v>0</v>
      </c>
    </row>
    <row r="222" spans="1:33" x14ac:dyDescent="0.25">
      <c r="A222" t="str">
        <f t="shared" si="7"/>
        <v>21-3-59</v>
      </c>
      <c r="B222">
        <v>21</v>
      </c>
      <c r="C222" s="92" t="s">
        <v>1034</v>
      </c>
      <c r="D222" s="92">
        <v>3</v>
      </c>
      <c r="E222" s="92" t="s">
        <v>67</v>
      </c>
      <c r="F222" s="92">
        <v>59</v>
      </c>
      <c r="G222" s="92" t="s">
        <v>316</v>
      </c>
      <c r="H222" s="92"/>
      <c r="I222" s="92">
        <v>0</v>
      </c>
      <c r="J222" s="92">
        <v>1646147</v>
      </c>
      <c r="K222" s="92" t="s">
        <v>1061</v>
      </c>
      <c r="L222" s="92">
        <v>729</v>
      </c>
      <c r="M222" s="92">
        <v>1318</v>
      </c>
      <c r="N222" s="92">
        <v>1157</v>
      </c>
      <c r="O222" s="92">
        <v>1280</v>
      </c>
      <c r="P222" s="92">
        <v>0</v>
      </c>
      <c r="Q222" s="92">
        <v>0</v>
      </c>
      <c r="R222" s="92">
        <v>0</v>
      </c>
      <c r="S222" s="92">
        <v>0</v>
      </c>
      <c r="T222" s="92">
        <v>0</v>
      </c>
      <c r="U222" s="92">
        <v>0</v>
      </c>
      <c r="V222" s="92">
        <v>0</v>
      </c>
      <c r="W222" s="92">
        <v>0</v>
      </c>
      <c r="X222" s="92">
        <v>0</v>
      </c>
      <c r="Y222" s="92">
        <v>0</v>
      </c>
      <c r="Z222" s="92">
        <v>0</v>
      </c>
      <c r="AA222" s="92">
        <v>0</v>
      </c>
      <c r="AB222" s="92">
        <v>152159</v>
      </c>
      <c r="AC222" s="92">
        <v>164588</v>
      </c>
      <c r="AD222" s="92">
        <v>174010</v>
      </c>
      <c r="AE222" s="92">
        <v>0</v>
      </c>
      <c r="AF222" s="92">
        <v>0</v>
      </c>
      <c r="AG222" s="92">
        <v>0</v>
      </c>
    </row>
    <row r="223" spans="1:33" x14ac:dyDescent="0.25">
      <c r="A223" t="str">
        <f t="shared" si="7"/>
        <v>38-3-60</v>
      </c>
      <c r="B223">
        <v>38</v>
      </c>
      <c r="C223" s="92" t="s">
        <v>1050</v>
      </c>
      <c r="D223" s="92">
        <v>3</v>
      </c>
      <c r="E223" s="92" t="s">
        <v>67</v>
      </c>
      <c r="F223" s="92">
        <v>60</v>
      </c>
      <c r="G223" s="92" t="s">
        <v>519</v>
      </c>
      <c r="H223" s="92"/>
      <c r="I223" s="92">
        <v>0</v>
      </c>
      <c r="J223" s="92">
        <v>12922512</v>
      </c>
      <c r="K223" s="92" t="s">
        <v>1061</v>
      </c>
      <c r="L223" s="92">
        <v>37</v>
      </c>
      <c r="M223" s="92">
        <v>29115</v>
      </c>
      <c r="N223" s="92">
        <v>6892</v>
      </c>
      <c r="O223" s="92">
        <v>6959</v>
      </c>
      <c r="P223" s="92">
        <v>0</v>
      </c>
      <c r="Q223" s="92">
        <v>0</v>
      </c>
      <c r="R223" s="92">
        <v>0</v>
      </c>
      <c r="S223" s="92">
        <v>0</v>
      </c>
      <c r="T223" s="92">
        <v>0</v>
      </c>
      <c r="U223" s="92">
        <v>0</v>
      </c>
      <c r="V223" s="92">
        <v>0</v>
      </c>
      <c r="W223" s="92">
        <v>0</v>
      </c>
      <c r="X223" s="92">
        <v>0</v>
      </c>
      <c r="Y223" s="92">
        <v>0</v>
      </c>
      <c r="Z223" s="92">
        <v>0</v>
      </c>
      <c r="AA223" s="92">
        <v>0</v>
      </c>
      <c r="AB223" s="92">
        <v>2817904</v>
      </c>
      <c r="AC223" s="92">
        <v>2994358</v>
      </c>
      <c r="AD223" s="92">
        <v>3162348</v>
      </c>
      <c r="AE223" s="92">
        <v>0</v>
      </c>
      <c r="AF223" s="92">
        <v>0</v>
      </c>
      <c r="AG223" s="92">
        <v>0</v>
      </c>
    </row>
    <row r="224" spans="1:33" x14ac:dyDescent="0.25">
      <c r="A224" t="str">
        <f t="shared" si="7"/>
        <v>1-3-61</v>
      </c>
      <c r="B224">
        <v>1</v>
      </c>
      <c r="C224" s="92" t="s">
        <v>1016</v>
      </c>
      <c r="D224" s="92">
        <v>3</v>
      </c>
      <c r="E224" s="92" t="s">
        <v>67</v>
      </c>
      <c r="F224" s="92">
        <v>61</v>
      </c>
      <c r="G224" s="92" t="s">
        <v>601</v>
      </c>
      <c r="H224" s="92"/>
      <c r="I224" s="92">
        <v>45365</v>
      </c>
      <c r="J224" s="92">
        <v>14311839</v>
      </c>
      <c r="K224" s="92" t="s">
        <v>1061</v>
      </c>
      <c r="L224" s="92">
        <v>32</v>
      </c>
      <c r="M224" s="92">
        <v>54448</v>
      </c>
      <c r="N224" s="92">
        <v>7019</v>
      </c>
      <c r="O224" s="92">
        <v>7019</v>
      </c>
      <c r="P224" s="92">
        <v>0</v>
      </c>
      <c r="Q224" s="92">
        <v>0</v>
      </c>
      <c r="R224" s="92">
        <v>0</v>
      </c>
      <c r="S224" s="92">
        <v>0</v>
      </c>
      <c r="T224" s="92">
        <v>0</v>
      </c>
      <c r="U224" s="92">
        <v>90</v>
      </c>
      <c r="V224" s="92">
        <v>0</v>
      </c>
      <c r="W224" s="92">
        <v>0</v>
      </c>
      <c r="X224" s="92">
        <v>0</v>
      </c>
      <c r="Y224" s="92">
        <v>0</v>
      </c>
      <c r="Z224" s="92">
        <v>0</v>
      </c>
      <c r="AA224" s="92">
        <v>0</v>
      </c>
      <c r="AB224" s="92">
        <v>5126649</v>
      </c>
      <c r="AC224" s="92">
        <v>5379942</v>
      </c>
      <c r="AD224" s="92">
        <v>5729725</v>
      </c>
      <c r="AE224" s="92">
        <v>0</v>
      </c>
      <c r="AF224" s="92">
        <v>0</v>
      </c>
      <c r="AG224" s="92">
        <v>0</v>
      </c>
    </row>
    <row r="225" spans="1:33" x14ac:dyDescent="0.25">
      <c r="A225" t="str">
        <f t="shared" si="7"/>
        <v>29-3-62</v>
      </c>
      <c r="B225">
        <v>29</v>
      </c>
      <c r="C225" s="92" t="s">
        <v>1042</v>
      </c>
      <c r="D225" s="92">
        <v>3</v>
      </c>
      <c r="E225" s="92" t="s">
        <v>67</v>
      </c>
      <c r="F225" s="92">
        <v>62</v>
      </c>
      <c r="G225" s="92" t="s">
        <v>436</v>
      </c>
      <c r="H225" s="92"/>
      <c r="I225" s="92">
        <v>12597</v>
      </c>
      <c r="J225" s="92">
        <v>1118918</v>
      </c>
      <c r="K225" s="92" t="s">
        <v>1061</v>
      </c>
      <c r="L225" s="92">
        <v>114</v>
      </c>
      <c r="M225" s="92">
        <v>1980</v>
      </c>
      <c r="N225" s="92">
        <v>1596</v>
      </c>
      <c r="O225" s="92">
        <v>1752</v>
      </c>
      <c r="P225" s="92">
        <v>0</v>
      </c>
      <c r="Q225" s="92">
        <v>0</v>
      </c>
      <c r="R225" s="92">
        <v>0</v>
      </c>
      <c r="S225" s="92">
        <v>975.1</v>
      </c>
      <c r="T225" s="92">
        <v>256</v>
      </c>
      <c r="U225" s="92">
        <v>0</v>
      </c>
      <c r="V225" s="92">
        <v>0</v>
      </c>
      <c r="W225" s="92">
        <v>0</v>
      </c>
      <c r="X225" s="92">
        <v>0</v>
      </c>
      <c r="Y225" s="92">
        <v>0</v>
      </c>
      <c r="Z225" s="92">
        <v>0</v>
      </c>
      <c r="AA225" s="92">
        <v>0</v>
      </c>
      <c r="AB225" s="92">
        <v>283721</v>
      </c>
      <c r="AC225" s="92">
        <v>293375</v>
      </c>
      <c r="AD225" s="92">
        <v>301015</v>
      </c>
      <c r="AE225" s="92">
        <v>0</v>
      </c>
      <c r="AF225" s="92">
        <v>0</v>
      </c>
      <c r="AG225" s="92">
        <v>0</v>
      </c>
    </row>
    <row r="226" spans="1:33" x14ac:dyDescent="0.25">
      <c r="A226" t="str">
        <f t="shared" si="7"/>
        <v>4-3-63</v>
      </c>
      <c r="B226">
        <v>4</v>
      </c>
      <c r="C226" s="92" t="s">
        <v>1194</v>
      </c>
      <c r="D226" s="92">
        <v>3</v>
      </c>
      <c r="E226" s="92" t="s">
        <v>67</v>
      </c>
      <c r="F226" s="92">
        <v>63</v>
      </c>
      <c r="G226" s="92" t="s">
        <v>115</v>
      </c>
      <c r="H226" s="92"/>
      <c r="I226" s="92">
        <v>0</v>
      </c>
      <c r="J226" s="92">
        <v>526943</v>
      </c>
      <c r="K226" s="92" t="s">
        <v>1061</v>
      </c>
      <c r="L226" s="92">
        <v>201</v>
      </c>
      <c r="M226" s="92">
        <v>134</v>
      </c>
      <c r="N226" s="92">
        <v>8</v>
      </c>
      <c r="O226" s="92">
        <v>9</v>
      </c>
      <c r="P226" s="92">
        <v>0</v>
      </c>
      <c r="Q226" s="92">
        <v>0</v>
      </c>
      <c r="R226" s="92">
        <v>0</v>
      </c>
      <c r="S226" s="92">
        <v>0</v>
      </c>
      <c r="T226" s="92">
        <v>0</v>
      </c>
      <c r="U226" s="92">
        <v>0</v>
      </c>
      <c r="V226" s="92">
        <v>0</v>
      </c>
      <c r="W226" s="92">
        <v>0</v>
      </c>
      <c r="X226" s="92">
        <v>0</v>
      </c>
      <c r="Y226" s="92">
        <v>0</v>
      </c>
      <c r="Z226" s="92">
        <v>0</v>
      </c>
      <c r="AA226" s="92">
        <v>0</v>
      </c>
      <c r="AB226" s="92">
        <v>33998</v>
      </c>
      <c r="AC226" s="92">
        <v>35028</v>
      </c>
      <c r="AD226" s="92">
        <v>37042</v>
      </c>
      <c r="AE226" s="92">
        <v>0</v>
      </c>
      <c r="AF226" s="92">
        <v>0</v>
      </c>
      <c r="AG226" s="92">
        <v>0</v>
      </c>
    </row>
    <row r="227" spans="1:33" x14ac:dyDescent="0.25">
      <c r="A227" t="str">
        <f t="shared" si="7"/>
        <v>20-3-64</v>
      </c>
      <c r="B227">
        <v>20</v>
      </c>
      <c r="C227" s="92" t="s">
        <v>1033</v>
      </c>
      <c r="D227" s="92">
        <v>3</v>
      </c>
      <c r="E227" s="92" t="s">
        <v>67</v>
      </c>
      <c r="F227" s="92">
        <v>64</v>
      </c>
      <c r="G227" s="92" t="s">
        <v>307</v>
      </c>
      <c r="H227" s="92"/>
      <c r="I227" s="92">
        <v>217819</v>
      </c>
      <c r="J227" s="92">
        <v>15072645</v>
      </c>
      <c r="K227" s="92" t="s">
        <v>1061</v>
      </c>
      <c r="L227" s="92">
        <v>723</v>
      </c>
      <c r="M227" s="92">
        <v>24337</v>
      </c>
      <c r="N227" s="92">
        <v>4194</v>
      </c>
      <c r="O227" s="92">
        <v>4462</v>
      </c>
      <c r="P227" s="92">
        <v>0</v>
      </c>
      <c r="Q227" s="92">
        <v>0</v>
      </c>
      <c r="R227" s="92">
        <v>0</v>
      </c>
      <c r="S227" s="92">
        <v>0</v>
      </c>
      <c r="T227" s="92">
        <v>0</v>
      </c>
      <c r="U227" s="92">
        <v>0</v>
      </c>
      <c r="V227" s="92">
        <v>0</v>
      </c>
      <c r="W227" s="92">
        <v>0</v>
      </c>
      <c r="X227" s="92">
        <v>0</v>
      </c>
      <c r="Y227" s="92">
        <v>0</v>
      </c>
      <c r="Z227" s="92">
        <v>0</v>
      </c>
      <c r="AA227" s="92">
        <v>0</v>
      </c>
      <c r="AB227" s="92">
        <v>700095</v>
      </c>
      <c r="AC227" s="92">
        <v>701177</v>
      </c>
      <c r="AD227" s="92">
        <v>729262</v>
      </c>
      <c r="AE227" s="92">
        <v>0</v>
      </c>
      <c r="AF227" s="92">
        <v>0</v>
      </c>
      <c r="AG227" s="92">
        <v>0</v>
      </c>
    </row>
    <row r="228" spans="1:33" x14ac:dyDescent="0.25">
      <c r="A228" t="str">
        <f t="shared" si="7"/>
        <v>24-3-65</v>
      </c>
      <c r="B228">
        <v>24</v>
      </c>
      <c r="C228" s="92" t="s">
        <v>1037</v>
      </c>
      <c r="D228" s="92">
        <v>3</v>
      </c>
      <c r="E228" s="92" t="s">
        <v>67</v>
      </c>
      <c r="F228" s="92">
        <v>65</v>
      </c>
      <c r="G228" s="92" t="s">
        <v>346</v>
      </c>
      <c r="H228" s="92"/>
      <c r="I228" s="92">
        <v>0</v>
      </c>
      <c r="J228" s="92">
        <v>6359812</v>
      </c>
      <c r="K228" s="92" t="s">
        <v>1061</v>
      </c>
      <c r="L228" s="92">
        <v>3793</v>
      </c>
      <c r="M228" s="92">
        <v>29650</v>
      </c>
      <c r="N228" s="92">
        <v>2185</v>
      </c>
      <c r="O228" s="92">
        <v>2308</v>
      </c>
      <c r="P228" s="92">
        <v>0</v>
      </c>
      <c r="Q228" s="92">
        <v>0</v>
      </c>
      <c r="R228" s="92">
        <v>0</v>
      </c>
      <c r="S228" s="92">
        <v>0</v>
      </c>
      <c r="T228" s="92">
        <v>0</v>
      </c>
      <c r="U228" s="92">
        <v>3741</v>
      </c>
      <c r="V228" s="92">
        <v>0</v>
      </c>
      <c r="W228" s="92">
        <v>0</v>
      </c>
      <c r="X228" s="92">
        <v>0</v>
      </c>
      <c r="Y228" s="92">
        <v>0</v>
      </c>
      <c r="Z228" s="92">
        <v>0</v>
      </c>
      <c r="AA228" s="92">
        <v>0</v>
      </c>
      <c r="AB228" s="92">
        <v>1232679</v>
      </c>
      <c r="AC228" s="92">
        <v>1283473</v>
      </c>
      <c r="AD228" s="92">
        <v>1339044</v>
      </c>
      <c r="AE228" s="92">
        <v>0</v>
      </c>
      <c r="AF228" s="92">
        <v>0</v>
      </c>
      <c r="AG228" s="92">
        <v>0</v>
      </c>
    </row>
    <row r="229" spans="1:33" x14ac:dyDescent="0.25">
      <c r="A229" t="str">
        <f t="shared" si="7"/>
        <v>15-3-66</v>
      </c>
      <c r="B229">
        <v>15</v>
      </c>
      <c r="C229" s="92" t="s">
        <v>1028</v>
      </c>
      <c r="D229" s="92">
        <v>3</v>
      </c>
      <c r="E229" s="92" t="s">
        <v>67</v>
      </c>
      <c r="F229" s="92">
        <v>66</v>
      </c>
      <c r="G229" s="92" t="s">
        <v>254</v>
      </c>
      <c r="H229" s="92"/>
      <c r="I229" s="92">
        <v>0</v>
      </c>
      <c r="J229" s="92">
        <v>1031028</v>
      </c>
      <c r="K229" s="92" t="s">
        <v>1061</v>
      </c>
      <c r="L229" s="92">
        <v>79</v>
      </c>
      <c r="M229" s="92">
        <v>3075</v>
      </c>
      <c r="N229" s="92">
        <v>69</v>
      </c>
      <c r="O229" s="92">
        <v>70</v>
      </c>
      <c r="P229" s="92">
        <v>0</v>
      </c>
      <c r="Q229" s="92">
        <v>0</v>
      </c>
      <c r="R229" s="92">
        <v>0</v>
      </c>
      <c r="S229" s="92">
        <v>0</v>
      </c>
      <c r="T229" s="92">
        <v>0</v>
      </c>
      <c r="U229" s="92">
        <v>0</v>
      </c>
      <c r="V229" s="92">
        <v>0</v>
      </c>
      <c r="W229" s="92">
        <v>0</v>
      </c>
      <c r="X229" s="92">
        <v>0</v>
      </c>
      <c r="Y229" s="92">
        <v>0</v>
      </c>
      <c r="Z229" s="92">
        <v>0</v>
      </c>
      <c r="AA229" s="92">
        <v>0</v>
      </c>
      <c r="AB229" s="92">
        <v>308941</v>
      </c>
      <c r="AC229" s="92">
        <v>320607</v>
      </c>
      <c r="AD229" s="92">
        <v>331958</v>
      </c>
      <c r="AE229" s="92">
        <v>0</v>
      </c>
      <c r="AF229" s="92">
        <v>0</v>
      </c>
      <c r="AG229" s="92">
        <v>0</v>
      </c>
    </row>
    <row r="230" spans="1:33" x14ac:dyDescent="0.25">
      <c r="A230" t="str">
        <f t="shared" si="7"/>
        <v>37-3-67</v>
      </c>
      <c r="B230">
        <v>37</v>
      </c>
      <c r="C230" s="92" t="s">
        <v>1049</v>
      </c>
      <c r="D230" s="92">
        <v>3</v>
      </c>
      <c r="E230" s="92" t="s">
        <v>67</v>
      </c>
      <c r="F230" s="92">
        <v>67</v>
      </c>
      <c r="G230" s="92" t="s">
        <v>510</v>
      </c>
      <c r="H230" s="92"/>
      <c r="I230" s="92">
        <v>0</v>
      </c>
      <c r="J230" s="92">
        <v>786361</v>
      </c>
      <c r="K230" s="92" t="s">
        <v>1061</v>
      </c>
      <c r="L230" s="92">
        <v>92</v>
      </c>
      <c r="M230" s="92">
        <v>362</v>
      </c>
      <c r="N230" s="92">
        <v>81</v>
      </c>
      <c r="O230" s="92">
        <v>81</v>
      </c>
      <c r="P230" s="92">
        <v>0</v>
      </c>
      <c r="Q230" s="92">
        <v>0</v>
      </c>
      <c r="R230" s="92">
        <v>0</v>
      </c>
      <c r="S230" s="92">
        <v>0</v>
      </c>
      <c r="T230" s="92">
        <v>0</v>
      </c>
      <c r="U230" s="92">
        <v>0</v>
      </c>
      <c r="V230" s="92">
        <v>0</v>
      </c>
      <c r="W230" s="92">
        <v>0</v>
      </c>
      <c r="X230" s="92">
        <v>0</v>
      </c>
      <c r="Y230" s="92">
        <v>0</v>
      </c>
      <c r="Z230" s="92">
        <v>0</v>
      </c>
      <c r="AA230" s="92">
        <v>0</v>
      </c>
      <c r="AB230" s="92">
        <v>11542</v>
      </c>
      <c r="AC230" s="92">
        <v>12508</v>
      </c>
      <c r="AD230" s="92">
        <v>13152</v>
      </c>
      <c r="AE230" s="92">
        <v>0</v>
      </c>
      <c r="AF230" s="92">
        <v>0</v>
      </c>
      <c r="AG230" s="92">
        <v>0</v>
      </c>
    </row>
    <row r="231" spans="1:33" x14ac:dyDescent="0.25">
      <c r="A231" t="str">
        <f t="shared" si="7"/>
        <v>25-3-68</v>
      </c>
      <c r="B231">
        <v>25</v>
      </c>
      <c r="C231" s="92" t="s">
        <v>1038</v>
      </c>
      <c r="D231" s="92">
        <v>3</v>
      </c>
      <c r="E231" s="92" t="s">
        <v>67</v>
      </c>
      <c r="F231" s="92">
        <v>68</v>
      </c>
      <c r="G231" s="92" t="s">
        <v>364</v>
      </c>
      <c r="H231" s="92"/>
      <c r="I231" s="92">
        <v>0</v>
      </c>
      <c r="J231" s="92">
        <v>2266657</v>
      </c>
      <c r="K231" s="92" t="s">
        <v>1061</v>
      </c>
      <c r="L231" s="92">
        <v>0</v>
      </c>
      <c r="M231" s="92">
        <v>23095</v>
      </c>
      <c r="N231" s="92">
        <v>5091</v>
      </c>
      <c r="O231" s="92">
        <v>5091</v>
      </c>
      <c r="P231" s="92">
        <v>0</v>
      </c>
      <c r="Q231" s="92">
        <v>0</v>
      </c>
      <c r="R231" s="92">
        <v>0</v>
      </c>
      <c r="S231" s="92">
        <v>0</v>
      </c>
      <c r="T231" s="92">
        <v>0</v>
      </c>
      <c r="U231" s="92">
        <v>0</v>
      </c>
      <c r="V231" s="92">
        <v>0</v>
      </c>
      <c r="W231" s="92">
        <v>0</v>
      </c>
      <c r="X231" s="92">
        <v>0</v>
      </c>
      <c r="Y231" s="92">
        <v>0</v>
      </c>
      <c r="Z231" s="92">
        <v>0</v>
      </c>
      <c r="AA231" s="92">
        <v>0</v>
      </c>
      <c r="AB231" s="92">
        <v>1172654</v>
      </c>
      <c r="AC231" s="92">
        <v>1210904</v>
      </c>
      <c r="AD231" s="92">
        <v>1249321</v>
      </c>
      <c r="AE231" s="92">
        <v>0</v>
      </c>
      <c r="AF231" s="92">
        <v>0</v>
      </c>
      <c r="AG231" s="92">
        <v>0</v>
      </c>
    </row>
    <row r="232" spans="1:33" x14ac:dyDescent="0.25">
      <c r="A232" t="str">
        <f t="shared" si="7"/>
        <v>14-3-69</v>
      </c>
      <c r="B232">
        <v>14</v>
      </c>
      <c r="C232" s="92" t="s">
        <v>1027</v>
      </c>
      <c r="D232" s="92">
        <v>3</v>
      </c>
      <c r="E232" s="92" t="s">
        <v>67</v>
      </c>
      <c r="F232" s="92">
        <v>69</v>
      </c>
      <c r="G232" s="92" t="s">
        <v>219</v>
      </c>
      <c r="H232" s="92"/>
      <c r="I232" s="92">
        <v>0</v>
      </c>
      <c r="J232" s="92">
        <v>815163</v>
      </c>
      <c r="K232" s="92" t="s">
        <v>1061</v>
      </c>
      <c r="L232" s="92">
        <v>9</v>
      </c>
      <c r="M232" s="92">
        <v>1697</v>
      </c>
      <c r="N232" s="92">
        <v>183</v>
      </c>
      <c r="O232" s="92">
        <v>263</v>
      </c>
      <c r="P232" s="92">
        <v>0</v>
      </c>
      <c r="Q232" s="92">
        <v>0</v>
      </c>
      <c r="R232" s="92">
        <v>0</v>
      </c>
      <c r="S232" s="92">
        <v>0</v>
      </c>
      <c r="T232" s="92">
        <v>0</v>
      </c>
      <c r="U232" s="92">
        <v>0</v>
      </c>
      <c r="V232" s="92">
        <v>0</v>
      </c>
      <c r="W232" s="92">
        <v>0</v>
      </c>
      <c r="X232" s="92">
        <v>0</v>
      </c>
      <c r="Y232" s="92">
        <v>0</v>
      </c>
      <c r="Z232" s="92">
        <v>0</v>
      </c>
      <c r="AA232" s="92">
        <v>0</v>
      </c>
      <c r="AB232" s="92">
        <v>98057</v>
      </c>
      <c r="AC232" s="92">
        <v>102909</v>
      </c>
      <c r="AD232" s="92">
        <v>107289</v>
      </c>
      <c r="AE232" s="92">
        <v>0</v>
      </c>
      <c r="AF232" s="92">
        <v>0</v>
      </c>
      <c r="AG232" s="92">
        <v>0</v>
      </c>
    </row>
    <row r="233" spans="1:33" x14ac:dyDescent="0.25">
      <c r="A233" t="str">
        <f t="shared" si="7"/>
        <v>24-3-70</v>
      </c>
      <c r="B233">
        <v>24</v>
      </c>
      <c r="C233" s="92" t="s">
        <v>1037</v>
      </c>
      <c r="D233" s="92">
        <v>3</v>
      </c>
      <c r="E233" s="92" t="s">
        <v>67</v>
      </c>
      <c r="F233" s="92">
        <v>70</v>
      </c>
      <c r="G233" s="92" t="s">
        <v>347</v>
      </c>
      <c r="H233" s="92"/>
      <c r="I233" s="92">
        <v>9101</v>
      </c>
      <c r="J233" s="92">
        <v>1008866</v>
      </c>
      <c r="K233" s="92" t="s">
        <v>1061</v>
      </c>
      <c r="L233" s="92">
        <v>77</v>
      </c>
      <c r="M233" s="92">
        <v>3097</v>
      </c>
      <c r="N233" s="92">
        <v>18</v>
      </c>
      <c r="O233" s="92">
        <v>19</v>
      </c>
      <c r="P233" s="92">
        <v>0</v>
      </c>
      <c r="Q233" s="92">
        <v>0</v>
      </c>
      <c r="R233" s="92">
        <v>0</v>
      </c>
      <c r="S233" s="92">
        <v>0</v>
      </c>
      <c r="T233" s="92">
        <v>0</v>
      </c>
      <c r="U233" s="92">
        <v>0</v>
      </c>
      <c r="V233" s="92">
        <v>0</v>
      </c>
      <c r="W233" s="92">
        <v>0</v>
      </c>
      <c r="X233" s="92">
        <v>0</v>
      </c>
      <c r="Y233" s="92">
        <v>0</v>
      </c>
      <c r="Z233" s="92">
        <v>0</v>
      </c>
      <c r="AA233" s="92">
        <v>0</v>
      </c>
      <c r="AB233" s="92">
        <v>239036</v>
      </c>
      <c r="AC233" s="92">
        <v>251040</v>
      </c>
      <c r="AD233" s="92">
        <v>259263</v>
      </c>
      <c r="AE233" s="92">
        <v>0</v>
      </c>
      <c r="AF233" s="92">
        <v>0</v>
      </c>
      <c r="AG233" s="92">
        <v>0</v>
      </c>
    </row>
    <row r="234" spans="1:33" x14ac:dyDescent="0.25">
      <c r="A234" t="str">
        <f t="shared" si="7"/>
        <v>7-3-71</v>
      </c>
      <c r="B234">
        <v>7</v>
      </c>
      <c r="C234" s="92" t="s">
        <v>1057</v>
      </c>
      <c r="D234" s="92">
        <v>3</v>
      </c>
      <c r="E234" s="92" t="s">
        <v>67</v>
      </c>
      <c r="F234" s="92">
        <v>71</v>
      </c>
      <c r="G234" s="92" t="s">
        <v>157</v>
      </c>
      <c r="H234" s="92"/>
      <c r="I234" s="92">
        <v>49274</v>
      </c>
      <c r="J234" s="92">
        <v>7018619</v>
      </c>
      <c r="K234" s="92" t="s">
        <v>1061</v>
      </c>
      <c r="L234" s="92">
        <v>139</v>
      </c>
      <c r="M234" s="92">
        <v>25557</v>
      </c>
      <c r="N234" s="92">
        <v>3780</v>
      </c>
      <c r="O234" s="92">
        <v>3780</v>
      </c>
      <c r="P234" s="92">
        <v>0</v>
      </c>
      <c r="Q234" s="92">
        <v>0</v>
      </c>
      <c r="R234" s="92">
        <v>0</v>
      </c>
      <c r="S234" s="92">
        <v>0</v>
      </c>
      <c r="T234" s="92">
        <v>0</v>
      </c>
      <c r="U234" s="92">
        <v>320</v>
      </c>
      <c r="V234" s="92">
        <v>0</v>
      </c>
      <c r="W234" s="92">
        <v>0</v>
      </c>
      <c r="X234" s="92">
        <v>0</v>
      </c>
      <c r="Y234" s="92">
        <v>0</v>
      </c>
      <c r="Z234" s="92">
        <v>0</v>
      </c>
      <c r="AA234" s="92">
        <v>0</v>
      </c>
      <c r="AB234" s="92">
        <v>3148761</v>
      </c>
      <c r="AC234" s="92">
        <v>3289077</v>
      </c>
      <c r="AD234" s="92">
        <v>3372383</v>
      </c>
      <c r="AE234" s="92">
        <v>0</v>
      </c>
      <c r="AF234" s="92">
        <v>0</v>
      </c>
      <c r="AG234" s="92">
        <v>0</v>
      </c>
    </row>
    <row r="235" spans="1:33" x14ac:dyDescent="0.25">
      <c r="A235" t="str">
        <f t="shared" si="7"/>
        <v>42-3-73</v>
      </c>
      <c r="B235">
        <v>42</v>
      </c>
      <c r="C235" s="92" t="s">
        <v>1196</v>
      </c>
      <c r="D235" s="92">
        <v>3</v>
      </c>
      <c r="E235" s="92" t="s">
        <v>67</v>
      </c>
      <c r="F235" s="92">
        <v>73</v>
      </c>
      <c r="G235" s="92" t="s">
        <v>554</v>
      </c>
      <c r="H235" s="92"/>
      <c r="I235" s="92">
        <v>56477</v>
      </c>
      <c r="J235" s="92">
        <v>815334</v>
      </c>
      <c r="K235" s="92" t="s">
        <v>1061</v>
      </c>
      <c r="L235" s="92">
        <v>121</v>
      </c>
      <c r="M235" s="92">
        <v>942</v>
      </c>
      <c r="N235" s="92">
        <v>25</v>
      </c>
      <c r="O235" s="92">
        <v>27</v>
      </c>
      <c r="P235" s="92">
        <v>0</v>
      </c>
      <c r="Q235" s="92">
        <v>0</v>
      </c>
      <c r="R235" s="92">
        <v>0</v>
      </c>
      <c r="S235" s="92">
        <v>0</v>
      </c>
      <c r="T235" s="92">
        <v>0</v>
      </c>
      <c r="U235" s="92">
        <v>0</v>
      </c>
      <c r="V235" s="92">
        <v>0</v>
      </c>
      <c r="W235" s="92">
        <v>0</v>
      </c>
      <c r="X235" s="92">
        <v>0</v>
      </c>
      <c r="Y235" s="92">
        <v>0</v>
      </c>
      <c r="Z235" s="92">
        <v>0</v>
      </c>
      <c r="AA235" s="92">
        <v>0</v>
      </c>
      <c r="AB235" s="92">
        <v>178462</v>
      </c>
      <c r="AC235" s="92">
        <v>183816</v>
      </c>
      <c r="AD235" s="92">
        <v>183816</v>
      </c>
      <c r="AE235" s="92">
        <v>0</v>
      </c>
      <c r="AF235" s="92">
        <v>0</v>
      </c>
      <c r="AG235" s="92">
        <v>0</v>
      </c>
    </row>
    <row r="236" spans="1:33" x14ac:dyDescent="0.25">
      <c r="A236" t="str">
        <f t="shared" si="7"/>
        <v>28-3-74</v>
      </c>
      <c r="B236">
        <v>28</v>
      </c>
      <c r="C236" s="92" t="s">
        <v>1041</v>
      </c>
      <c r="D236" s="92">
        <v>3</v>
      </c>
      <c r="E236" s="92" t="s">
        <v>67</v>
      </c>
      <c r="F236" s="92">
        <v>74</v>
      </c>
      <c r="G236" s="92" t="s">
        <v>409</v>
      </c>
      <c r="H236" s="92"/>
      <c r="I236" s="92">
        <v>21115</v>
      </c>
      <c r="J236" s="92">
        <v>939086</v>
      </c>
      <c r="K236" s="92" t="s">
        <v>1061</v>
      </c>
      <c r="L236" s="92">
        <v>0</v>
      </c>
      <c r="M236" s="92">
        <v>1555</v>
      </c>
      <c r="N236" s="92">
        <v>217</v>
      </c>
      <c r="O236" s="92">
        <v>218</v>
      </c>
      <c r="P236" s="92">
        <v>0</v>
      </c>
      <c r="Q236" s="92">
        <v>0</v>
      </c>
      <c r="R236" s="92">
        <v>0</v>
      </c>
      <c r="S236" s="92">
        <v>0</v>
      </c>
      <c r="T236" s="92">
        <v>0</v>
      </c>
      <c r="U236" s="92">
        <v>0</v>
      </c>
      <c r="V236" s="92">
        <v>0</v>
      </c>
      <c r="W236" s="92">
        <v>0</v>
      </c>
      <c r="X236" s="92">
        <v>0</v>
      </c>
      <c r="Y236" s="92">
        <v>0</v>
      </c>
      <c r="Z236" s="92">
        <v>0</v>
      </c>
      <c r="AA236" s="92">
        <v>0</v>
      </c>
      <c r="AB236" s="92">
        <v>139130</v>
      </c>
      <c r="AC236" s="92">
        <v>139130</v>
      </c>
      <c r="AD236" s="92">
        <v>139129</v>
      </c>
      <c r="AE236" s="92">
        <v>0</v>
      </c>
      <c r="AF236" s="92">
        <v>0</v>
      </c>
      <c r="AG236" s="92">
        <v>0</v>
      </c>
    </row>
    <row r="237" spans="1:33" x14ac:dyDescent="0.25">
      <c r="A237" t="str">
        <f t="shared" si="7"/>
        <v>28-3-75</v>
      </c>
      <c r="B237">
        <v>28</v>
      </c>
      <c r="C237" s="92" t="s">
        <v>1041</v>
      </c>
      <c r="D237" s="92">
        <v>3</v>
      </c>
      <c r="E237" s="92" t="s">
        <v>67</v>
      </c>
      <c r="F237" s="92">
        <v>75</v>
      </c>
      <c r="G237" s="92" t="s">
        <v>410</v>
      </c>
      <c r="H237" s="92"/>
      <c r="I237" s="92">
        <v>1999</v>
      </c>
      <c r="J237" s="92">
        <v>584712</v>
      </c>
      <c r="K237" s="92" t="s">
        <v>1061</v>
      </c>
      <c r="L237" s="92">
        <v>0</v>
      </c>
      <c r="M237" s="92">
        <v>205</v>
      </c>
      <c r="N237" s="92">
        <v>3</v>
      </c>
      <c r="O237" s="92">
        <v>3</v>
      </c>
      <c r="P237" s="92">
        <v>0</v>
      </c>
      <c r="Q237" s="92">
        <v>0</v>
      </c>
      <c r="R237" s="92">
        <v>0</v>
      </c>
      <c r="S237" s="92">
        <v>0</v>
      </c>
      <c r="T237" s="92">
        <v>0</v>
      </c>
      <c r="U237" s="92">
        <v>0</v>
      </c>
      <c r="V237" s="92">
        <v>0</v>
      </c>
      <c r="W237" s="92">
        <v>0</v>
      </c>
      <c r="X237" s="92">
        <v>0</v>
      </c>
      <c r="Y237" s="92">
        <v>0</v>
      </c>
      <c r="Z237" s="92">
        <v>0</v>
      </c>
      <c r="AA237" s="92">
        <v>0</v>
      </c>
      <c r="AB237" s="92">
        <v>26336</v>
      </c>
      <c r="AC237" s="92">
        <v>26336</v>
      </c>
      <c r="AD237" s="92">
        <v>26336</v>
      </c>
      <c r="AE237" s="92">
        <v>0</v>
      </c>
      <c r="AF237" s="92">
        <v>0</v>
      </c>
      <c r="AG237" s="92">
        <v>0</v>
      </c>
    </row>
    <row r="238" spans="1:33" x14ac:dyDescent="0.25">
      <c r="A238" t="str">
        <f t="shared" si="7"/>
        <v>28-3-76</v>
      </c>
      <c r="B238">
        <v>28</v>
      </c>
      <c r="C238" s="92" t="s">
        <v>1041</v>
      </c>
      <c r="D238" s="92">
        <v>3</v>
      </c>
      <c r="E238" s="92" t="s">
        <v>67</v>
      </c>
      <c r="F238" s="92">
        <v>76</v>
      </c>
      <c r="G238" s="92" t="s">
        <v>411</v>
      </c>
      <c r="H238" s="92"/>
      <c r="I238" s="92">
        <v>38</v>
      </c>
      <c r="J238" s="92">
        <v>19739608</v>
      </c>
      <c r="K238" s="92" t="s">
        <v>1061</v>
      </c>
      <c r="L238" s="92">
        <v>80</v>
      </c>
      <c r="M238" s="92">
        <v>17075</v>
      </c>
      <c r="N238" s="92">
        <v>2081</v>
      </c>
      <c r="O238" s="92">
        <v>2354</v>
      </c>
      <c r="P238" s="92">
        <v>0</v>
      </c>
      <c r="Q238" s="92">
        <v>0</v>
      </c>
      <c r="R238" s="92">
        <v>0</v>
      </c>
      <c r="S238" s="92">
        <v>0</v>
      </c>
      <c r="T238" s="92">
        <v>0</v>
      </c>
      <c r="U238" s="92">
        <v>0</v>
      </c>
      <c r="V238" s="92">
        <v>0</v>
      </c>
      <c r="W238" s="92">
        <v>0</v>
      </c>
      <c r="X238" s="92">
        <v>0</v>
      </c>
      <c r="Y238" s="92">
        <v>0</v>
      </c>
      <c r="Z238" s="92">
        <v>0</v>
      </c>
      <c r="AA238" s="92">
        <v>0</v>
      </c>
      <c r="AB238" s="92">
        <v>2479368</v>
      </c>
      <c r="AC238" s="92">
        <v>2606565</v>
      </c>
      <c r="AD238" s="92">
        <v>2669437</v>
      </c>
      <c r="AE238" s="92">
        <v>0</v>
      </c>
      <c r="AF238" s="92">
        <v>0</v>
      </c>
      <c r="AG238" s="92">
        <v>0</v>
      </c>
    </row>
    <row r="239" spans="1:33" x14ac:dyDescent="0.25">
      <c r="A239" t="str">
        <f t="shared" si="7"/>
        <v>28-3-77</v>
      </c>
      <c r="B239">
        <v>28</v>
      </c>
      <c r="C239" s="92" t="s">
        <v>1041</v>
      </c>
      <c r="D239" s="92">
        <v>3</v>
      </c>
      <c r="E239" s="92" t="s">
        <v>67</v>
      </c>
      <c r="F239" s="92">
        <v>77</v>
      </c>
      <c r="G239" s="92" t="s">
        <v>412</v>
      </c>
      <c r="H239" s="92"/>
      <c r="I239" s="92">
        <v>614</v>
      </c>
      <c r="J239" s="92">
        <v>1345384</v>
      </c>
      <c r="K239" s="92" t="s">
        <v>1061</v>
      </c>
      <c r="L239" s="92">
        <v>0</v>
      </c>
      <c r="M239" s="92">
        <v>328</v>
      </c>
      <c r="N239" s="92">
        <v>111</v>
      </c>
      <c r="O239" s="92">
        <v>128</v>
      </c>
      <c r="P239" s="92">
        <v>0</v>
      </c>
      <c r="Q239" s="92">
        <v>0</v>
      </c>
      <c r="R239" s="92">
        <v>0</v>
      </c>
      <c r="S239" s="92">
        <v>0</v>
      </c>
      <c r="T239" s="92">
        <v>0</v>
      </c>
      <c r="U239" s="92">
        <v>0</v>
      </c>
      <c r="V239" s="92">
        <v>0</v>
      </c>
      <c r="W239" s="92">
        <v>0</v>
      </c>
      <c r="X239" s="92">
        <v>0</v>
      </c>
      <c r="Y239" s="92">
        <v>0</v>
      </c>
      <c r="Z239" s="92">
        <v>0</v>
      </c>
      <c r="AA239" s="92">
        <v>0</v>
      </c>
      <c r="AB239" s="92">
        <v>268689</v>
      </c>
      <c r="AC239" s="92">
        <v>279200</v>
      </c>
      <c r="AD239" s="92">
        <v>289738</v>
      </c>
      <c r="AE239" s="92">
        <v>0</v>
      </c>
      <c r="AF239" s="92">
        <v>0</v>
      </c>
      <c r="AG239" s="92">
        <v>0</v>
      </c>
    </row>
    <row r="240" spans="1:33" x14ac:dyDescent="0.25">
      <c r="A240" t="str">
        <f t="shared" si="7"/>
        <v>27-3-78</v>
      </c>
      <c r="B240">
        <v>27</v>
      </c>
      <c r="C240" s="92" t="s">
        <v>1040</v>
      </c>
      <c r="D240" s="92">
        <v>3</v>
      </c>
      <c r="E240" s="92" t="s">
        <v>67</v>
      </c>
      <c r="F240" s="92">
        <v>78</v>
      </c>
      <c r="G240" s="92" t="s">
        <v>399</v>
      </c>
      <c r="H240" s="92"/>
      <c r="I240" s="92">
        <v>12397</v>
      </c>
      <c r="J240" s="92">
        <v>348084</v>
      </c>
      <c r="K240" s="92" t="s">
        <v>1061</v>
      </c>
      <c r="L240" s="92">
        <v>233</v>
      </c>
      <c r="M240" s="92">
        <v>2622</v>
      </c>
      <c r="N240" s="92">
        <v>1134</v>
      </c>
      <c r="O240" s="92">
        <v>1214</v>
      </c>
      <c r="P240" s="92">
        <v>0</v>
      </c>
      <c r="Q240" s="92">
        <v>0</v>
      </c>
      <c r="R240" s="92">
        <v>0</v>
      </c>
      <c r="S240" s="92">
        <v>0</v>
      </c>
      <c r="T240" s="92">
        <v>0</v>
      </c>
      <c r="U240" s="92">
        <v>0</v>
      </c>
      <c r="V240" s="92">
        <v>0</v>
      </c>
      <c r="W240" s="92">
        <v>0</v>
      </c>
      <c r="X240" s="92">
        <v>0</v>
      </c>
      <c r="Y240" s="92">
        <v>0</v>
      </c>
      <c r="Z240" s="92">
        <v>0</v>
      </c>
      <c r="AA240" s="92">
        <v>0</v>
      </c>
      <c r="AB240" s="92">
        <v>144015</v>
      </c>
      <c r="AC240" s="92">
        <v>155644</v>
      </c>
      <c r="AD240" s="92">
        <v>160353</v>
      </c>
      <c r="AE240" s="92">
        <v>0</v>
      </c>
      <c r="AF240" s="92">
        <v>0</v>
      </c>
      <c r="AG240" s="92">
        <v>0</v>
      </c>
    </row>
    <row r="241" spans="1:33" x14ac:dyDescent="0.25">
      <c r="A241" t="str">
        <f t="shared" si="7"/>
        <v>34-3-79</v>
      </c>
      <c r="B241">
        <v>34</v>
      </c>
      <c r="C241" s="92" t="s">
        <v>1047</v>
      </c>
      <c r="D241" s="92">
        <v>3</v>
      </c>
      <c r="E241" s="92" t="s">
        <v>67</v>
      </c>
      <c r="F241" s="92">
        <v>79</v>
      </c>
      <c r="G241" s="92" t="s">
        <v>489</v>
      </c>
      <c r="H241" s="92"/>
      <c r="I241" s="92">
        <v>15</v>
      </c>
      <c r="J241" s="92">
        <v>3178187</v>
      </c>
      <c r="K241" s="92" t="s">
        <v>1061</v>
      </c>
      <c r="L241" s="92">
        <v>497</v>
      </c>
      <c r="M241" s="92">
        <v>10226</v>
      </c>
      <c r="N241" s="92">
        <v>3731</v>
      </c>
      <c r="O241" s="92">
        <v>3743</v>
      </c>
      <c r="P241" s="92">
        <v>0</v>
      </c>
      <c r="Q241" s="92">
        <v>0</v>
      </c>
      <c r="R241" s="92">
        <v>0</v>
      </c>
      <c r="S241" s="92">
        <v>0</v>
      </c>
      <c r="T241" s="92">
        <v>0</v>
      </c>
      <c r="U241" s="92">
        <v>0</v>
      </c>
      <c r="V241" s="92">
        <v>0</v>
      </c>
      <c r="W241" s="92">
        <v>0</v>
      </c>
      <c r="X241" s="92">
        <v>0</v>
      </c>
      <c r="Y241" s="92">
        <v>0</v>
      </c>
      <c r="Z241" s="92">
        <v>0</v>
      </c>
      <c r="AA241" s="92">
        <v>0</v>
      </c>
      <c r="AB241" s="92">
        <v>1312931</v>
      </c>
      <c r="AC241" s="92">
        <v>1401978</v>
      </c>
      <c r="AD241" s="92">
        <v>1475281</v>
      </c>
      <c r="AE241" s="92">
        <v>0</v>
      </c>
      <c r="AF241" s="92">
        <v>0</v>
      </c>
      <c r="AG241" s="92">
        <v>0</v>
      </c>
    </row>
    <row r="242" spans="1:33" x14ac:dyDescent="0.25">
      <c r="A242" t="str">
        <f t="shared" si="7"/>
        <v>42-3-80</v>
      </c>
      <c r="B242">
        <v>42</v>
      </c>
      <c r="C242" s="92" t="s">
        <v>1196</v>
      </c>
      <c r="D242" s="92">
        <v>3</v>
      </c>
      <c r="E242" s="92" t="s">
        <v>67</v>
      </c>
      <c r="F242" s="92">
        <v>80</v>
      </c>
      <c r="G242" s="92" t="s">
        <v>555</v>
      </c>
      <c r="H242" s="92"/>
      <c r="I242" s="92">
        <v>1015</v>
      </c>
      <c r="J242" s="92">
        <v>963319</v>
      </c>
      <c r="K242" s="92" t="s">
        <v>1061</v>
      </c>
      <c r="L242" s="92">
        <v>0</v>
      </c>
      <c r="M242" s="92">
        <v>362</v>
      </c>
      <c r="N242" s="92">
        <v>3</v>
      </c>
      <c r="O242" s="92">
        <v>3</v>
      </c>
      <c r="P242" s="92">
        <v>0</v>
      </c>
      <c r="Q242" s="92">
        <v>0</v>
      </c>
      <c r="R242" s="92">
        <v>0</v>
      </c>
      <c r="S242" s="92">
        <v>0</v>
      </c>
      <c r="T242" s="92">
        <v>0</v>
      </c>
      <c r="U242" s="92">
        <v>0</v>
      </c>
      <c r="V242" s="92">
        <v>0</v>
      </c>
      <c r="W242" s="92">
        <v>0</v>
      </c>
      <c r="X242" s="92">
        <v>0</v>
      </c>
      <c r="Y242" s="92">
        <v>0</v>
      </c>
      <c r="Z242" s="92">
        <v>0</v>
      </c>
      <c r="AA242" s="92">
        <v>0</v>
      </c>
      <c r="AB242" s="92">
        <v>32280</v>
      </c>
      <c r="AC242" s="92">
        <v>32280</v>
      </c>
      <c r="AD242" s="92">
        <v>32280</v>
      </c>
      <c r="AE242" s="92">
        <v>0</v>
      </c>
      <c r="AF242" s="92">
        <v>0</v>
      </c>
      <c r="AG242" s="92">
        <v>0</v>
      </c>
    </row>
    <row r="243" spans="1:33" x14ac:dyDescent="0.25">
      <c r="A243" t="str">
        <f t="shared" si="7"/>
        <v>37-3-81</v>
      </c>
      <c r="B243">
        <v>37</v>
      </c>
      <c r="C243" s="92" t="s">
        <v>1049</v>
      </c>
      <c r="D243" s="92">
        <v>3</v>
      </c>
      <c r="E243" s="92" t="s">
        <v>67</v>
      </c>
      <c r="F243" s="92">
        <v>81</v>
      </c>
      <c r="G243" s="92" t="s">
        <v>511</v>
      </c>
      <c r="H243" s="92"/>
      <c r="I243" s="92">
        <v>14660</v>
      </c>
      <c r="J243" s="92">
        <v>3957832</v>
      </c>
      <c r="K243" s="92" t="s">
        <v>1061</v>
      </c>
      <c r="L243" s="92">
        <v>247</v>
      </c>
      <c r="M243" s="92">
        <v>14425</v>
      </c>
      <c r="N243" s="92">
        <v>2217</v>
      </c>
      <c r="O243" s="92">
        <v>2291</v>
      </c>
      <c r="P243" s="92">
        <v>0</v>
      </c>
      <c r="Q243" s="92">
        <v>0</v>
      </c>
      <c r="R243" s="92">
        <v>0</v>
      </c>
      <c r="S243" s="92">
        <v>0</v>
      </c>
      <c r="T243" s="92">
        <v>0</v>
      </c>
      <c r="U243" s="92">
        <v>0</v>
      </c>
      <c r="V243" s="92">
        <v>0</v>
      </c>
      <c r="W243" s="92">
        <v>0</v>
      </c>
      <c r="X243" s="92">
        <v>0</v>
      </c>
      <c r="Y243" s="92">
        <v>0</v>
      </c>
      <c r="Z243" s="92">
        <v>0</v>
      </c>
      <c r="AA243" s="92">
        <v>0</v>
      </c>
      <c r="AB243" s="92">
        <v>575370</v>
      </c>
      <c r="AC243" s="92">
        <v>612056</v>
      </c>
      <c r="AD243" s="92">
        <v>612056</v>
      </c>
      <c r="AE243" s="92">
        <v>0</v>
      </c>
      <c r="AF243" s="92">
        <v>0</v>
      </c>
      <c r="AG243" s="92">
        <v>0</v>
      </c>
    </row>
    <row r="244" spans="1:33" x14ac:dyDescent="0.25">
      <c r="A244" t="str">
        <f t="shared" si="7"/>
        <v>9-3-82</v>
      </c>
      <c r="B244">
        <v>9</v>
      </c>
      <c r="C244" s="92" t="s">
        <v>1022</v>
      </c>
      <c r="D244" s="92">
        <v>3</v>
      </c>
      <c r="E244" s="92" t="s">
        <v>67</v>
      </c>
      <c r="F244" s="92">
        <v>82</v>
      </c>
      <c r="G244" s="92" t="s">
        <v>181</v>
      </c>
      <c r="H244" s="92"/>
      <c r="I244" s="92">
        <v>3181</v>
      </c>
      <c r="J244" s="92">
        <v>1923404</v>
      </c>
      <c r="K244" s="92" t="s">
        <v>1061</v>
      </c>
      <c r="L244" s="92">
        <v>0</v>
      </c>
      <c r="M244" s="92">
        <v>319</v>
      </c>
      <c r="N244" s="92">
        <v>404</v>
      </c>
      <c r="O244" s="92">
        <v>480</v>
      </c>
      <c r="P244" s="92">
        <v>0</v>
      </c>
      <c r="Q244" s="92">
        <v>0</v>
      </c>
      <c r="R244" s="92">
        <v>0</v>
      </c>
      <c r="S244" s="92">
        <v>0</v>
      </c>
      <c r="T244" s="92">
        <v>0</v>
      </c>
      <c r="U244" s="92">
        <v>0</v>
      </c>
      <c r="V244" s="92">
        <v>0</v>
      </c>
      <c r="W244" s="92">
        <v>0</v>
      </c>
      <c r="X244" s="92">
        <v>0</v>
      </c>
      <c r="Y244" s="92">
        <v>0</v>
      </c>
      <c r="Z244" s="92">
        <v>0</v>
      </c>
      <c r="AA244" s="92">
        <v>0</v>
      </c>
      <c r="AB244" s="92">
        <v>57000</v>
      </c>
      <c r="AC244" s="92">
        <v>57000</v>
      </c>
      <c r="AD244" s="92">
        <v>57000</v>
      </c>
      <c r="AE244" s="92">
        <v>0</v>
      </c>
      <c r="AF244" s="92">
        <v>0</v>
      </c>
      <c r="AG244" s="92">
        <v>0</v>
      </c>
    </row>
    <row r="245" spans="1:33" x14ac:dyDescent="0.25">
      <c r="A245" t="str">
        <f t="shared" si="7"/>
        <v>8-3-83</v>
      </c>
      <c r="B245">
        <v>8</v>
      </c>
      <c r="C245" s="92" t="s">
        <v>1021</v>
      </c>
      <c r="D245" s="92">
        <v>3</v>
      </c>
      <c r="E245" s="92" t="s">
        <v>67</v>
      </c>
      <c r="F245" s="92">
        <v>83</v>
      </c>
      <c r="G245" s="92" t="s">
        <v>168</v>
      </c>
      <c r="H245" s="92"/>
      <c r="I245" s="92">
        <v>21818</v>
      </c>
      <c r="J245" s="92">
        <v>2193557</v>
      </c>
      <c r="K245" s="92" t="s">
        <v>1061</v>
      </c>
      <c r="L245" s="92">
        <v>0</v>
      </c>
      <c r="M245" s="92">
        <v>5368</v>
      </c>
      <c r="N245" s="92">
        <v>724</v>
      </c>
      <c r="O245" s="92">
        <v>724</v>
      </c>
      <c r="P245" s="92">
        <v>0</v>
      </c>
      <c r="Q245" s="92">
        <v>0</v>
      </c>
      <c r="R245" s="92">
        <v>0</v>
      </c>
      <c r="S245" s="92">
        <v>0</v>
      </c>
      <c r="T245" s="92">
        <v>0</v>
      </c>
      <c r="U245" s="92">
        <v>0</v>
      </c>
      <c r="V245" s="92">
        <v>0</v>
      </c>
      <c r="W245" s="92">
        <v>0</v>
      </c>
      <c r="X245" s="92">
        <v>0</v>
      </c>
      <c r="Y245" s="92">
        <v>0</v>
      </c>
      <c r="Z245" s="92">
        <v>0</v>
      </c>
      <c r="AA245" s="92">
        <v>0</v>
      </c>
      <c r="AB245" s="92">
        <v>221311</v>
      </c>
      <c r="AC245" s="92">
        <v>229231</v>
      </c>
      <c r="AD245" s="92">
        <v>240142</v>
      </c>
      <c r="AE245" s="92">
        <v>0</v>
      </c>
      <c r="AF245" s="92">
        <v>0</v>
      </c>
      <c r="AG245" s="92">
        <v>0</v>
      </c>
    </row>
    <row r="246" spans="1:33" x14ac:dyDescent="0.25">
      <c r="A246" t="str">
        <f t="shared" si="7"/>
        <v>28-3-84</v>
      </c>
      <c r="B246">
        <v>28</v>
      </c>
      <c r="C246" s="92" t="s">
        <v>1041</v>
      </c>
      <c r="D246" s="92">
        <v>3</v>
      </c>
      <c r="E246" s="92" t="s">
        <v>67</v>
      </c>
      <c r="F246" s="92">
        <v>84</v>
      </c>
      <c r="G246" s="92" t="s">
        <v>413</v>
      </c>
      <c r="H246" s="92"/>
      <c r="I246" s="92">
        <v>3329</v>
      </c>
      <c r="J246" s="92">
        <v>137748</v>
      </c>
      <c r="K246" s="92" t="s">
        <v>1061</v>
      </c>
      <c r="L246" s="92">
        <v>0</v>
      </c>
      <c r="M246" s="92">
        <v>934</v>
      </c>
      <c r="N246" s="92">
        <v>0</v>
      </c>
      <c r="O246" s="92">
        <v>0</v>
      </c>
      <c r="P246" s="92">
        <v>0</v>
      </c>
      <c r="Q246" s="92">
        <v>0</v>
      </c>
      <c r="R246" s="92">
        <v>0</v>
      </c>
      <c r="S246" s="92">
        <v>0</v>
      </c>
      <c r="T246" s="92">
        <v>0</v>
      </c>
      <c r="U246" s="92">
        <v>0</v>
      </c>
      <c r="V246" s="92">
        <v>0</v>
      </c>
      <c r="W246" s="92">
        <v>0</v>
      </c>
      <c r="X246" s="92">
        <v>0</v>
      </c>
      <c r="Y246" s="92">
        <v>0</v>
      </c>
      <c r="Z246" s="92">
        <v>0</v>
      </c>
      <c r="AA246" s="92">
        <v>0</v>
      </c>
      <c r="AB246" s="92">
        <v>68518</v>
      </c>
      <c r="AC246" s="92">
        <v>68518</v>
      </c>
      <c r="AD246" s="92">
        <v>68518</v>
      </c>
      <c r="AE246" s="92">
        <v>0</v>
      </c>
      <c r="AF246" s="92">
        <v>0</v>
      </c>
      <c r="AG246" s="92">
        <v>0</v>
      </c>
    </row>
    <row r="247" spans="1:33" x14ac:dyDescent="0.25">
      <c r="A247" t="str">
        <f t="shared" si="7"/>
        <v>8-3-85</v>
      </c>
      <c r="B247">
        <v>8</v>
      </c>
      <c r="C247" s="92" t="s">
        <v>1021</v>
      </c>
      <c r="D247" s="92">
        <v>3</v>
      </c>
      <c r="E247" s="92" t="s">
        <v>67</v>
      </c>
      <c r="F247" s="92">
        <v>85</v>
      </c>
      <c r="G247" s="92" t="s">
        <v>169</v>
      </c>
      <c r="H247" s="92"/>
      <c r="I247" s="92">
        <v>9291</v>
      </c>
      <c r="J247" s="92">
        <v>297310</v>
      </c>
      <c r="K247" s="92" t="s">
        <v>1061</v>
      </c>
      <c r="L247" s="92">
        <v>3</v>
      </c>
      <c r="M247" s="92">
        <v>4662</v>
      </c>
      <c r="N247" s="92">
        <v>152</v>
      </c>
      <c r="O247" s="92">
        <v>152</v>
      </c>
      <c r="P247" s="92">
        <v>0</v>
      </c>
      <c r="Q247" s="92">
        <v>0</v>
      </c>
      <c r="R247" s="92">
        <v>0</v>
      </c>
      <c r="S247" s="92">
        <v>0</v>
      </c>
      <c r="T247" s="92">
        <v>0</v>
      </c>
      <c r="U247" s="92">
        <v>0</v>
      </c>
      <c r="V247" s="92">
        <v>0</v>
      </c>
      <c r="W247" s="92">
        <v>0</v>
      </c>
      <c r="X247" s="92">
        <v>0</v>
      </c>
      <c r="Y247" s="92">
        <v>0</v>
      </c>
      <c r="Z247" s="92">
        <v>0</v>
      </c>
      <c r="AA247" s="92">
        <v>0</v>
      </c>
      <c r="AB247" s="92">
        <v>153328</v>
      </c>
      <c r="AC247" s="92">
        <v>165107</v>
      </c>
      <c r="AD247" s="92">
        <v>173607</v>
      </c>
      <c r="AE247" s="92">
        <v>0</v>
      </c>
      <c r="AF247" s="92">
        <v>0</v>
      </c>
      <c r="AG247" s="92">
        <v>0</v>
      </c>
    </row>
    <row r="248" spans="1:33" x14ac:dyDescent="0.25">
      <c r="A248" t="str">
        <f t="shared" si="7"/>
        <v>10-3-86</v>
      </c>
      <c r="B248">
        <v>10</v>
      </c>
      <c r="C248" s="92" t="s">
        <v>1023</v>
      </c>
      <c r="D248" s="92">
        <v>3</v>
      </c>
      <c r="E248" s="92" t="s">
        <v>67</v>
      </c>
      <c r="F248" s="92">
        <v>86</v>
      </c>
      <c r="G248" s="92" t="s">
        <v>195</v>
      </c>
      <c r="H248" s="92"/>
      <c r="I248" s="92">
        <v>5527307</v>
      </c>
      <c r="J248" s="92">
        <v>32921114</v>
      </c>
      <c r="K248" s="92" t="s">
        <v>1061</v>
      </c>
      <c r="L248" s="92">
        <v>1461</v>
      </c>
      <c r="M248" s="92">
        <v>470659</v>
      </c>
      <c r="N248" s="92">
        <v>151867</v>
      </c>
      <c r="O248" s="92">
        <v>151867</v>
      </c>
      <c r="P248" s="92">
        <v>0</v>
      </c>
      <c r="Q248" s="92">
        <v>0</v>
      </c>
      <c r="R248" s="92">
        <v>0</v>
      </c>
      <c r="S248" s="92">
        <v>5828</v>
      </c>
      <c r="T248" s="92">
        <v>956</v>
      </c>
      <c r="U248" s="92">
        <v>736</v>
      </c>
      <c r="V248" s="92">
        <v>0</v>
      </c>
      <c r="W248" s="92">
        <v>0</v>
      </c>
      <c r="X248" s="92">
        <v>0</v>
      </c>
      <c r="Y248" s="92">
        <v>0</v>
      </c>
      <c r="Z248" s="92">
        <v>0</v>
      </c>
      <c r="AA248" s="92">
        <v>0</v>
      </c>
      <c r="AB248" s="92">
        <v>44838180</v>
      </c>
      <c r="AC248" s="92">
        <v>47681429</v>
      </c>
      <c r="AD248" s="92">
        <v>50560299</v>
      </c>
      <c r="AE248" s="92">
        <v>0</v>
      </c>
      <c r="AF248" s="92">
        <v>0</v>
      </c>
      <c r="AG248" s="92">
        <v>0</v>
      </c>
    </row>
    <row r="249" spans="1:33" x14ac:dyDescent="0.25">
      <c r="A249" t="str">
        <f t="shared" si="7"/>
        <v>3-3-87</v>
      </c>
      <c r="B249">
        <v>3</v>
      </c>
      <c r="C249" s="92" t="s">
        <v>1018</v>
      </c>
      <c r="D249" s="92">
        <v>3</v>
      </c>
      <c r="E249" s="92" t="s">
        <v>67</v>
      </c>
      <c r="F249" s="92">
        <v>87</v>
      </c>
      <c r="G249" s="92" t="s">
        <v>102</v>
      </c>
      <c r="H249" s="92"/>
      <c r="I249" s="92">
        <v>18185</v>
      </c>
      <c r="J249" s="92">
        <v>3956827</v>
      </c>
      <c r="K249" s="92" t="s">
        <v>1061</v>
      </c>
      <c r="L249" s="92">
        <v>0</v>
      </c>
      <c r="M249" s="92">
        <v>1805</v>
      </c>
      <c r="N249" s="92">
        <v>934</v>
      </c>
      <c r="O249" s="92">
        <v>962</v>
      </c>
      <c r="P249" s="92">
        <v>0</v>
      </c>
      <c r="Q249" s="92">
        <v>0</v>
      </c>
      <c r="R249" s="92">
        <v>0</v>
      </c>
      <c r="S249" s="92">
        <v>0</v>
      </c>
      <c r="T249" s="92">
        <v>0</v>
      </c>
      <c r="U249" s="92">
        <v>0</v>
      </c>
      <c r="V249" s="92">
        <v>0</v>
      </c>
      <c r="W249" s="92">
        <v>0</v>
      </c>
      <c r="X249" s="92">
        <v>0</v>
      </c>
      <c r="Y249" s="92">
        <v>0</v>
      </c>
      <c r="Z249" s="92">
        <v>0</v>
      </c>
      <c r="AA249" s="92">
        <v>0</v>
      </c>
      <c r="AB249" s="92">
        <v>305014</v>
      </c>
      <c r="AC249" s="92">
        <v>320962</v>
      </c>
      <c r="AD249" s="92">
        <v>327680</v>
      </c>
      <c r="AE249" s="92">
        <v>0</v>
      </c>
      <c r="AF249" s="92">
        <v>0</v>
      </c>
      <c r="AG249" s="92">
        <v>0</v>
      </c>
    </row>
    <row r="250" spans="1:33" x14ac:dyDescent="0.25">
      <c r="A250" t="str">
        <f t="shared" si="7"/>
        <v>10-3-88</v>
      </c>
      <c r="B250">
        <v>10</v>
      </c>
      <c r="C250" s="92" t="s">
        <v>1023</v>
      </c>
      <c r="D250" s="92">
        <v>3</v>
      </c>
      <c r="E250" s="92" t="s">
        <v>67</v>
      </c>
      <c r="F250" s="92">
        <v>88</v>
      </c>
      <c r="G250" s="92" t="s">
        <v>196</v>
      </c>
      <c r="H250" s="92"/>
      <c r="I250" s="92">
        <v>92703</v>
      </c>
      <c r="J250" s="92">
        <v>1834386</v>
      </c>
      <c r="K250" s="92" t="s">
        <v>1061</v>
      </c>
      <c r="L250" s="92">
        <v>0</v>
      </c>
      <c r="M250" s="92">
        <v>1073</v>
      </c>
      <c r="N250" s="92">
        <v>34</v>
      </c>
      <c r="O250" s="92">
        <v>34</v>
      </c>
      <c r="P250" s="92">
        <v>0</v>
      </c>
      <c r="Q250" s="92">
        <v>0</v>
      </c>
      <c r="R250" s="92">
        <v>0</v>
      </c>
      <c r="S250" s="92">
        <v>0</v>
      </c>
      <c r="T250" s="92">
        <v>0</v>
      </c>
      <c r="U250" s="92">
        <v>0</v>
      </c>
      <c r="V250" s="92">
        <v>0</v>
      </c>
      <c r="W250" s="92">
        <v>0</v>
      </c>
      <c r="X250" s="92">
        <v>0</v>
      </c>
      <c r="Y250" s="92">
        <v>0</v>
      </c>
      <c r="Z250" s="92">
        <v>0</v>
      </c>
      <c r="AA250" s="92">
        <v>0</v>
      </c>
      <c r="AB250" s="92">
        <v>359200</v>
      </c>
      <c r="AC250" s="92">
        <v>382130</v>
      </c>
      <c r="AD250" s="92">
        <v>404638</v>
      </c>
      <c r="AE250" s="92">
        <v>0</v>
      </c>
      <c r="AF250" s="92">
        <v>0</v>
      </c>
      <c r="AG250" s="92">
        <v>0</v>
      </c>
    </row>
    <row r="251" spans="1:33" x14ac:dyDescent="0.25">
      <c r="A251" t="str">
        <f t="shared" si="7"/>
        <v>22-3-90</v>
      </c>
      <c r="B251">
        <v>22</v>
      </c>
      <c r="C251" s="92" t="s">
        <v>1035</v>
      </c>
      <c r="D251" s="92">
        <v>3</v>
      </c>
      <c r="E251" s="92" t="s">
        <v>67</v>
      </c>
      <c r="F251" s="92">
        <v>90</v>
      </c>
      <c r="G251" s="92" t="s">
        <v>333</v>
      </c>
      <c r="H251" s="92"/>
      <c r="I251" s="92">
        <v>1956</v>
      </c>
      <c r="J251" s="92">
        <v>1711771</v>
      </c>
      <c r="K251" s="92" t="s">
        <v>1061</v>
      </c>
      <c r="L251" s="92">
        <v>0</v>
      </c>
      <c r="M251" s="92">
        <v>730</v>
      </c>
      <c r="N251" s="92">
        <v>26</v>
      </c>
      <c r="O251" s="92">
        <v>56</v>
      </c>
      <c r="P251" s="92">
        <v>0</v>
      </c>
      <c r="Q251" s="92">
        <v>0</v>
      </c>
      <c r="R251" s="92">
        <v>0</v>
      </c>
      <c r="S251" s="92">
        <v>0</v>
      </c>
      <c r="T251" s="92">
        <v>0</v>
      </c>
      <c r="U251" s="92">
        <v>0</v>
      </c>
      <c r="V251" s="92">
        <v>0</v>
      </c>
      <c r="W251" s="92">
        <v>0</v>
      </c>
      <c r="X251" s="92">
        <v>0</v>
      </c>
      <c r="Y251" s="92">
        <v>0</v>
      </c>
      <c r="Z251" s="92">
        <v>0</v>
      </c>
      <c r="AA251" s="92">
        <v>0</v>
      </c>
      <c r="AB251" s="92">
        <v>29519</v>
      </c>
      <c r="AC251" s="92">
        <v>31484</v>
      </c>
      <c r="AD251" s="92">
        <v>33583</v>
      </c>
      <c r="AE251" s="92">
        <v>0</v>
      </c>
      <c r="AF251" s="92">
        <v>0</v>
      </c>
      <c r="AG251" s="92">
        <v>0</v>
      </c>
    </row>
    <row r="252" spans="1:33" x14ac:dyDescent="0.25">
      <c r="A252" t="str">
        <f t="shared" si="7"/>
        <v>27-3-91</v>
      </c>
      <c r="B252">
        <v>27</v>
      </c>
      <c r="C252" s="92" t="s">
        <v>1040</v>
      </c>
      <c r="D252" s="92">
        <v>3</v>
      </c>
      <c r="E252" s="92" t="s">
        <v>67</v>
      </c>
      <c r="F252" s="92">
        <v>91</v>
      </c>
      <c r="G252" s="92" t="s">
        <v>400</v>
      </c>
      <c r="H252" s="92"/>
      <c r="I252" s="92">
        <v>363742</v>
      </c>
      <c r="J252" s="92">
        <v>6638896</v>
      </c>
      <c r="K252" s="92" t="s">
        <v>1061</v>
      </c>
      <c r="L252" s="92">
        <v>1658</v>
      </c>
      <c r="M252" s="92">
        <v>76979</v>
      </c>
      <c r="N252" s="92">
        <v>25913</v>
      </c>
      <c r="O252" s="92">
        <v>26327</v>
      </c>
      <c r="P252" s="92">
        <v>0</v>
      </c>
      <c r="Q252" s="92">
        <v>0</v>
      </c>
      <c r="R252" s="92">
        <v>0</v>
      </c>
      <c r="S252" s="92">
        <v>0</v>
      </c>
      <c r="T252" s="92">
        <v>0</v>
      </c>
      <c r="U252" s="92">
        <v>0</v>
      </c>
      <c r="V252" s="92">
        <v>0</v>
      </c>
      <c r="W252" s="92">
        <v>0</v>
      </c>
      <c r="X252" s="92">
        <v>0</v>
      </c>
      <c r="Y252" s="92">
        <v>0</v>
      </c>
      <c r="Z252" s="92">
        <v>0</v>
      </c>
      <c r="AA252" s="92">
        <v>0</v>
      </c>
      <c r="AB252" s="92">
        <v>6197458</v>
      </c>
      <c r="AC252" s="92">
        <v>6552049</v>
      </c>
      <c r="AD252" s="92">
        <v>7027151</v>
      </c>
      <c r="AE252" s="92">
        <v>0</v>
      </c>
      <c r="AF252" s="92">
        <v>0</v>
      </c>
      <c r="AG252" s="92">
        <v>0</v>
      </c>
    </row>
    <row r="253" spans="1:33" x14ac:dyDescent="0.25">
      <c r="A253" t="str">
        <f t="shared" si="7"/>
        <v>29-3-92</v>
      </c>
      <c r="B253">
        <v>29</v>
      </c>
      <c r="C253" s="92" t="s">
        <v>1042</v>
      </c>
      <c r="D253" s="92">
        <v>3</v>
      </c>
      <c r="E253" s="92" t="s">
        <v>67</v>
      </c>
      <c r="F253" s="92">
        <v>92</v>
      </c>
      <c r="G253" s="92" t="s">
        <v>437</v>
      </c>
      <c r="H253" s="92"/>
      <c r="I253" s="92">
        <v>7</v>
      </c>
      <c r="J253" s="92">
        <v>1017813</v>
      </c>
      <c r="K253" s="92" t="s">
        <v>1061</v>
      </c>
      <c r="L253" s="92">
        <v>37</v>
      </c>
      <c r="M253" s="92">
        <v>3708</v>
      </c>
      <c r="N253" s="92">
        <v>1038</v>
      </c>
      <c r="O253" s="92">
        <v>1152</v>
      </c>
      <c r="P253" s="92">
        <v>0</v>
      </c>
      <c r="Q253" s="92">
        <v>0</v>
      </c>
      <c r="R253" s="92">
        <v>0</v>
      </c>
      <c r="S253" s="92">
        <v>345.02</v>
      </c>
      <c r="T253" s="92">
        <v>271</v>
      </c>
      <c r="U253" s="92">
        <v>0</v>
      </c>
      <c r="V253" s="92">
        <v>0</v>
      </c>
      <c r="W253" s="92">
        <v>0</v>
      </c>
      <c r="X253" s="92">
        <v>0</v>
      </c>
      <c r="Y253" s="92">
        <v>0</v>
      </c>
      <c r="Z253" s="92">
        <v>0</v>
      </c>
      <c r="AA253" s="92">
        <v>0</v>
      </c>
      <c r="AB253" s="92">
        <v>143069</v>
      </c>
      <c r="AC253" s="92">
        <v>147831</v>
      </c>
      <c r="AD253" s="92">
        <v>152670</v>
      </c>
      <c r="AE253" s="92">
        <v>0</v>
      </c>
      <c r="AF253" s="92">
        <v>0</v>
      </c>
      <c r="AG253" s="92">
        <v>0</v>
      </c>
    </row>
    <row r="254" spans="1:33" x14ac:dyDescent="0.25">
      <c r="A254" t="str">
        <f t="shared" si="7"/>
        <v>25-3-93</v>
      </c>
      <c r="B254">
        <v>25</v>
      </c>
      <c r="C254" s="92" t="s">
        <v>1038</v>
      </c>
      <c r="D254" s="92">
        <v>3</v>
      </c>
      <c r="E254" s="92" t="s">
        <v>67</v>
      </c>
      <c r="F254" s="92">
        <v>93</v>
      </c>
      <c r="G254" s="92" t="s">
        <v>460</v>
      </c>
      <c r="H254" s="92"/>
      <c r="I254" s="92">
        <v>7418</v>
      </c>
      <c r="J254" s="92">
        <v>8187</v>
      </c>
      <c r="K254" s="92">
        <v>1</v>
      </c>
      <c r="L254" s="92">
        <v>1</v>
      </c>
      <c r="M254" s="92">
        <v>6377</v>
      </c>
      <c r="N254" s="92">
        <v>899</v>
      </c>
      <c r="O254" s="92">
        <v>940</v>
      </c>
      <c r="P254" s="92">
        <v>0</v>
      </c>
      <c r="Q254" s="92">
        <v>0</v>
      </c>
      <c r="R254" s="92">
        <v>0</v>
      </c>
      <c r="S254" s="92">
        <v>0</v>
      </c>
      <c r="T254" s="92">
        <v>0</v>
      </c>
      <c r="U254" s="92">
        <v>0</v>
      </c>
      <c r="V254" s="92">
        <v>0</v>
      </c>
      <c r="W254" s="92">
        <v>0</v>
      </c>
      <c r="X254" s="92">
        <v>0</v>
      </c>
      <c r="Y254" s="92">
        <v>0</v>
      </c>
      <c r="Z254" s="92">
        <v>0</v>
      </c>
      <c r="AA254" s="92">
        <v>0</v>
      </c>
      <c r="AB254" s="92">
        <v>253064</v>
      </c>
      <c r="AC254" s="92">
        <v>253064</v>
      </c>
      <c r="AD254" s="92">
        <v>253064</v>
      </c>
      <c r="AE254" s="92">
        <v>0</v>
      </c>
      <c r="AF254" s="92">
        <v>0</v>
      </c>
      <c r="AG254" s="92">
        <v>0</v>
      </c>
    </row>
    <row r="255" spans="1:33" x14ac:dyDescent="0.25">
      <c r="A255" t="str">
        <f t="shared" si="7"/>
        <v>31-3-93</v>
      </c>
      <c r="B255">
        <v>31</v>
      </c>
      <c r="C255" s="92" t="s">
        <v>1044</v>
      </c>
      <c r="D255" s="92">
        <v>3</v>
      </c>
      <c r="E255" s="92" t="s">
        <v>67</v>
      </c>
      <c r="F255" s="92">
        <v>93</v>
      </c>
      <c r="G255" s="92" t="s">
        <v>460</v>
      </c>
      <c r="H255" s="92"/>
      <c r="I255" s="92">
        <v>7418</v>
      </c>
      <c r="J255" s="92">
        <v>1025109</v>
      </c>
      <c r="K255" s="92">
        <v>1</v>
      </c>
      <c r="L255" s="92">
        <v>1</v>
      </c>
      <c r="M255" s="92">
        <v>6377</v>
      </c>
      <c r="N255" s="92">
        <v>899</v>
      </c>
      <c r="O255" s="92">
        <v>940</v>
      </c>
      <c r="P255" s="92">
        <v>0</v>
      </c>
      <c r="Q255" s="92">
        <v>0</v>
      </c>
      <c r="R255" s="92">
        <v>0</v>
      </c>
      <c r="S255" s="92">
        <v>0</v>
      </c>
      <c r="T255" s="92">
        <v>0</v>
      </c>
      <c r="U255" s="92">
        <v>0</v>
      </c>
      <c r="V255" s="92">
        <v>0</v>
      </c>
      <c r="W255" s="92">
        <v>0</v>
      </c>
      <c r="X255" s="92">
        <v>0</v>
      </c>
      <c r="Y255" s="92">
        <v>0</v>
      </c>
      <c r="Z255" s="92">
        <v>0</v>
      </c>
      <c r="AA255" s="92">
        <v>0</v>
      </c>
      <c r="AB255" s="92">
        <v>253064</v>
      </c>
      <c r="AC255" s="92">
        <v>253064</v>
      </c>
      <c r="AD255" s="92">
        <v>253064</v>
      </c>
      <c r="AE255" s="92">
        <v>0</v>
      </c>
      <c r="AF255" s="92">
        <v>0</v>
      </c>
      <c r="AG255" s="92">
        <v>0</v>
      </c>
    </row>
    <row r="256" spans="1:33" x14ac:dyDescent="0.25">
      <c r="A256" t="str">
        <f t="shared" si="7"/>
        <v>40-3-94</v>
      </c>
      <c r="B256">
        <v>40</v>
      </c>
      <c r="C256" s="92" t="s">
        <v>1051</v>
      </c>
      <c r="D256" s="92">
        <v>3</v>
      </c>
      <c r="E256" s="92" t="s">
        <v>67</v>
      </c>
      <c r="F256" s="92">
        <v>94</v>
      </c>
      <c r="G256" s="92" t="s">
        <v>532</v>
      </c>
      <c r="H256" s="92"/>
      <c r="I256" s="92">
        <v>0</v>
      </c>
      <c r="J256" s="92">
        <v>7695451</v>
      </c>
      <c r="K256" s="92" t="s">
        <v>1061</v>
      </c>
      <c r="L256" s="92">
        <v>0</v>
      </c>
      <c r="M256" s="92">
        <v>26290</v>
      </c>
      <c r="N256" s="92">
        <v>2869</v>
      </c>
      <c r="O256" s="92">
        <v>2869</v>
      </c>
      <c r="P256" s="92">
        <v>0</v>
      </c>
      <c r="Q256" s="92">
        <v>0</v>
      </c>
      <c r="R256" s="92">
        <v>0</v>
      </c>
      <c r="S256" s="92">
        <v>2639</v>
      </c>
      <c r="T256" s="92">
        <v>0</v>
      </c>
      <c r="U256" s="92">
        <v>0</v>
      </c>
      <c r="V256" s="92">
        <v>0</v>
      </c>
      <c r="W256" s="92">
        <v>0</v>
      </c>
      <c r="X256" s="92">
        <v>0</v>
      </c>
      <c r="Y256" s="92">
        <v>0</v>
      </c>
      <c r="Z256" s="92">
        <v>0</v>
      </c>
      <c r="AA256" s="92">
        <v>0</v>
      </c>
      <c r="AB256" s="92">
        <v>1416121</v>
      </c>
      <c r="AC256" s="92">
        <v>1468858</v>
      </c>
      <c r="AD256" s="92">
        <v>1515527</v>
      </c>
      <c r="AE256" s="92">
        <v>0</v>
      </c>
      <c r="AF256" s="92">
        <v>0</v>
      </c>
      <c r="AG256" s="92">
        <v>0</v>
      </c>
    </row>
    <row r="257" spans="1:33" x14ac:dyDescent="0.25">
      <c r="A257" t="str">
        <f t="shared" si="7"/>
        <v>29-3-95</v>
      </c>
      <c r="B257">
        <v>29</v>
      </c>
      <c r="C257" s="92" t="s">
        <v>1042</v>
      </c>
      <c r="D257" s="92">
        <v>3</v>
      </c>
      <c r="E257" s="92" t="s">
        <v>67</v>
      </c>
      <c r="F257" s="92">
        <v>95</v>
      </c>
      <c r="G257" s="92" t="s">
        <v>438</v>
      </c>
      <c r="H257" s="92"/>
      <c r="I257" s="92">
        <v>0</v>
      </c>
      <c r="J257" s="92">
        <v>680851</v>
      </c>
      <c r="K257" s="92" t="s">
        <v>1061</v>
      </c>
      <c r="L257" s="92">
        <v>945</v>
      </c>
      <c r="M257" s="92">
        <v>3349</v>
      </c>
      <c r="N257" s="92">
        <v>705</v>
      </c>
      <c r="O257" s="92">
        <v>773</v>
      </c>
      <c r="P257" s="92">
        <v>0</v>
      </c>
      <c r="Q257" s="92">
        <v>0</v>
      </c>
      <c r="R257" s="92">
        <v>0</v>
      </c>
      <c r="S257" s="92">
        <v>60.08</v>
      </c>
      <c r="T257" s="92">
        <v>0</v>
      </c>
      <c r="U257" s="92">
        <v>0</v>
      </c>
      <c r="V257" s="92">
        <v>0</v>
      </c>
      <c r="W257" s="92">
        <v>0</v>
      </c>
      <c r="X257" s="92">
        <v>0</v>
      </c>
      <c r="Y257" s="92">
        <v>0</v>
      </c>
      <c r="Z257" s="92">
        <v>0</v>
      </c>
      <c r="AA257" s="92">
        <v>0</v>
      </c>
      <c r="AB257" s="92">
        <v>118660</v>
      </c>
      <c r="AC257" s="92">
        <v>118660</v>
      </c>
      <c r="AD257" s="92">
        <v>117354</v>
      </c>
      <c r="AE257" s="92">
        <v>0</v>
      </c>
      <c r="AF257" s="92">
        <v>0</v>
      </c>
      <c r="AG257" s="92">
        <v>0</v>
      </c>
    </row>
    <row r="258" spans="1:33" x14ac:dyDescent="0.25">
      <c r="A258" t="str">
        <f t="shared" si="7"/>
        <v>7-3-96</v>
      </c>
      <c r="B258">
        <v>7</v>
      </c>
      <c r="C258" s="92" t="s">
        <v>1057</v>
      </c>
      <c r="D258" s="92">
        <v>3</v>
      </c>
      <c r="E258" s="92" t="s">
        <v>67</v>
      </c>
      <c r="F258" s="92">
        <v>96</v>
      </c>
      <c r="G258" s="92" t="s">
        <v>158</v>
      </c>
      <c r="H258" s="92"/>
      <c r="I258" s="92">
        <v>192829</v>
      </c>
      <c r="J258" s="92">
        <v>3535343</v>
      </c>
      <c r="K258" s="92" t="s">
        <v>1061</v>
      </c>
      <c r="L258" s="92">
        <v>43</v>
      </c>
      <c r="M258" s="92">
        <v>11373</v>
      </c>
      <c r="N258" s="92">
        <v>2235</v>
      </c>
      <c r="O258" s="92">
        <v>2235</v>
      </c>
      <c r="P258" s="92">
        <v>0</v>
      </c>
      <c r="Q258" s="92">
        <v>0</v>
      </c>
      <c r="R258" s="92">
        <v>0</v>
      </c>
      <c r="S258" s="92">
        <v>630.48</v>
      </c>
      <c r="T258" s="92">
        <v>126</v>
      </c>
      <c r="U258" s="92">
        <v>0</v>
      </c>
      <c r="V258" s="92">
        <v>0</v>
      </c>
      <c r="W258" s="92">
        <v>0</v>
      </c>
      <c r="X258" s="92">
        <v>0</v>
      </c>
      <c r="Y258" s="92">
        <v>0</v>
      </c>
      <c r="Z258" s="92">
        <v>0</v>
      </c>
      <c r="AA258" s="92">
        <v>0</v>
      </c>
      <c r="AB258" s="92">
        <v>5076261</v>
      </c>
      <c r="AC258" s="92">
        <v>5270512</v>
      </c>
      <c r="AD258" s="92">
        <v>4713368</v>
      </c>
      <c r="AE258" s="92">
        <v>0</v>
      </c>
      <c r="AF258" s="92">
        <v>0</v>
      </c>
      <c r="AG258" s="92">
        <v>0</v>
      </c>
    </row>
    <row r="259" spans="1:33" x14ac:dyDescent="0.25">
      <c r="A259" t="str">
        <f t="shared" si="7"/>
        <v>42-3-97</v>
      </c>
      <c r="B259">
        <v>42</v>
      </c>
      <c r="C259" s="92" t="s">
        <v>1196</v>
      </c>
      <c r="D259" s="92">
        <v>3</v>
      </c>
      <c r="E259" s="92" t="s">
        <v>67</v>
      </c>
      <c r="F259" s="92">
        <v>97</v>
      </c>
      <c r="G259" s="92" t="s">
        <v>556</v>
      </c>
      <c r="H259" s="92"/>
      <c r="I259" s="92">
        <v>0</v>
      </c>
      <c r="J259" s="92">
        <v>3846346</v>
      </c>
      <c r="K259" s="92" t="s">
        <v>1061</v>
      </c>
      <c r="L259" s="92">
        <v>6956</v>
      </c>
      <c r="M259" s="92">
        <v>12009</v>
      </c>
      <c r="N259" s="92">
        <v>3029</v>
      </c>
      <c r="O259" s="92">
        <v>3209</v>
      </c>
      <c r="P259" s="92">
        <v>0</v>
      </c>
      <c r="Q259" s="92">
        <v>0</v>
      </c>
      <c r="R259" s="92">
        <v>0</v>
      </c>
      <c r="S259" s="92">
        <v>0</v>
      </c>
      <c r="T259" s="92">
        <v>0</v>
      </c>
      <c r="U259" s="92">
        <v>0</v>
      </c>
      <c r="V259" s="92">
        <v>0</v>
      </c>
      <c r="W259" s="92">
        <v>0</v>
      </c>
      <c r="X259" s="92">
        <v>0</v>
      </c>
      <c r="Y259" s="92">
        <v>0</v>
      </c>
      <c r="Z259" s="92">
        <v>0</v>
      </c>
      <c r="AA259" s="92">
        <v>0</v>
      </c>
      <c r="AB259" s="92">
        <v>1610751</v>
      </c>
      <c r="AC259" s="92">
        <v>1741371</v>
      </c>
      <c r="AD259" s="92">
        <v>1865235</v>
      </c>
      <c r="AE259" s="92">
        <v>0</v>
      </c>
      <c r="AF259" s="92">
        <v>0</v>
      </c>
      <c r="AG259" s="92">
        <v>0</v>
      </c>
    </row>
    <row r="260" spans="1:33" x14ac:dyDescent="0.25">
      <c r="A260" t="str">
        <f t="shared" si="7"/>
        <v>25-3-98</v>
      </c>
      <c r="B260">
        <v>25</v>
      </c>
      <c r="C260" s="92" t="s">
        <v>1038</v>
      </c>
      <c r="D260" s="92">
        <v>3</v>
      </c>
      <c r="E260" s="92" t="s">
        <v>67</v>
      </c>
      <c r="F260" s="92">
        <v>98</v>
      </c>
      <c r="G260" s="92" t="s">
        <v>365</v>
      </c>
      <c r="H260" s="92"/>
      <c r="I260" s="92">
        <v>0</v>
      </c>
      <c r="J260" s="92">
        <v>700983</v>
      </c>
      <c r="K260" s="92" t="s">
        <v>1061</v>
      </c>
      <c r="L260" s="92">
        <v>32</v>
      </c>
      <c r="M260" s="92">
        <v>2112</v>
      </c>
      <c r="N260" s="92">
        <v>13</v>
      </c>
      <c r="O260" s="92">
        <v>13</v>
      </c>
      <c r="P260" s="92">
        <v>0</v>
      </c>
      <c r="Q260" s="92">
        <v>0</v>
      </c>
      <c r="R260" s="92">
        <v>0</v>
      </c>
      <c r="S260" s="92">
        <v>0</v>
      </c>
      <c r="T260" s="92">
        <v>0</v>
      </c>
      <c r="U260" s="92">
        <v>0</v>
      </c>
      <c r="V260" s="92">
        <v>0</v>
      </c>
      <c r="W260" s="92">
        <v>0</v>
      </c>
      <c r="X260" s="92">
        <v>0</v>
      </c>
      <c r="Y260" s="92">
        <v>0</v>
      </c>
      <c r="Z260" s="92">
        <v>0</v>
      </c>
      <c r="AA260" s="92">
        <v>0</v>
      </c>
      <c r="AB260" s="92">
        <v>118995</v>
      </c>
      <c r="AC260" s="92">
        <v>122630</v>
      </c>
      <c r="AD260" s="92">
        <v>127498</v>
      </c>
      <c r="AE260" s="92">
        <v>0</v>
      </c>
      <c r="AF260" s="92">
        <v>0</v>
      </c>
      <c r="AG260" s="92">
        <v>0</v>
      </c>
    </row>
    <row r="261" spans="1:33" x14ac:dyDescent="0.25">
      <c r="A261" t="str">
        <f t="shared" si="7"/>
        <v>9-3-99</v>
      </c>
      <c r="B261">
        <v>9</v>
      </c>
      <c r="C261" s="92" t="s">
        <v>1022</v>
      </c>
      <c r="D261" s="92">
        <v>3</v>
      </c>
      <c r="E261" s="92" t="s">
        <v>67</v>
      </c>
      <c r="F261" s="92">
        <v>99</v>
      </c>
      <c r="G261" s="92" t="s">
        <v>182</v>
      </c>
      <c r="H261" s="92"/>
      <c r="I261" s="92">
        <v>0</v>
      </c>
      <c r="J261" s="92">
        <v>1763758</v>
      </c>
      <c r="K261" s="92" t="s">
        <v>1061</v>
      </c>
      <c r="L261" s="92">
        <v>0</v>
      </c>
      <c r="M261" s="92">
        <v>1262</v>
      </c>
      <c r="N261" s="92">
        <v>303</v>
      </c>
      <c r="O261" s="92">
        <v>533</v>
      </c>
      <c r="P261" s="92">
        <v>0</v>
      </c>
      <c r="Q261" s="92">
        <v>0</v>
      </c>
      <c r="R261" s="92">
        <v>0</v>
      </c>
      <c r="S261" s="92">
        <v>0</v>
      </c>
      <c r="T261" s="92">
        <v>0</v>
      </c>
      <c r="U261" s="92">
        <v>0</v>
      </c>
      <c r="V261" s="92">
        <v>0</v>
      </c>
      <c r="W261" s="92">
        <v>0</v>
      </c>
      <c r="X261" s="92">
        <v>0</v>
      </c>
      <c r="Y261" s="92">
        <v>0</v>
      </c>
      <c r="Z261" s="92">
        <v>0</v>
      </c>
      <c r="AA261" s="92">
        <v>0</v>
      </c>
      <c r="AB261" s="92">
        <v>70583</v>
      </c>
      <c r="AC261" s="92">
        <v>72898</v>
      </c>
      <c r="AD261" s="92">
        <v>74902</v>
      </c>
      <c r="AE261" s="92">
        <v>0</v>
      </c>
      <c r="AF261" s="92">
        <v>0</v>
      </c>
      <c r="AG261" s="92">
        <v>0</v>
      </c>
    </row>
    <row r="262" spans="1:33" x14ac:dyDescent="0.25">
      <c r="A262" t="str">
        <f t="shared" si="7"/>
        <v>1-3-100</v>
      </c>
      <c r="B262">
        <v>1</v>
      </c>
      <c r="C262" s="92" t="s">
        <v>1016</v>
      </c>
      <c r="D262" s="92">
        <v>3</v>
      </c>
      <c r="E262" s="92" t="s">
        <v>67</v>
      </c>
      <c r="F262" s="92">
        <v>100</v>
      </c>
      <c r="G262" s="92" t="s">
        <v>602</v>
      </c>
      <c r="H262" s="92"/>
      <c r="I262" s="92">
        <v>49798</v>
      </c>
      <c r="J262" s="92">
        <v>36868944</v>
      </c>
      <c r="K262" s="92" t="s">
        <v>1061</v>
      </c>
      <c r="L262" s="92">
        <v>225</v>
      </c>
      <c r="M262" s="92">
        <v>11034</v>
      </c>
      <c r="N262" s="92">
        <v>2233</v>
      </c>
      <c r="O262" s="92">
        <v>2233</v>
      </c>
      <c r="P262" s="92">
        <v>12620</v>
      </c>
      <c r="Q262" s="92">
        <v>12776</v>
      </c>
      <c r="R262" s="92">
        <v>16193</v>
      </c>
      <c r="S262" s="92">
        <v>0</v>
      </c>
      <c r="T262" s="92">
        <v>0</v>
      </c>
      <c r="U262" s="92">
        <v>963</v>
      </c>
      <c r="V262" s="92">
        <v>0</v>
      </c>
      <c r="W262" s="92">
        <v>0</v>
      </c>
      <c r="X262" s="92">
        <v>0</v>
      </c>
      <c r="Y262" s="92">
        <v>0</v>
      </c>
      <c r="Z262" s="92">
        <v>0</v>
      </c>
      <c r="AA262" s="92">
        <v>0</v>
      </c>
      <c r="AB262" s="92">
        <v>4465842</v>
      </c>
      <c r="AC262" s="92">
        <v>4806450</v>
      </c>
      <c r="AD262" s="92">
        <v>5058264</v>
      </c>
      <c r="AE262" s="92">
        <v>0</v>
      </c>
      <c r="AF262" s="92">
        <v>0</v>
      </c>
      <c r="AG262" s="92">
        <v>0</v>
      </c>
    </row>
    <row r="263" spans="1:33" x14ac:dyDescent="0.25">
      <c r="A263" t="str">
        <f t="shared" si="7"/>
        <v>35-3-101</v>
      </c>
      <c r="B263">
        <v>35</v>
      </c>
      <c r="C263" s="92" t="s">
        <v>1195</v>
      </c>
      <c r="D263" s="92">
        <v>3</v>
      </c>
      <c r="E263" s="92" t="s">
        <v>67</v>
      </c>
      <c r="F263" s="92">
        <v>101</v>
      </c>
      <c r="G263" s="92" t="s">
        <v>495</v>
      </c>
      <c r="H263" s="92"/>
      <c r="I263" s="92">
        <v>3105</v>
      </c>
      <c r="J263" s="92">
        <v>1148707</v>
      </c>
      <c r="K263" s="92" t="s">
        <v>1061</v>
      </c>
      <c r="L263" s="92">
        <v>168</v>
      </c>
      <c r="M263" s="92">
        <v>4919</v>
      </c>
      <c r="N263" s="92">
        <v>517</v>
      </c>
      <c r="O263" s="92">
        <v>518</v>
      </c>
      <c r="P263" s="92">
        <v>0</v>
      </c>
      <c r="Q263" s="92">
        <v>0</v>
      </c>
      <c r="R263" s="92">
        <v>0</v>
      </c>
      <c r="S263" s="92">
        <v>0</v>
      </c>
      <c r="T263" s="92">
        <v>0</v>
      </c>
      <c r="U263" s="92">
        <v>0</v>
      </c>
      <c r="V263" s="92">
        <v>0</v>
      </c>
      <c r="W263" s="92">
        <v>0</v>
      </c>
      <c r="X263" s="92">
        <v>0</v>
      </c>
      <c r="Y263" s="92">
        <v>0</v>
      </c>
      <c r="Z263" s="92">
        <v>0</v>
      </c>
      <c r="AA263" s="92">
        <v>0</v>
      </c>
      <c r="AB263" s="92">
        <v>71152</v>
      </c>
      <c r="AC263" s="92">
        <v>71152</v>
      </c>
      <c r="AD263" s="92">
        <v>71152</v>
      </c>
      <c r="AE263" s="92">
        <v>0</v>
      </c>
      <c r="AF263" s="92">
        <v>0</v>
      </c>
      <c r="AG263" s="92">
        <v>0</v>
      </c>
    </row>
    <row r="264" spans="1:33" x14ac:dyDescent="0.25">
      <c r="A264" t="str">
        <f t="shared" si="7"/>
        <v>3-3-102</v>
      </c>
      <c r="B264">
        <v>3</v>
      </c>
      <c r="C264" s="92" t="s">
        <v>1018</v>
      </c>
      <c r="D264" s="92">
        <v>3</v>
      </c>
      <c r="E264" s="92" t="s">
        <v>67</v>
      </c>
      <c r="F264" s="92">
        <v>102</v>
      </c>
      <c r="G264" s="92" t="s">
        <v>103</v>
      </c>
      <c r="H264" s="92"/>
      <c r="I264" s="92">
        <v>71387</v>
      </c>
      <c r="J264" s="92">
        <v>6895995</v>
      </c>
      <c r="K264" s="92" t="s">
        <v>1061</v>
      </c>
      <c r="L264" s="92">
        <v>0</v>
      </c>
      <c r="M264" s="92">
        <v>1773</v>
      </c>
      <c r="N264" s="92">
        <v>207</v>
      </c>
      <c r="O264" s="92">
        <v>221</v>
      </c>
      <c r="P264" s="92">
        <v>0</v>
      </c>
      <c r="Q264" s="92">
        <v>0</v>
      </c>
      <c r="R264" s="92">
        <v>0</v>
      </c>
      <c r="S264" s="92">
        <v>0</v>
      </c>
      <c r="T264" s="92">
        <v>0</v>
      </c>
      <c r="U264" s="92">
        <v>0</v>
      </c>
      <c r="V264" s="92">
        <v>0</v>
      </c>
      <c r="W264" s="92">
        <v>0</v>
      </c>
      <c r="X264" s="92">
        <v>0</v>
      </c>
      <c r="Y264" s="92">
        <v>0</v>
      </c>
      <c r="Z264" s="92">
        <v>0</v>
      </c>
      <c r="AA264" s="92">
        <v>0</v>
      </c>
      <c r="AB264" s="92">
        <v>170129</v>
      </c>
      <c r="AC264" s="92">
        <v>170129</v>
      </c>
      <c r="AD264" s="92">
        <v>170129</v>
      </c>
      <c r="AE264" s="92">
        <v>0</v>
      </c>
      <c r="AF264" s="92">
        <v>0</v>
      </c>
      <c r="AG264" s="92">
        <v>0</v>
      </c>
    </row>
    <row r="265" spans="1:33" x14ac:dyDescent="0.25">
      <c r="A265" t="str">
        <f t="shared" si="7"/>
        <v>30-3-103</v>
      </c>
      <c r="B265">
        <v>30</v>
      </c>
      <c r="C265" s="92" t="s">
        <v>1043</v>
      </c>
      <c r="D265" s="92">
        <v>3</v>
      </c>
      <c r="E265" s="92" t="s">
        <v>67</v>
      </c>
      <c r="F265" s="92">
        <v>103</v>
      </c>
      <c r="G265" s="92" t="s">
        <v>453</v>
      </c>
      <c r="H265" s="92"/>
      <c r="I265" s="92">
        <v>0</v>
      </c>
      <c r="J265" s="92">
        <v>115002</v>
      </c>
      <c r="K265" s="92" t="s">
        <v>1061</v>
      </c>
      <c r="L265" s="92">
        <v>0</v>
      </c>
      <c r="M265" s="92">
        <v>137</v>
      </c>
      <c r="N265" s="92">
        <v>2</v>
      </c>
      <c r="O265" s="92">
        <v>2</v>
      </c>
      <c r="P265" s="92">
        <v>0</v>
      </c>
      <c r="Q265" s="92">
        <v>0</v>
      </c>
      <c r="R265" s="92">
        <v>0</v>
      </c>
      <c r="S265" s="92">
        <v>0</v>
      </c>
      <c r="T265" s="92">
        <v>0</v>
      </c>
      <c r="U265" s="92">
        <v>0</v>
      </c>
      <c r="V265" s="92">
        <v>0</v>
      </c>
      <c r="W265" s="92">
        <v>0</v>
      </c>
      <c r="X265" s="92">
        <v>0</v>
      </c>
      <c r="Y265" s="92">
        <v>0</v>
      </c>
      <c r="Z265" s="92">
        <v>0</v>
      </c>
      <c r="AA265" s="92">
        <v>0</v>
      </c>
      <c r="AB265" s="92">
        <v>17335</v>
      </c>
      <c r="AC265" s="92">
        <v>18299</v>
      </c>
      <c r="AD265" s="92">
        <v>18852</v>
      </c>
      <c r="AE265" s="92">
        <v>0</v>
      </c>
      <c r="AF265" s="92">
        <v>0</v>
      </c>
      <c r="AG265" s="92">
        <v>0</v>
      </c>
    </row>
    <row r="266" spans="1:33" x14ac:dyDescent="0.25">
      <c r="A266" t="str">
        <f t="shared" si="7"/>
        <v>35-3-104</v>
      </c>
      <c r="B266">
        <v>35</v>
      </c>
      <c r="C266" s="92" t="s">
        <v>1195</v>
      </c>
      <c r="D266" s="92">
        <v>3</v>
      </c>
      <c r="E266" s="92" t="s">
        <v>67</v>
      </c>
      <c r="F266" s="92">
        <v>104</v>
      </c>
      <c r="G266" s="92" t="s">
        <v>496</v>
      </c>
      <c r="H266" s="92"/>
      <c r="I266" s="92">
        <v>3490688</v>
      </c>
      <c r="J266" s="92">
        <v>46302303</v>
      </c>
      <c r="K266" s="92" t="s">
        <v>1061</v>
      </c>
      <c r="L266" s="92">
        <v>587</v>
      </c>
      <c r="M266" s="92">
        <v>290652</v>
      </c>
      <c r="N266" s="92">
        <v>87075</v>
      </c>
      <c r="O266" s="92">
        <v>87341</v>
      </c>
      <c r="P266" s="92">
        <v>0</v>
      </c>
      <c r="Q266" s="92">
        <v>0</v>
      </c>
      <c r="R266" s="92">
        <v>0</v>
      </c>
      <c r="S266" s="92">
        <v>8700</v>
      </c>
      <c r="T266" s="92">
        <v>4850</v>
      </c>
      <c r="U266" s="92">
        <v>864</v>
      </c>
      <c r="V266" s="92">
        <v>0</v>
      </c>
      <c r="W266" s="92">
        <v>0</v>
      </c>
      <c r="X266" s="92">
        <v>0</v>
      </c>
      <c r="Y266" s="92">
        <v>0</v>
      </c>
      <c r="Z266" s="92">
        <v>0</v>
      </c>
      <c r="AA266" s="92">
        <v>0</v>
      </c>
      <c r="AB266" s="92">
        <v>23300800</v>
      </c>
      <c r="AC266" s="92">
        <v>23746320</v>
      </c>
      <c r="AD266" s="92">
        <v>24891814</v>
      </c>
      <c r="AE266" s="92">
        <v>0</v>
      </c>
      <c r="AF266" s="92">
        <v>0</v>
      </c>
      <c r="AG266" s="92">
        <v>0</v>
      </c>
    </row>
    <row r="267" spans="1:33" x14ac:dyDescent="0.25">
      <c r="A267" t="str">
        <f t="shared" si="7"/>
        <v>26-3-105</v>
      </c>
      <c r="B267">
        <v>26</v>
      </c>
      <c r="C267" s="92" t="s">
        <v>1039</v>
      </c>
      <c r="D267" s="92">
        <v>3</v>
      </c>
      <c r="E267" s="92" t="s">
        <v>67</v>
      </c>
      <c r="F267" s="92">
        <v>105</v>
      </c>
      <c r="G267" s="92" t="s">
        <v>390</v>
      </c>
      <c r="H267" s="92"/>
      <c r="I267" s="92">
        <v>41</v>
      </c>
      <c r="J267" s="92">
        <v>551383</v>
      </c>
      <c r="K267" s="92" t="s">
        <v>1061</v>
      </c>
      <c r="L267" s="92">
        <v>15</v>
      </c>
      <c r="M267" s="92">
        <v>475</v>
      </c>
      <c r="N267" s="92">
        <v>322</v>
      </c>
      <c r="O267" s="92">
        <v>322</v>
      </c>
      <c r="P267" s="92">
        <v>0</v>
      </c>
      <c r="Q267" s="92">
        <v>0</v>
      </c>
      <c r="R267" s="92">
        <v>0</v>
      </c>
      <c r="S267" s="92">
        <v>0</v>
      </c>
      <c r="T267" s="92">
        <v>0</v>
      </c>
      <c r="U267" s="92">
        <v>0</v>
      </c>
      <c r="V267" s="92">
        <v>0</v>
      </c>
      <c r="W267" s="92">
        <v>0</v>
      </c>
      <c r="X267" s="92">
        <v>0</v>
      </c>
      <c r="Y267" s="92">
        <v>0</v>
      </c>
      <c r="Z267" s="92">
        <v>0</v>
      </c>
      <c r="AA267" s="92">
        <v>0</v>
      </c>
      <c r="AB267" s="92">
        <v>68879</v>
      </c>
      <c r="AC267" s="92">
        <v>71814</v>
      </c>
      <c r="AD267" s="92">
        <v>75524</v>
      </c>
      <c r="AE267" s="92">
        <v>0</v>
      </c>
      <c r="AF267" s="92">
        <v>0</v>
      </c>
      <c r="AG267" s="92">
        <v>0</v>
      </c>
    </row>
    <row r="268" spans="1:33" x14ac:dyDescent="0.25">
      <c r="A268" t="str">
        <f t="shared" si="7"/>
        <v>19-3-109</v>
      </c>
      <c r="B268">
        <v>19</v>
      </c>
      <c r="C268" s="92" t="s">
        <v>1032</v>
      </c>
      <c r="D268" s="92">
        <v>3</v>
      </c>
      <c r="E268" s="92" t="s">
        <v>67</v>
      </c>
      <c r="F268" s="92">
        <v>109</v>
      </c>
      <c r="G268" s="92" t="s">
        <v>300</v>
      </c>
      <c r="H268" s="92"/>
      <c r="I268" s="92">
        <v>0</v>
      </c>
      <c r="J268" s="92">
        <v>532740</v>
      </c>
      <c r="K268" s="92" t="s">
        <v>1061</v>
      </c>
      <c r="L268" s="92">
        <v>105</v>
      </c>
      <c r="M268" s="92">
        <v>1892</v>
      </c>
      <c r="N268" s="92">
        <v>425</v>
      </c>
      <c r="O268" s="92">
        <v>492</v>
      </c>
      <c r="P268" s="92">
        <v>0</v>
      </c>
      <c r="Q268" s="92">
        <v>0</v>
      </c>
      <c r="R268" s="92">
        <v>0</v>
      </c>
      <c r="S268" s="92">
        <v>0</v>
      </c>
      <c r="T268" s="92">
        <v>0</v>
      </c>
      <c r="U268" s="92">
        <v>0</v>
      </c>
      <c r="V268" s="92">
        <v>0</v>
      </c>
      <c r="W268" s="92">
        <v>0</v>
      </c>
      <c r="X268" s="92">
        <v>0</v>
      </c>
      <c r="Y268" s="92">
        <v>0</v>
      </c>
      <c r="Z268" s="92">
        <v>0</v>
      </c>
      <c r="AA268" s="92">
        <v>0</v>
      </c>
      <c r="AB268" s="92">
        <v>91406</v>
      </c>
      <c r="AC268" s="92">
        <v>95789</v>
      </c>
      <c r="AD268" s="92">
        <v>98942</v>
      </c>
      <c r="AE268" s="92">
        <v>0</v>
      </c>
      <c r="AF268" s="92">
        <v>0</v>
      </c>
      <c r="AG268" s="92">
        <v>0</v>
      </c>
    </row>
    <row r="269" spans="1:33" x14ac:dyDescent="0.25">
      <c r="A269" t="str">
        <f t="shared" si="7"/>
        <v>36-3-110</v>
      </c>
      <c r="B269">
        <v>36</v>
      </c>
      <c r="C269" s="92" t="s">
        <v>1048</v>
      </c>
      <c r="D269" s="92">
        <v>3</v>
      </c>
      <c r="E269" s="92" t="s">
        <v>67</v>
      </c>
      <c r="F269" s="92">
        <v>110</v>
      </c>
      <c r="G269" s="92" t="s">
        <v>503</v>
      </c>
      <c r="H269" s="92"/>
      <c r="I269" s="92">
        <v>0</v>
      </c>
      <c r="J269" s="92">
        <v>5620220</v>
      </c>
      <c r="K269" s="92" t="s">
        <v>1061</v>
      </c>
      <c r="L269" s="92">
        <v>840</v>
      </c>
      <c r="M269" s="92">
        <v>13611</v>
      </c>
      <c r="N269" s="92">
        <v>3474</v>
      </c>
      <c r="O269" s="92">
        <v>3474</v>
      </c>
      <c r="P269" s="92">
        <v>0</v>
      </c>
      <c r="Q269" s="92">
        <v>0</v>
      </c>
      <c r="R269" s="92">
        <v>0</v>
      </c>
      <c r="S269" s="92">
        <v>0</v>
      </c>
      <c r="T269" s="92">
        <v>0</v>
      </c>
      <c r="U269" s="92">
        <v>0</v>
      </c>
      <c r="V269" s="92">
        <v>0</v>
      </c>
      <c r="W269" s="92">
        <v>0</v>
      </c>
      <c r="X269" s="92">
        <v>0</v>
      </c>
      <c r="Y269" s="92">
        <v>0</v>
      </c>
      <c r="Z269" s="92">
        <v>0</v>
      </c>
      <c r="AA269" s="92">
        <v>0</v>
      </c>
      <c r="AB269" s="92">
        <v>851312</v>
      </c>
      <c r="AC269" s="92">
        <v>891013</v>
      </c>
      <c r="AD269" s="92">
        <v>935515</v>
      </c>
      <c r="AE269" s="92">
        <v>0</v>
      </c>
      <c r="AF269" s="92">
        <v>0</v>
      </c>
      <c r="AG269" s="92">
        <v>0</v>
      </c>
    </row>
    <row r="270" spans="1:33" x14ac:dyDescent="0.25">
      <c r="A270" t="str">
        <f t="shared" si="7"/>
        <v>16-3-111</v>
      </c>
      <c r="B270">
        <v>16</v>
      </c>
      <c r="C270" s="92" t="s">
        <v>1029</v>
      </c>
      <c r="D270" s="92">
        <v>3</v>
      </c>
      <c r="E270" s="92" t="s">
        <v>67</v>
      </c>
      <c r="F270" s="92">
        <v>111</v>
      </c>
      <c r="G270" s="92" t="s">
        <v>268</v>
      </c>
      <c r="H270" s="92"/>
      <c r="I270" s="92">
        <v>2135</v>
      </c>
      <c r="J270" s="92">
        <v>226984</v>
      </c>
      <c r="K270" s="92" t="s">
        <v>1061</v>
      </c>
      <c r="L270" s="92">
        <v>28</v>
      </c>
      <c r="M270" s="92">
        <v>310</v>
      </c>
      <c r="N270" s="92">
        <v>3</v>
      </c>
      <c r="O270" s="92">
        <v>6</v>
      </c>
      <c r="P270" s="92">
        <v>0</v>
      </c>
      <c r="Q270" s="92">
        <v>0</v>
      </c>
      <c r="R270" s="92">
        <v>0</v>
      </c>
      <c r="S270" s="92">
        <v>0</v>
      </c>
      <c r="T270" s="92">
        <v>0</v>
      </c>
      <c r="U270" s="92">
        <v>0</v>
      </c>
      <c r="V270" s="92">
        <v>0</v>
      </c>
      <c r="W270" s="92">
        <v>0</v>
      </c>
      <c r="X270" s="92">
        <v>0</v>
      </c>
      <c r="Y270" s="92">
        <v>0</v>
      </c>
      <c r="Z270" s="92">
        <v>0</v>
      </c>
      <c r="AA270" s="92">
        <v>0</v>
      </c>
      <c r="AB270" s="92">
        <v>4643</v>
      </c>
      <c r="AC270" s="92">
        <v>4998</v>
      </c>
      <c r="AD270" s="92">
        <v>4997</v>
      </c>
      <c r="AE270" s="92">
        <v>0</v>
      </c>
      <c r="AF270" s="92">
        <v>154</v>
      </c>
      <c r="AG270" s="92">
        <v>0</v>
      </c>
    </row>
    <row r="271" spans="1:33" x14ac:dyDescent="0.25">
      <c r="A271" t="str">
        <f t="shared" si="7"/>
        <v>37-3-112</v>
      </c>
      <c r="B271">
        <v>37</v>
      </c>
      <c r="C271" s="92" t="s">
        <v>1049</v>
      </c>
      <c r="D271" s="92">
        <v>3</v>
      </c>
      <c r="E271" s="92" t="s">
        <v>67</v>
      </c>
      <c r="F271" s="92">
        <v>112</v>
      </c>
      <c r="G271" s="92" t="s">
        <v>512</v>
      </c>
      <c r="H271" s="92"/>
      <c r="I271" s="92">
        <v>0</v>
      </c>
      <c r="J271" s="92">
        <v>2070718</v>
      </c>
      <c r="K271" s="92" t="s">
        <v>1061</v>
      </c>
      <c r="L271" s="92">
        <v>0</v>
      </c>
      <c r="M271" s="92">
        <v>4722</v>
      </c>
      <c r="N271" s="92">
        <v>670</v>
      </c>
      <c r="O271" s="92">
        <v>700</v>
      </c>
      <c r="P271" s="92">
        <v>0</v>
      </c>
      <c r="Q271" s="92">
        <v>0</v>
      </c>
      <c r="R271" s="92">
        <v>0</v>
      </c>
      <c r="S271" s="92">
        <v>0</v>
      </c>
      <c r="T271" s="92">
        <v>0</v>
      </c>
      <c r="U271" s="92">
        <v>0</v>
      </c>
      <c r="V271" s="92">
        <v>0</v>
      </c>
      <c r="W271" s="92">
        <v>0</v>
      </c>
      <c r="X271" s="92">
        <v>0</v>
      </c>
      <c r="Y271" s="92">
        <v>0</v>
      </c>
      <c r="Z271" s="92">
        <v>0</v>
      </c>
      <c r="AA271" s="92">
        <v>0</v>
      </c>
      <c r="AB271" s="92">
        <v>214775</v>
      </c>
      <c r="AC271" s="92">
        <v>230391</v>
      </c>
      <c r="AD271" s="92">
        <v>239326</v>
      </c>
      <c r="AE271" s="92">
        <v>0</v>
      </c>
      <c r="AF271" s="92">
        <v>0</v>
      </c>
      <c r="AG271" s="92">
        <v>0</v>
      </c>
    </row>
    <row r="272" spans="1:33" x14ac:dyDescent="0.25">
      <c r="A272" t="str">
        <f t="shared" si="7"/>
        <v>43-3-107</v>
      </c>
      <c r="B272">
        <v>43</v>
      </c>
      <c r="C272" s="92" t="s">
        <v>1053</v>
      </c>
      <c r="D272" s="92">
        <v>3</v>
      </c>
      <c r="E272" s="92" t="s">
        <v>67</v>
      </c>
      <c r="F272" s="92">
        <v>107</v>
      </c>
      <c r="G272" s="92" t="s">
        <v>567</v>
      </c>
      <c r="H272" s="92"/>
      <c r="I272" s="92">
        <v>353060</v>
      </c>
      <c r="J272" s="92">
        <v>10554625</v>
      </c>
      <c r="K272" s="92" t="s">
        <v>1061</v>
      </c>
      <c r="L272" s="92">
        <v>268</v>
      </c>
      <c r="M272" s="92">
        <v>29423</v>
      </c>
      <c r="N272" s="92">
        <v>5511</v>
      </c>
      <c r="O272" s="92">
        <v>5511</v>
      </c>
      <c r="P272" s="92">
        <v>0</v>
      </c>
      <c r="Q272" s="92">
        <v>0</v>
      </c>
      <c r="R272" s="92">
        <v>0</v>
      </c>
      <c r="S272" s="92">
        <v>0</v>
      </c>
      <c r="T272" s="92">
        <v>0</v>
      </c>
      <c r="U272" s="92">
        <v>0</v>
      </c>
      <c r="V272" s="92">
        <v>0</v>
      </c>
      <c r="W272" s="92">
        <v>0</v>
      </c>
      <c r="X272" s="92">
        <v>0</v>
      </c>
      <c r="Y272" s="92">
        <v>0</v>
      </c>
      <c r="Z272" s="92">
        <v>0</v>
      </c>
      <c r="AA272" s="92">
        <v>0</v>
      </c>
      <c r="AB272" s="92">
        <v>7643826</v>
      </c>
      <c r="AC272" s="92">
        <v>8007184</v>
      </c>
      <c r="AD272" s="92">
        <v>8519162</v>
      </c>
      <c r="AE272" s="92">
        <v>0</v>
      </c>
      <c r="AF272" s="92">
        <v>0</v>
      </c>
      <c r="AG272" s="92">
        <v>0</v>
      </c>
    </row>
    <row r="273" spans="1:33" x14ac:dyDescent="0.25">
      <c r="A273" t="str">
        <f t="shared" si="7"/>
        <v>3-3-108</v>
      </c>
      <c r="B273">
        <v>3</v>
      </c>
      <c r="C273" s="92" t="s">
        <v>1018</v>
      </c>
      <c r="D273" s="92">
        <v>3</v>
      </c>
      <c r="E273" s="92" t="s">
        <v>67</v>
      </c>
      <c r="F273" s="92">
        <v>108</v>
      </c>
      <c r="G273" s="92" t="s">
        <v>104</v>
      </c>
      <c r="H273" s="92"/>
      <c r="I273" s="92">
        <v>81498</v>
      </c>
      <c r="J273" s="92">
        <v>19828365</v>
      </c>
      <c r="K273" s="92" t="s">
        <v>1061</v>
      </c>
      <c r="L273" s="92">
        <v>0</v>
      </c>
      <c r="M273" s="92">
        <v>2698</v>
      </c>
      <c r="N273" s="92">
        <v>1616</v>
      </c>
      <c r="O273" s="92">
        <v>1681</v>
      </c>
      <c r="P273" s="92">
        <v>0</v>
      </c>
      <c r="Q273" s="92">
        <v>0</v>
      </c>
      <c r="R273" s="92">
        <v>0</v>
      </c>
      <c r="S273" s="92">
        <v>0</v>
      </c>
      <c r="T273" s="92">
        <v>0</v>
      </c>
      <c r="U273" s="92">
        <v>0</v>
      </c>
      <c r="V273" s="92">
        <v>0</v>
      </c>
      <c r="W273" s="92">
        <v>0</v>
      </c>
      <c r="X273" s="92">
        <v>0</v>
      </c>
      <c r="Y273" s="92">
        <v>0</v>
      </c>
      <c r="Z273" s="92">
        <v>0</v>
      </c>
      <c r="AA273" s="92">
        <v>0</v>
      </c>
      <c r="AB273" s="92">
        <v>263728</v>
      </c>
      <c r="AC273" s="92">
        <v>278831</v>
      </c>
      <c r="AD273" s="92">
        <v>290163</v>
      </c>
      <c r="AE273" s="92">
        <v>0</v>
      </c>
      <c r="AF273" s="92">
        <v>0</v>
      </c>
      <c r="AG273" s="92">
        <v>0</v>
      </c>
    </row>
    <row r="274" spans="1:33" x14ac:dyDescent="0.25">
      <c r="A274" t="str">
        <f t="shared" si="7"/>
        <v>14-3-113</v>
      </c>
      <c r="B274">
        <v>14</v>
      </c>
      <c r="C274" s="92" t="s">
        <v>1027</v>
      </c>
      <c r="D274" s="92">
        <v>3</v>
      </c>
      <c r="E274" s="92" t="s">
        <v>67</v>
      </c>
      <c r="F274" s="92">
        <v>113</v>
      </c>
      <c r="G274" s="92" t="s">
        <v>220</v>
      </c>
      <c r="H274" s="92"/>
      <c r="I274" s="92">
        <v>325</v>
      </c>
      <c r="J274" s="92">
        <v>287507</v>
      </c>
      <c r="K274" s="92" t="s">
        <v>1061</v>
      </c>
      <c r="L274" s="92">
        <v>330</v>
      </c>
      <c r="M274" s="92">
        <v>2310</v>
      </c>
      <c r="N274" s="92">
        <v>195</v>
      </c>
      <c r="O274" s="92">
        <v>209</v>
      </c>
      <c r="P274" s="92">
        <v>0</v>
      </c>
      <c r="Q274" s="92">
        <v>0</v>
      </c>
      <c r="R274" s="92">
        <v>0</v>
      </c>
      <c r="S274" s="92">
        <v>0</v>
      </c>
      <c r="T274" s="92">
        <v>0</v>
      </c>
      <c r="U274" s="92">
        <v>0</v>
      </c>
      <c r="V274" s="92">
        <v>0</v>
      </c>
      <c r="W274" s="92">
        <v>0</v>
      </c>
      <c r="X274" s="92">
        <v>0</v>
      </c>
      <c r="Y274" s="92">
        <v>0</v>
      </c>
      <c r="Z274" s="92">
        <v>0</v>
      </c>
      <c r="AA274" s="92">
        <v>0</v>
      </c>
      <c r="AB274" s="92">
        <v>116025</v>
      </c>
      <c r="AC274" s="92">
        <v>125534</v>
      </c>
      <c r="AD274" s="92">
        <v>133335</v>
      </c>
      <c r="AE274" s="92">
        <v>0</v>
      </c>
      <c r="AF274" s="92">
        <v>0</v>
      </c>
      <c r="AG274" s="92">
        <v>0</v>
      </c>
    </row>
    <row r="275" spans="1:33" x14ac:dyDescent="0.25">
      <c r="A275" t="str">
        <f t="shared" si="7"/>
        <v>26-3-114</v>
      </c>
      <c r="B275">
        <v>26</v>
      </c>
      <c r="C275" s="92" t="s">
        <v>1039</v>
      </c>
      <c r="D275" s="92">
        <v>3</v>
      </c>
      <c r="E275" s="92" t="s">
        <v>67</v>
      </c>
      <c r="F275" s="92">
        <v>114</v>
      </c>
      <c r="G275" s="92" t="s">
        <v>391</v>
      </c>
      <c r="H275" s="92"/>
      <c r="I275" s="92">
        <v>167</v>
      </c>
      <c r="J275" s="92">
        <v>1153035</v>
      </c>
      <c r="K275" s="92" t="s">
        <v>1061</v>
      </c>
      <c r="L275" s="92">
        <v>0</v>
      </c>
      <c r="M275" s="92">
        <v>919</v>
      </c>
      <c r="N275" s="92">
        <v>37</v>
      </c>
      <c r="O275" s="92">
        <v>37</v>
      </c>
      <c r="P275" s="92">
        <v>0</v>
      </c>
      <c r="Q275" s="92">
        <v>0</v>
      </c>
      <c r="R275" s="92">
        <v>0</v>
      </c>
      <c r="S275" s="92">
        <v>0</v>
      </c>
      <c r="T275" s="92">
        <v>0</v>
      </c>
      <c r="U275" s="92">
        <v>0</v>
      </c>
      <c r="V275" s="92">
        <v>0</v>
      </c>
      <c r="W275" s="92">
        <v>0</v>
      </c>
      <c r="X275" s="92">
        <v>0</v>
      </c>
      <c r="Y275" s="92">
        <v>0</v>
      </c>
      <c r="Z275" s="92">
        <v>0</v>
      </c>
      <c r="AA275" s="92">
        <v>0</v>
      </c>
      <c r="AB275" s="92">
        <v>159531</v>
      </c>
      <c r="AC275" s="92">
        <v>166558</v>
      </c>
      <c r="AD275" s="92">
        <v>173141</v>
      </c>
      <c r="AE275" s="92">
        <v>0</v>
      </c>
      <c r="AF275" s="92">
        <v>0</v>
      </c>
      <c r="AG275" s="92">
        <v>0</v>
      </c>
    </row>
    <row r="276" spans="1:33" x14ac:dyDescent="0.25">
      <c r="A276" t="str">
        <f t="shared" si="7"/>
        <v>1-3-115</v>
      </c>
      <c r="B276">
        <v>1</v>
      </c>
      <c r="C276" s="92" t="s">
        <v>1016</v>
      </c>
      <c r="D276" s="92">
        <v>3</v>
      </c>
      <c r="E276" s="92" t="s">
        <v>67</v>
      </c>
      <c r="F276" s="92">
        <v>115</v>
      </c>
      <c r="G276" s="92" t="s">
        <v>603</v>
      </c>
      <c r="H276" s="92"/>
      <c r="I276" s="92">
        <v>4208116</v>
      </c>
      <c r="J276" s="92">
        <v>137023024</v>
      </c>
      <c r="K276" s="92" t="s">
        <v>1061</v>
      </c>
      <c r="L276" s="92">
        <v>58</v>
      </c>
      <c r="M276" s="92">
        <v>183264</v>
      </c>
      <c r="N276" s="92">
        <v>48361</v>
      </c>
      <c r="O276" s="92">
        <v>48361</v>
      </c>
      <c r="P276" s="92">
        <v>0</v>
      </c>
      <c r="Q276" s="92">
        <v>0</v>
      </c>
      <c r="R276" s="92">
        <v>0</v>
      </c>
      <c r="S276" s="92">
        <v>533</v>
      </c>
      <c r="T276" s="92">
        <v>562</v>
      </c>
      <c r="U276" s="92">
        <v>6630</v>
      </c>
      <c r="V276" s="92">
        <v>0</v>
      </c>
      <c r="W276" s="92">
        <v>0</v>
      </c>
      <c r="X276" s="92">
        <v>0</v>
      </c>
      <c r="Y276" s="92">
        <v>0</v>
      </c>
      <c r="Z276" s="92">
        <v>0</v>
      </c>
      <c r="AA276" s="92">
        <v>0</v>
      </c>
      <c r="AB276" s="92">
        <v>47406839</v>
      </c>
      <c r="AC276" s="92">
        <v>50726863</v>
      </c>
      <c r="AD276" s="92">
        <v>53633899</v>
      </c>
      <c r="AE276" s="92">
        <v>0</v>
      </c>
      <c r="AF276" s="92">
        <v>0</v>
      </c>
      <c r="AG276" s="92">
        <v>0</v>
      </c>
    </row>
    <row r="277" spans="1:33" x14ac:dyDescent="0.25">
      <c r="A277" t="str">
        <f t="shared" ref="A277:A340" si="8">B277&amp;"-"&amp;D277&amp;"-"&amp;F277</f>
        <v>14-3-116</v>
      </c>
      <c r="B277">
        <v>14</v>
      </c>
      <c r="C277" s="92" t="s">
        <v>1027</v>
      </c>
      <c r="D277" s="92">
        <v>3</v>
      </c>
      <c r="E277" s="92" t="s">
        <v>67</v>
      </c>
      <c r="F277" s="92">
        <v>116</v>
      </c>
      <c r="G277" s="92" t="s">
        <v>221</v>
      </c>
      <c r="H277" s="92"/>
      <c r="I277" s="92">
        <v>82</v>
      </c>
      <c r="J277" s="92">
        <v>8723917</v>
      </c>
      <c r="K277" s="92" t="s">
        <v>1061</v>
      </c>
      <c r="L277" s="92">
        <v>71</v>
      </c>
      <c r="M277" s="92">
        <v>12004</v>
      </c>
      <c r="N277" s="92">
        <v>1806</v>
      </c>
      <c r="O277" s="92">
        <v>1887</v>
      </c>
      <c r="P277" s="92">
        <v>0</v>
      </c>
      <c r="Q277" s="92">
        <v>0</v>
      </c>
      <c r="R277" s="92">
        <v>0</v>
      </c>
      <c r="S277" s="92">
        <v>0</v>
      </c>
      <c r="T277" s="92">
        <v>0</v>
      </c>
      <c r="U277" s="92">
        <v>0</v>
      </c>
      <c r="V277" s="92">
        <v>0</v>
      </c>
      <c r="W277" s="92">
        <v>0</v>
      </c>
      <c r="X277" s="92">
        <v>0</v>
      </c>
      <c r="Y277" s="92">
        <v>0</v>
      </c>
      <c r="Z277" s="92">
        <v>0</v>
      </c>
      <c r="AA277" s="92">
        <v>0</v>
      </c>
      <c r="AB277" s="92">
        <v>3131285</v>
      </c>
      <c r="AC277" s="92">
        <v>3349711</v>
      </c>
      <c r="AD277" s="92">
        <v>3618717</v>
      </c>
      <c r="AE277" s="92">
        <v>0</v>
      </c>
      <c r="AF277" s="92">
        <v>0</v>
      </c>
      <c r="AG277" s="92">
        <v>0</v>
      </c>
    </row>
    <row r="278" spans="1:33" x14ac:dyDescent="0.25">
      <c r="A278" t="str">
        <f t="shared" si="8"/>
        <v>44-3-117</v>
      </c>
      <c r="B278">
        <v>44</v>
      </c>
      <c r="C278" s="92" t="s">
        <v>1054</v>
      </c>
      <c r="D278" s="92">
        <v>3</v>
      </c>
      <c r="E278" s="92" t="s">
        <v>67</v>
      </c>
      <c r="F278" s="92">
        <v>117</v>
      </c>
      <c r="G278" s="92" t="s">
        <v>576</v>
      </c>
      <c r="H278" s="92"/>
      <c r="I278" s="92">
        <v>0</v>
      </c>
      <c r="J278" s="92">
        <v>2892061</v>
      </c>
      <c r="K278" s="92" t="s">
        <v>1061</v>
      </c>
      <c r="L278" s="92">
        <v>152</v>
      </c>
      <c r="M278" s="92">
        <v>498</v>
      </c>
      <c r="N278" s="92">
        <v>49</v>
      </c>
      <c r="O278" s="92">
        <v>57</v>
      </c>
      <c r="P278" s="92">
        <v>0</v>
      </c>
      <c r="Q278" s="92">
        <v>0</v>
      </c>
      <c r="R278" s="92">
        <v>0</v>
      </c>
      <c r="S278" s="92">
        <v>0</v>
      </c>
      <c r="T278" s="92">
        <v>0</v>
      </c>
      <c r="U278" s="92">
        <v>0</v>
      </c>
      <c r="V278" s="92">
        <v>0</v>
      </c>
      <c r="W278" s="92">
        <v>0</v>
      </c>
      <c r="X278" s="92">
        <v>0</v>
      </c>
      <c r="Y278" s="92">
        <v>0</v>
      </c>
      <c r="Z278" s="92">
        <v>0</v>
      </c>
      <c r="AA278" s="92">
        <v>0</v>
      </c>
      <c r="AB278" s="92">
        <v>27652</v>
      </c>
      <c r="AC278" s="92">
        <v>28912</v>
      </c>
      <c r="AD278" s="92">
        <v>30116</v>
      </c>
      <c r="AE278" s="92">
        <v>0</v>
      </c>
      <c r="AF278" s="92">
        <v>0</v>
      </c>
      <c r="AG278" s="92">
        <v>0</v>
      </c>
    </row>
    <row r="279" spans="1:33" x14ac:dyDescent="0.25">
      <c r="A279" t="str">
        <f t="shared" si="8"/>
        <v>34-3-118</v>
      </c>
      <c r="B279">
        <v>34</v>
      </c>
      <c r="C279" s="92" t="s">
        <v>1047</v>
      </c>
      <c r="D279" s="92">
        <v>3</v>
      </c>
      <c r="E279" s="92" t="s">
        <v>67</v>
      </c>
      <c r="F279" s="92">
        <v>118</v>
      </c>
      <c r="G279" s="92" t="s">
        <v>490</v>
      </c>
      <c r="H279" s="92"/>
      <c r="I279" s="92">
        <v>0</v>
      </c>
      <c r="J279" s="92">
        <v>1972347</v>
      </c>
      <c r="K279" s="92" t="s">
        <v>1061</v>
      </c>
      <c r="L279" s="92">
        <v>0</v>
      </c>
      <c r="M279" s="92">
        <v>634</v>
      </c>
      <c r="N279" s="92">
        <v>156</v>
      </c>
      <c r="O279" s="92">
        <v>156</v>
      </c>
      <c r="P279" s="92">
        <v>0</v>
      </c>
      <c r="Q279" s="92">
        <v>0</v>
      </c>
      <c r="R279" s="92">
        <v>0</v>
      </c>
      <c r="S279" s="92">
        <v>0</v>
      </c>
      <c r="T279" s="92">
        <v>0</v>
      </c>
      <c r="U279" s="92">
        <v>0</v>
      </c>
      <c r="V279" s="92">
        <v>0</v>
      </c>
      <c r="W279" s="92">
        <v>0</v>
      </c>
      <c r="X279" s="92">
        <v>0</v>
      </c>
      <c r="Y279" s="92">
        <v>0</v>
      </c>
      <c r="Z279" s="92">
        <v>0</v>
      </c>
      <c r="AA279" s="92">
        <v>0</v>
      </c>
      <c r="AB279" s="92">
        <v>21289</v>
      </c>
      <c r="AC279" s="92">
        <v>21289</v>
      </c>
      <c r="AD279" s="92">
        <v>23055</v>
      </c>
      <c r="AE279" s="92">
        <v>0</v>
      </c>
      <c r="AF279" s="92">
        <v>0</v>
      </c>
      <c r="AG279" s="92">
        <v>0</v>
      </c>
    </row>
    <row r="280" spans="1:33" x14ac:dyDescent="0.25">
      <c r="A280" t="str">
        <f t="shared" si="8"/>
        <v>4-3-119</v>
      </c>
      <c r="B280">
        <v>4</v>
      </c>
      <c r="C280" s="92" t="s">
        <v>1194</v>
      </c>
      <c r="D280" s="92">
        <v>3</v>
      </c>
      <c r="E280" s="92" t="s">
        <v>67</v>
      </c>
      <c r="F280" s="92">
        <v>119</v>
      </c>
      <c r="G280" s="92" t="s">
        <v>116</v>
      </c>
      <c r="H280" s="92"/>
      <c r="I280" s="92">
        <v>8909</v>
      </c>
      <c r="J280" s="92">
        <v>6468383</v>
      </c>
      <c r="K280" s="92" t="s">
        <v>1061</v>
      </c>
      <c r="L280" s="92">
        <v>465</v>
      </c>
      <c r="M280" s="92">
        <v>14270</v>
      </c>
      <c r="N280" s="92">
        <v>2700</v>
      </c>
      <c r="O280" s="92">
        <v>2833</v>
      </c>
      <c r="P280" s="92">
        <v>0</v>
      </c>
      <c r="Q280" s="92">
        <v>0</v>
      </c>
      <c r="R280" s="92">
        <v>0</v>
      </c>
      <c r="S280" s="92">
        <v>0</v>
      </c>
      <c r="T280" s="92">
        <v>0</v>
      </c>
      <c r="U280" s="92">
        <v>0</v>
      </c>
      <c r="V280" s="92">
        <v>0</v>
      </c>
      <c r="W280" s="92">
        <v>0</v>
      </c>
      <c r="X280" s="92">
        <v>0</v>
      </c>
      <c r="Y280" s="92">
        <v>0</v>
      </c>
      <c r="Z280" s="92">
        <v>0</v>
      </c>
      <c r="AA280" s="92">
        <v>0</v>
      </c>
      <c r="AB280" s="92">
        <v>824869</v>
      </c>
      <c r="AC280" s="92">
        <v>866209</v>
      </c>
      <c r="AD280" s="92">
        <v>891982</v>
      </c>
      <c r="AE280" s="92">
        <v>0</v>
      </c>
      <c r="AF280" s="92">
        <v>0</v>
      </c>
      <c r="AG280" s="92">
        <v>0</v>
      </c>
    </row>
    <row r="281" spans="1:33" x14ac:dyDescent="0.25">
      <c r="A281" t="str">
        <f t="shared" si="8"/>
        <v>12-3-120</v>
      </c>
      <c r="B281">
        <v>12</v>
      </c>
      <c r="C281" s="92" t="s">
        <v>1025</v>
      </c>
      <c r="D281" s="92">
        <v>3</v>
      </c>
      <c r="E281" s="92" t="s">
        <v>67</v>
      </c>
      <c r="F281" s="92">
        <v>120</v>
      </c>
      <c r="G281" s="92" t="s">
        <v>213</v>
      </c>
      <c r="H281" s="92"/>
      <c r="I281" s="92">
        <v>0</v>
      </c>
      <c r="J281" s="92">
        <v>25171</v>
      </c>
      <c r="K281" s="92" t="s">
        <v>1061</v>
      </c>
      <c r="L281" s="92">
        <v>0</v>
      </c>
      <c r="M281" s="92">
        <v>284</v>
      </c>
      <c r="N281" s="92">
        <v>0</v>
      </c>
      <c r="O281" s="92">
        <v>0</v>
      </c>
      <c r="P281" s="92">
        <v>0</v>
      </c>
      <c r="Q281" s="92">
        <v>0</v>
      </c>
      <c r="R281" s="92">
        <v>0</v>
      </c>
      <c r="S281" s="92">
        <v>0</v>
      </c>
      <c r="T281" s="92">
        <v>0</v>
      </c>
      <c r="U281" s="92">
        <v>0</v>
      </c>
      <c r="V281" s="92">
        <v>0</v>
      </c>
      <c r="W281" s="92">
        <v>0</v>
      </c>
      <c r="X281" s="92">
        <v>0</v>
      </c>
      <c r="Y281" s="92">
        <v>0</v>
      </c>
      <c r="Z281" s="92">
        <v>0</v>
      </c>
      <c r="AA281" s="92">
        <v>0</v>
      </c>
      <c r="AB281" s="92">
        <v>8240</v>
      </c>
      <c r="AC281" s="92">
        <v>8716</v>
      </c>
      <c r="AD281" s="92">
        <v>8716</v>
      </c>
      <c r="AE281" s="92">
        <v>0</v>
      </c>
      <c r="AF281" s="92">
        <v>0</v>
      </c>
      <c r="AG281" s="92">
        <v>0</v>
      </c>
    </row>
    <row r="282" spans="1:33" x14ac:dyDescent="0.25">
      <c r="A282" t="str">
        <f t="shared" si="8"/>
        <v>29-3-121</v>
      </c>
      <c r="B282">
        <v>29</v>
      </c>
      <c r="C282" s="92" t="s">
        <v>1042</v>
      </c>
      <c r="D282" s="92">
        <v>3</v>
      </c>
      <c r="E282" s="92" t="s">
        <v>67</v>
      </c>
      <c r="F282" s="92">
        <v>121</v>
      </c>
      <c r="G282" s="92" t="s">
        <v>439</v>
      </c>
      <c r="H282" s="92"/>
      <c r="I282" s="92">
        <v>15141</v>
      </c>
      <c r="J282" s="92">
        <v>14961289</v>
      </c>
      <c r="K282" s="92" t="s">
        <v>1061</v>
      </c>
      <c r="L282" s="92">
        <v>376</v>
      </c>
      <c r="M282" s="92">
        <v>89765</v>
      </c>
      <c r="N282" s="92">
        <v>22024</v>
      </c>
      <c r="O282" s="92">
        <v>24401</v>
      </c>
      <c r="P282" s="92">
        <v>0</v>
      </c>
      <c r="Q282" s="92">
        <v>0</v>
      </c>
      <c r="R282" s="92">
        <v>0</v>
      </c>
      <c r="S282" s="92">
        <v>5221.87</v>
      </c>
      <c r="T282" s="92">
        <v>3202</v>
      </c>
      <c r="U282" s="92">
        <v>0</v>
      </c>
      <c r="V282" s="92">
        <v>0</v>
      </c>
      <c r="W282" s="92">
        <v>0</v>
      </c>
      <c r="X282" s="92">
        <v>0</v>
      </c>
      <c r="Y282" s="92">
        <v>0</v>
      </c>
      <c r="Z282" s="92">
        <v>0</v>
      </c>
      <c r="AA282" s="92">
        <v>0</v>
      </c>
      <c r="AB282" s="92">
        <v>7164883</v>
      </c>
      <c r="AC282" s="92">
        <v>7568502</v>
      </c>
      <c r="AD282" s="92">
        <v>8004842</v>
      </c>
      <c r="AE282" s="92">
        <v>0</v>
      </c>
      <c r="AF282" s="92">
        <v>0</v>
      </c>
      <c r="AG282" s="92">
        <v>0</v>
      </c>
    </row>
    <row r="283" spans="1:33" x14ac:dyDescent="0.25">
      <c r="A283" t="str">
        <f t="shared" si="8"/>
        <v>20-3-122</v>
      </c>
      <c r="B283">
        <v>20</v>
      </c>
      <c r="C283" s="92" t="s">
        <v>1033</v>
      </c>
      <c r="D283" s="92">
        <v>3</v>
      </c>
      <c r="E283" s="92" t="s">
        <v>67</v>
      </c>
      <c r="F283" s="92">
        <v>122</v>
      </c>
      <c r="G283" s="92" t="s">
        <v>308</v>
      </c>
      <c r="H283" s="92"/>
      <c r="I283" s="92">
        <v>0</v>
      </c>
      <c r="J283" s="92">
        <v>36985056</v>
      </c>
      <c r="K283" s="92" t="s">
        <v>1061</v>
      </c>
      <c r="L283" s="92">
        <v>1101</v>
      </c>
      <c r="M283" s="92">
        <v>91159</v>
      </c>
      <c r="N283" s="92">
        <v>12964</v>
      </c>
      <c r="O283" s="92">
        <v>13470</v>
      </c>
      <c r="P283" s="92">
        <v>0</v>
      </c>
      <c r="Q283" s="92">
        <v>21420</v>
      </c>
      <c r="R283" s="92">
        <v>37391</v>
      </c>
      <c r="S283" s="92">
        <v>4052</v>
      </c>
      <c r="T283" s="92">
        <v>0</v>
      </c>
      <c r="U283" s="92">
        <v>0</v>
      </c>
      <c r="V283" s="92">
        <v>0</v>
      </c>
      <c r="W283" s="92">
        <v>0</v>
      </c>
      <c r="X283" s="92">
        <v>0</v>
      </c>
      <c r="Y283" s="92">
        <v>0</v>
      </c>
      <c r="Z283" s="92">
        <v>0</v>
      </c>
      <c r="AA283" s="92">
        <v>0</v>
      </c>
      <c r="AB283" s="92">
        <v>7754092</v>
      </c>
      <c r="AC283" s="92">
        <v>8116793</v>
      </c>
      <c r="AD283" s="92">
        <v>8532321</v>
      </c>
      <c r="AE283" s="92">
        <v>0</v>
      </c>
      <c r="AF283" s="92">
        <v>0</v>
      </c>
      <c r="AG283" s="92">
        <v>0</v>
      </c>
    </row>
    <row r="284" spans="1:33" x14ac:dyDescent="0.25">
      <c r="A284" t="str">
        <f t="shared" si="8"/>
        <v>11-3-123</v>
      </c>
      <c r="B284">
        <v>11</v>
      </c>
      <c r="C284" s="92" t="s">
        <v>1024</v>
      </c>
      <c r="D284" s="92">
        <v>3</v>
      </c>
      <c r="E284" s="92" t="s">
        <v>67</v>
      </c>
      <c r="F284" s="92">
        <v>123</v>
      </c>
      <c r="G284" s="92" t="s">
        <v>736</v>
      </c>
      <c r="H284" s="92"/>
      <c r="I284" s="92">
        <v>1742</v>
      </c>
      <c r="J284" s="92">
        <v>3564479</v>
      </c>
      <c r="K284" s="92" t="s">
        <v>1061</v>
      </c>
      <c r="L284" s="92">
        <v>87</v>
      </c>
      <c r="M284" s="92">
        <v>671</v>
      </c>
      <c r="N284" s="92">
        <v>194</v>
      </c>
      <c r="O284" s="92">
        <v>194</v>
      </c>
      <c r="P284" s="92">
        <v>0</v>
      </c>
      <c r="Q284" s="92">
        <v>0</v>
      </c>
      <c r="R284" s="92">
        <v>0</v>
      </c>
      <c r="S284" s="92">
        <v>0</v>
      </c>
      <c r="T284" s="92">
        <v>0</v>
      </c>
      <c r="U284" s="92">
        <v>0</v>
      </c>
      <c r="V284" s="92">
        <v>0</v>
      </c>
      <c r="W284" s="92">
        <v>0</v>
      </c>
      <c r="X284" s="92">
        <v>0</v>
      </c>
      <c r="Y284" s="92">
        <v>0</v>
      </c>
      <c r="Z284" s="92">
        <v>0</v>
      </c>
      <c r="AA284" s="92">
        <v>0</v>
      </c>
      <c r="AB284" s="92">
        <v>90760</v>
      </c>
      <c r="AC284" s="92">
        <v>90760</v>
      </c>
      <c r="AD284" s="92">
        <v>95310</v>
      </c>
      <c r="AE284" s="92">
        <v>0</v>
      </c>
      <c r="AF284" s="92">
        <v>0</v>
      </c>
      <c r="AG284" s="92">
        <v>0</v>
      </c>
    </row>
    <row r="285" spans="1:33" x14ac:dyDescent="0.25">
      <c r="A285" t="str">
        <f t="shared" si="8"/>
        <v>26-3-124</v>
      </c>
      <c r="B285">
        <v>26</v>
      </c>
      <c r="C285" s="92" t="s">
        <v>1039</v>
      </c>
      <c r="D285" s="92">
        <v>3</v>
      </c>
      <c r="E285" s="92" t="s">
        <v>67</v>
      </c>
      <c r="F285" s="92">
        <v>124</v>
      </c>
      <c r="G285" s="92" t="s">
        <v>392</v>
      </c>
      <c r="H285" s="92"/>
      <c r="I285" s="92">
        <v>0</v>
      </c>
      <c r="J285" s="92">
        <v>366281</v>
      </c>
      <c r="K285" s="92" t="s">
        <v>1061</v>
      </c>
      <c r="L285" s="92">
        <v>19</v>
      </c>
      <c r="M285" s="92">
        <v>721</v>
      </c>
      <c r="N285" s="92">
        <v>156</v>
      </c>
      <c r="O285" s="92">
        <v>156</v>
      </c>
      <c r="P285" s="92">
        <v>0</v>
      </c>
      <c r="Q285" s="92">
        <v>0</v>
      </c>
      <c r="R285" s="92">
        <v>0</v>
      </c>
      <c r="S285" s="92">
        <v>0</v>
      </c>
      <c r="T285" s="92">
        <v>0</v>
      </c>
      <c r="U285" s="92">
        <v>0</v>
      </c>
      <c r="V285" s="92">
        <v>0</v>
      </c>
      <c r="W285" s="92">
        <v>0</v>
      </c>
      <c r="X285" s="92">
        <v>0</v>
      </c>
      <c r="Y285" s="92">
        <v>0</v>
      </c>
      <c r="Z285" s="92">
        <v>0</v>
      </c>
      <c r="AA285" s="92">
        <v>0</v>
      </c>
      <c r="AB285" s="92">
        <v>50044</v>
      </c>
      <c r="AC285" s="92">
        <v>51572</v>
      </c>
      <c r="AD285" s="92">
        <v>53146</v>
      </c>
      <c r="AE285" s="92">
        <v>0</v>
      </c>
      <c r="AF285" s="92">
        <v>0</v>
      </c>
      <c r="AG285" s="92">
        <v>0</v>
      </c>
    </row>
    <row r="286" spans="1:33" x14ac:dyDescent="0.25">
      <c r="A286" t="str">
        <f t="shared" si="8"/>
        <v>40-3-125</v>
      </c>
      <c r="B286">
        <v>40</v>
      </c>
      <c r="C286" s="92" t="s">
        <v>1051</v>
      </c>
      <c r="D286" s="92">
        <v>3</v>
      </c>
      <c r="E286" s="92" t="s">
        <v>67</v>
      </c>
      <c r="F286" s="92">
        <v>125</v>
      </c>
      <c r="G286" s="92" t="s">
        <v>533</v>
      </c>
      <c r="H286" s="92"/>
      <c r="I286" s="92">
        <v>46</v>
      </c>
      <c r="J286" s="92">
        <v>1160533</v>
      </c>
      <c r="K286" s="92" t="s">
        <v>1061</v>
      </c>
      <c r="L286" s="92">
        <v>0</v>
      </c>
      <c r="M286" s="92">
        <v>1929</v>
      </c>
      <c r="N286" s="92">
        <v>48</v>
      </c>
      <c r="O286" s="92">
        <v>48</v>
      </c>
      <c r="P286" s="92">
        <v>0</v>
      </c>
      <c r="Q286" s="92">
        <v>0</v>
      </c>
      <c r="R286" s="92">
        <v>0</v>
      </c>
      <c r="S286" s="92">
        <v>0</v>
      </c>
      <c r="T286" s="92">
        <v>0</v>
      </c>
      <c r="U286" s="92">
        <v>0</v>
      </c>
      <c r="V286" s="92">
        <v>0</v>
      </c>
      <c r="W286" s="92">
        <v>0</v>
      </c>
      <c r="X286" s="92">
        <v>0</v>
      </c>
      <c r="Y286" s="92">
        <v>0</v>
      </c>
      <c r="Z286" s="92">
        <v>0</v>
      </c>
      <c r="AA286" s="92">
        <v>0</v>
      </c>
      <c r="AB286" s="92">
        <v>189928</v>
      </c>
      <c r="AC286" s="92">
        <v>195685</v>
      </c>
      <c r="AD286" s="92">
        <v>203553</v>
      </c>
      <c r="AE286" s="92">
        <v>0</v>
      </c>
      <c r="AF286" s="92">
        <v>0</v>
      </c>
      <c r="AG286" s="92">
        <v>0</v>
      </c>
    </row>
    <row r="287" spans="1:33" x14ac:dyDescent="0.25">
      <c r="A287" t="str">
        <f t="shared" si="8"/>
        <v>42-3-126</v>
      </c>
      <c r="B287">
        <v>42</v>
      </c>
      <c r="C287" s="92" t="s">
        <v>1196</v>
      </c>
      <c r="D287" s="92">
        <v>3</v>
      </c>
      <c r="E287" s="92" t="s">
        <v>67</v>
      </c>
      <c r="F287" s="92">
        <v>126</v>
      </c>
      <c r="G287" s="92" t="s">
        <v>557</v>
      </c>
      <c r="H287" s="92"/>
      <c r="I287" s="92">
        <v>846</v>
      </c>
      <c r="J287" s="92">
        <v>466091</v>
      </c>
      <c r="K287" s="92" t="s">
        <v>1061</v>
      </c>
      <c r="L287" s="92">
        <v>0</v>
      </c>
      <c r="M287" s="92">
        <v>1651</v>
      </c>
      <c r="N287" s="92">
        <v>900</v>
      </c>
      <c r="O287" s="92">
        <v>970</v>
      </c>
      <c r="P287" s="92">
        <v>0</v>
      </c>
      <c r="Q287" s="92">
        <v>0</v>
      </c>
      <c r="R287" s="92">
        <v>0</v>
      </c>
      <c r="S287" s="92">
        <v>0</v>
      </c>
      <c r="T287" s="92">
        <v>0</v>
      </c>
      <c r="U287" s="92">
        <v>0</v>
      </c>
      <c r="V287" s="92">
        <v>0</v>
      </c>
      <c r="W287" s="92">
        <v>0</v>
      </c>
      <c r="X287" s="92">
        <v>0</v>
      </c>
      <c r="Y287" s="92">
        <v>0</v>
      </c>
      <c r="Z287" s="92">
        <v>0</v>
      </c>
      <c r="AA287" s="92">
        <v>0</v>
      </c>
      <c r="AB287" s="92">
        <v>63743</v>
      </c>
      <c r="AC287" s="92">
        <v>66415</v>
      </c>
      <c r="AD287" s="92">
        <v>71597</v>
      </c>
      <c r="AE287" s="92">
        <v>0</v>
      </c>
      <c r="AF287" s="92">
        <v>0</v>
      </c>
      <c r="AG287" s="92">
        <v>2141</v>
      </c>
    </row>
    <row r="288" spans="1:33" x14ac:dyDescent="0.25">
      <c r="A288" t="str">
        <f t="shared" si="8"/>
        <v>14-3-127</v>
      </c>
      <c r="B288">
        <v>14</v>
      </c>
      <c r="C288" s="92" t="s">
        <v>1027</v>
      </c>
      <c r="D288" s="92">
        <v>3</v>
      </c>
      <c r="E288" s="92" t="s">
        <v>67</v>
      </c>
      <c r="F288" s="92">
        <v>127</v>
      </c>
      <c r="G288" s="92" t="s">
        <v>222</v>
      </c>
      <c r="H288" s="92"/>
      <c r="I288" s="92">
        <v>2168190</v>
      </c>
      <c r="J288" s="92">
        <v>104427307</v>
      </c>
      <c r="K288" s="92" t="s">
        <v>1061</v>
      </c>
      <c r="L288" s="92">
        <v>7579</v>
      </c>
      <c r="M288" s="92">
        <v>523275</v>
      </c>
      <c r="N288" s="92">
        <v>80386</v>
      </c>
      <c r="O288" s="92">
        <v>85724</v>
      </c>
      <c r="P288" s="92">
        <v>0</v>
      </c>
      <c r="Q288" s="92">
        <v>0</v>
      </c>
      <c r="R288" s="92">
        <v>0</v>
      </c>
      <c r="S288" s="92">
        <v>0</v>
      </c>
      <c r="T288" s="92">
        <v>0</v>
      </c>
      <c r="U288" s="92">
        <v>0</v>
      </c>
      <c r="V288" s="92">
        <v>0</v>
      </c>
      <c r="W288" s="92">
        <v>0</v>
      </c>
      <c r="X288" s="92">
        <v>0</v>
      </c>
      <c r="Y288" s="92">
        <v>0</v>
      </c>
      <c r="Z288" s="92">
        <v>0</v>
      </c>
      <c r="AA288" s="92">
        <v>0</v>
      </c>
      <c r="AB288" s="92">
        <v>40450417</v>
      </c>
      <c r="AC288" s="92">
        <v>45251161</v>
      </c>
      <c r="AD288" s="92">
        <v>46653779</v>
      </c>
      <c r="AE288" s="92">
        <v>0</v>
      </c>
      <c r="AF288" s="92">
        <v>1322493</v>
      </c>
      <c r="AG288" s="92">
        <v>0</v>
      </c>
    </row>
    <row r="289" spans="1:33" x14ac:dyDescent="0.25">
      <c r="A289" t="str">
        <f t="shared" si="8"/>
        <v>2-3-129</v>
      </c>
      <c r="B289">
        <v>2</v>
      </c>
      <c r="C289" s="92" t="s">
        <v>1017</v>
      </c>
      <c r="D289" s="92">
        <v>3</v>
      </c>
      <c r="E289" s="92" t="s">
        <v>67</v>
      </c>
      <c r="F289" s="92">
        <v>129</v>
      </c>
      <c r="G289" s="92" t="s">
        <v>623</v>
      </c>
      <c r="H289" s="92"/>
      <c r="I289" s="92">
        <v>0</v>
      </c>
      <c r="J289" s="92">
        <v>683287</v>
      </c>
      <c r="K289" s="92" t="s">
        <v>1061</v>
      </c>
      <c r="L289" s="92">
        <v>17</v>
      </c>
      <c r="M289" s="92">
        <v>7372</v>
      </c>
      <c r="N289" s="92">
        <v>934</v>
      </c>
      <c r="O289" s="92">
        <v>934</v>
      </c>
      <c r="P289" s="92">
        <v>0</v>
      </c>
      <c r="Q289" s="92">
        <v>0</v>
      </c>
      <c r="R289" s="92">
        <v>0</v>
      </c>
      <c r="S289" s="92">
        <v>0</v>
      </c>
      <c r="T289" s="92">
        <v>0</v>
      </c>
      <c r="U289" s="92">
        <v>0</v>
      </c>
      <c r="V289" s="92">
        <v>0</v>
      </c>
      <c r="W289" s="92">
        <v>0</v>
      </c>
      <c r="X289" s="92">
        <v>0</v>
      </c>
      <c r="Y289" s="92">
        <v>0</v>
      </c>
      <c r="Z289" s="92">
        <v>0</v>
      </c>
      <c r="AA289" s="92">
        <v>0</v>
      </c>
      <c r="AB289" s="92">
        <v>170854</v>
      </c>
      <c r="AC289" s="92">
        <v>177951</v>
      </c>
      <c r="AD289" s="92">
        <v>192414</v>
      </c>
      <c r="AE289" s="92">
        <v>0</v>
      </c>
      <c r="AF289" s="92">
        <v>0</v>
      </c>
      <c r="AG289" s="92">
        <v>0</v>
      </c>
    </row>
    <row r="290" spans="1:33" x14ac:dyDescent="0.25">
      <c r="A290" t="str">
        <f t="shared" si="8"/>
        <v>38-3-130</v>
      </c>
      <c r="B290">
        <v>38</v>
      </c>
      <c r="C290" s="92" t="s">
        <v>1050</v>
      </c>
      <c r="D290" s="92">
        <v>3</v>
      </c>
      <c r="E290" s="92" t="s">
        <v>67</v>
      </c>
      <c r="F290" s="92">
        <v>130</v>
      </c>
      <c r="G290" s="92" t="s">
        <v>520</v>
      </c>
      <c r="H290" s="92"/>
      <c r="I290" s="92">
        <v>80648</v>
      </c>
      <c r="J290" s="92">
        <v>2440918</v>
      </c>
      <c r="K290" s="92" t="s">
        <v>1061</v>
      </c>
      <c r="L290" s="92">
        <v>136</v>
      </c>
      <c r="M290" s="92">
        <v>12454</v>
      </c>
      <c r="N290" s="92">
        <v>1968</v>
      </c>
      <c r="O290" s="92">
        <v>1990</v>
      </c>
      <c r="P290" s="92">
        <v>0</v>
      </c>
      <c r="Q290" s="92">
        <v>0</v>
      </c>
      <c r="R290" s="92">
        <v>0</v>
      </c>
      <c r="S290" s="92">
        <v>0</v>
      </c>
      <c r="T290" s="92">
        <v>0</v>
      </c>
      <c r="U290" s="92">
        <v>0</v>
      </c>
      <c r="V290" s="92">
        <v>0</v>
      </c>
      <c r="W290" s="92">
        <v>0</v>
      </c>
      <c r="X290" s="92">
        <v>0</v>
      </c>
      <c r="Y290" s="92">
        <v>0</v>
      </c>
      <c r="Z290" s="92">
        <v>0</v>
      </c>
      <c r="AA290" s="92">
        <v>0</v>
      </c>
      <c r="AB290" s="92">
        <v>535333</v>
      </c>
      <c r="AC290" s="92">
        <v>584915</v>
      </c>
      <c r="AD290" s="92">
        <v>600067</v>
      </c>
      <c r="AE290" s="92">
        <v>0</v>
      </c>
      <c r="AF290" s="92">
        <v>17405</v>
      </c>
      <c r="AG290" s="92">
        <v>0</v>
      </c>
    </row>
    <row r="291" spans="1:33" x14ac:dyDescent="0.25">
      <c r="A291" t="str">
        <f t="shared" si="8"/>
        <v>22-3-128</v>
      </c>
      <c r="B291">
        <v>22</v>
      </c>
      <c r="C291" s="92" t="s">
        <v>1035</v>
      </c>
      <c r="D291" s="92">
        <v>3</v>
      </c>
      <c r="E291" s="92" t="s">
        <v>67</v>
      </c>
      <c r="F291" s="92">
        <v>128</v>
      </c>
      <c r="G291" s="92" t="s">
        <v>334</v>
      </c>
      <c r="H291" s="92"/>
      <c r="I291" s="92">
        <v>702</v>
      </c>
      <c r="J291" s="92">
        <v>127204</v>
      </c>
      <c r="K291" s="92" t="s">
        <v>1061</v>
      </c>
      <c r="L291" s="92">
        <v>53</v>
      </c>
      <c r="M291" s="92">
        <v>791</v>
      </c>
      <c r="N291" s="92">
        <v>450</v>
      </c>
      <c r="O291" s="92">
        <v>473</v>
      </c>
      <c r="P291" s="92">
        <v>0</v>
      </c>
      <c r="Q291" s="92">
        <v>0</v>
      </c>
      <c r="R291" s="92">
        <v>0</v>
      </c>
      <c r="S291" s="92">
        <v>0</v>
      </c>
      <c r="T291" s="92">
        <v>0</v>
      </c>
      <c r="U291" s="92">
        <v>0</v>
      </c>
      <c r="V291" s="92">
        <v>0</v>
      </c>
      <c r="W291" s="92">
        <v>0</v>
      </c>
      <c r="X291" s="92">
        <v>0</v>
      </c>
      <c r="Y291" s="92">
        <v>0</v>
      </c>
      <c r="Z291" s="92">
        <v>0</v>
      </c>
      <c r="AA291" s="92">
        <v>0</v>
      </c>
      <c r="AB291" s="92">
        <v>58229</v>
      </c>
      <c r="AC291" s="92">
        <v>60015</v>
      </c>
      <c r="AD291" s="92">
        <v>61831</v>
      </c>
      <c r="AE291" s="92">
        <v>0</v>
      </c>
      <c r="AF291" s="92">
        <v>0</v>
      </c>
      <c r="AG291" s="92">
        <v>0</v>
      </c>
    </row>
    <row r="292" spans="1:33" x14ac:dyDescent="0.25">
      <c r="A292" t="str">
        <f t="shared" si="8"/>
        <v>31-3-131</v>
      </c>
      <c r="B292">
        <v>31</v>
      </c>
      <c r="C292" s="92" t="s">
        <v>1044</v>
      </c>
      <c r="D292" s="92">
        <v>3</v>
      </c>
      <c r="E292" s="92" t="s">
        <v>67</v>
      </c>
      <c r="F292" s="92">
        <v>131</v>
      </c>
      <c r="G292" s="92" t="s">
        <v>921</v>
      </c>
      <c r="H292" s="92"/>
      <c r="I292" s="92">
        <v>0</v>
      </c>
      <c r="J292" s="92">
        <v>483716</v>
      </c>
      <c r="K292" s="92" t="s">
        <v>1061</v>
      </c>
      <c r="L292" s="92">
        <v>4658</v>
      </c>
      <c r="M292" s="92">
        <v>7859</v>
      </c>
      <c r="N292" s="92">
        <v>2423</v>
      </c>
      <c r="O292" s="92">
        <v>2728</v>
      </c>
      <c r="P292" s="92">
        <v>0</v>
      </c>
      <c r="Q292" s="92">
        <v>0</v>
      </c>
      <c r="R292" s="92">
        <v>0</v>
      </c>
      <c r="S292" s="92">
        <v>0</v>
      </c>
      <c r="T292" s="92">
        <v>0</v>
      </c>
      <c r="U292" s="92">
        <v>0</v>
      </c>
      <c r="V292" s="92">
        <v>0</v>
      </c>
      <c r="W292" s="92">
        <v>0</v>
      </c>
      <c r="X292" s="92">
        <v>0</v>
      </c>
      <c r="Y292" s="92">
        <v>0</v>
      </c>
      <c r="Z292" s="92">
        <v>0</v>
      </c>
      <c r="AA292" s="92">
        <v>0</v>
      </c>
      <c r="AB292" s="92">
        <v>173839</v>
      </c>
      <c r="AC292" s="92">
        <v>179502</v>
      </c>
      <c r="AD292" s="92">
        <v>186020</v>
      </c>
      <c r="AE292" s="92">
        <v>0</v>
      </c>
      <c r="AF292" s="92">
        <v>0</v>
      </c>
      <c r="AG292" s="92">
        <v>0</v>
      </c>
    </row>
    <row r="293" spans="1:33" x14ac:dyDescent="0.25">
      <c r="A293" t="str">
        <f t="shared" si="8"/>
        <v>14-3-132</v>
      </c>
      <c r="B293">
        <v>14</v>
      </c>
      <c r="C293" s="92" t="s">
        <v>1027</v>
      </c>
      <c r="D293" s="92">
        <v>3</v>
      </c>
      <c r="E293" s="92" t="s">
        <v>67</v>
      </c>
      <c r="F293" s="92">
        <v>132</v>
      </c>
      <c r="G293" s="92" t="s">
        <v>223</v>
      </c>
      <c r="H293" s="92"/>
      <c r="I293" s="92">
        <v>911</v>
      </c>
      <c r="J293" s="92">
        <v>3347676</v>
      </c>
      <c r="K293" s="92" t="s">
        <v>1061</v>
      </c>
      <c r="L293" s="92">
        <v>596</v>
      </c>
      <c r="M293" s="92">
        <v>2318</v>
      </c>
      <c r="N293" s="92">
        <v>451</v>
      </c>
      <c r="O293" s="92">
        <v>537</v>
      </c>
      <c r="P293" s="92">
        <v>0</v>
      </c>
      <c r="Q293" s="92">
        <v>0</v>
      </c>
      <c r="R293" s="92">
        <v>0</v>
      </c>
      <c r="S293" s="92">
        <v>0</v>
      </c>
      <c r="T293" s="92">
        <v>0</v>
      </c>
      <c r="U293" s="92">
        <v>0</v>
      </c>
      <c r="V293" s="92">
        <v>0</v>
      </c>
      <c r="W293" s="92">
        <v>0</v>
      </c>
      <c r="X293" s="92">
        <v>0</v>
      </c>
      <c r="Y293" s="92">
        <v>0</v>
      </c>
      <c r="Z293" s="92">
        <v>0</v>
      </c>
      <c r="AA293" s="92">
        <v>0</v>
      </c>
      <c r="AB293" s="92">
        <v>101727</v>
      </c>
      <c r="AC293" s="92">
        <v>108266</v>
      </c>
      <c r="AD293" s="92">
        <v>114154</v>
      </c>
      <c r="AE293" s="92">
        <v>0</v>
      </c>
      <c r="AF293" s="92">
        <v>0</v>
      </c>
      <c r="AG293" s="92">
        <v>0</v>
      </c>
    </row>
    <row r="294" spans="1:33" x14ac:dyDescent="0.25">
      <c r="A294" t="str">
        <f t="shared" si="8"/>
        <v>16-3-133</v>
      </c>
      <c r="B294">
        <v>16</v>
      </c>
      <c r="C294" s="92" t="s">
        <v>1029</v>
      </c>
      <c r="D294" s="92">
        <v>3</v>
      </c>
      <c r="E294" s="92" t="s">
        <v>67</v>
      </c>
      <c r="F294" s="92">
        <v>133</v>
      </c>
      <c r="G294" s="92" t="s">
        <v>269</v>
      </c>
      <c r="H294" s="92"/>
      <c r="I294" s="92">
        <v>764</v>
      </c>
      <c r="J294" s="92">
        <v>1164899</v>
      </c>
      <c r="K294" s="92" t="s">
        <v>1061</v>
      </c>
      <c r="L294" s="92">
        <v>3171</v>
      </c>
      <c r="M294" s="92">
        <v>1106</v>
      </c>
      <c r="N294" s="92">
        <v>191</v>
      </c>
      <c r="O294" s="92">
        <v>295</v>
      </c>
      <c r="P294" s="92">
        <v>0</v>
      </c>
      <c r="Q294" s="92">
        <v>0</v>
      </c>
      <c r="R294" s="92">
        <v>0</v>
      </c>
      <c r="S294" s="92">
        <v>0</v>
      </c>
      <c r="T294" s="92">
        <v>0</v>
      </c>
      <c r="U294" s="92">
        <v>0</v>
      </c>
      <c r="V294" s="92">
        <v>0</v>
      </c>
      <c r="W294" s="92">
        <v>0</v>
      </c>
      <c r="X294" s="92">
        <v>0</v>
      </c>
      <c r="Y294" s="92">
        <v>0</v>
      </c>
      <c r="Z294" s="92">
        <v>0</v>
      </c>
      <c r="AA294" s="92">
        <v>0</v>
      </c>
      <c r="AB294" s="92">
        <v>57191</v>
      </c>
      <c r="AC294" s="92">
        <v>59497</v>
      </c>
      <c r="AD294" s="92">
        <v>61588</v>
      </c>
      <c r="AE294" s="92">
        <v>0</v>
      </c>
      <c r="AF294" s="92">
        <v>0</v>
      </c>
      <c r="AG294" s="92">
        <v>0</v>
      </c>
    </row>
    <row r="295" spans="1:33" x14ac:dyDescent="0.25">
      <c r="A295" t="str">
        <f t="shared" si="8"/>
        <v>9-3-134</v>
      </c>
      <c r="B295">
        <v>9</v>
      </c>
      <c r="C295" s="92" t="s">
        <v>1022</v>
      </c>
      <c r="D295" s="92">
        <v>3</v>
      </c>
      <c r="E295" s="92" t="s">
        <v>67</v>
      </c>
      <c r="F295" s="92">
        <v>134</v>
      </c>
      <c r="G295" s="92" t="s">
        <v>183</v>
      </c>
      <c r="H295" s="92"/>
      <c r="I295" s="92">
        <v>0</v>
      </c>
      <c r="J295" s="92">
        <v>1279725</v>
      </c>
      <c r="K295" s="92" t="s">
        <v>1061</v>
      </c>
      <c r="L295" s="92">
        <v>10</v>
      </c>
      <c r="M295" s="92">
        <v>2135</v>
      </c>
      <c r="N295" s="92">
        <v>444</v>
      </c>
      <c r="O295" s="92">
        <v>558</v>
      </c>
      <c r="P295" s="92">
        <v>0</v>
      </c>
      <c r="Q295" s="92">
        <v>0</v>
      </c>
      <c r="R295" s="92">
        <v>0</v>
      </c>
      <c r="S295" s="92">
        <v>0</v>
      </c>
      <c r="T295" s="92">
        <v>0</v>
      </c>
      <c r="U295" s="92">
        <v>0</v>
      </c>
      <c r="V295" s="92">
        <v>0</v>
      </c>
      <c r="W295" s="92">
        <v>0</v>
      </c>
      <c r="X295" s="92">
        <v>0</v>
      </c>
      <c r="Y295" s="92">
        <v>0</v>
      </c>
      <c r="Z295" s="92">
        <v>0</v>
      </c>
      <c r="AA295" s="92">
        <v>0</v>
      </c>
      <c r="AB295" s="92">
        <v>31900</v>
      </c>
      <c r="AC295" s="92">
        <v>25000</v>
      </c>
      <c r="AD295" s="92">
        <v>31900</v>
      </c>
      <c r="AE295" s="92">
        <v>0</v>
      </c>
      <c r="AF295" s="92">
        <v>0</v>
      </c>
      <c r="AG295" s="92">
        <v>0</v>
      </c>
    </row>
    <row r="296" spans="1:33" x14ac:dyDescent="0.25">
      <c r="A296" t="str">
        <f t="shared" si="8"/>
        <v>18-3-136</v>
      </c>
      <c r="B296">
        <v>18</v>
      </c>
      <c r="C296" s="92" t="s">
        <v>1031</v>
      </c>
      <c r="D296" s="92">
        <v>3</v>
      </c>
      <c r="E296" s="92" t="s">
        <v>67</v>
      </c>
      <c r="F296" s="92">
        <v>136</v>
      </c>
      <c r="G296" s="92" t="s">
        <v>286</v>
      </c>
      <c r="H296" s="92"/>
      <c r="I296" s="92">
        <v>0</v>
      </c>
      <c r="J296" s="92">
        <v>3223717</v>
      </c>
      <c r="K296" s="92" t="s">
        <v>1061</v>
      </c>
      <c r="L296" s="92">
        <v>141</v>
      </c>
      <c r="M296" s="92">
        <v>38069</v>
      </c>
      <c r="N296" s="92">
        <v>5261</v>
      </c>
      <c r="O296" s="92">
        <v>5261</v>
      </c>
      <c r="P296" s="92">
        <v>0</v>
      </c>
      <c r="Q296" s="92">
        <v>0</v>
      </c>
      <c r="R296" s="92">
        <v>0</v>
      </c>
      <c r="S296" s="92">
        <v>0</v>
      </c>
      <c r="T296" s="92">
        <v>0</v>
      </c>
      <c r="U296" s="92">
        <v>0</v>
      </c>
      <c r="V296" s="92">
        <v>0</v>
      </c>
      <c r="W296" s="92">
        <v>0</v>
      </c>
      <c r="X296" s="92">
        <v>0</v>
      </c>
      <c r="Y296" s="92">
        <v>0</v>
      </c>
      <c r="Z296" s="92">
        <v>0</v>
      </c>
      <c r="AA296" s="92">
        <v>0</v>
      </c>
      <c r="AB296" s="92">
        <v>1306960</v>
      </c>
      <c r="AC296" s="92">
        <v>1359139</v>
      </c>
      <c r="AD296" s="92">
        <v>1410747</v>
      </c>
      <c r="AE296" s="92">
        <v>0</v>
      </c>
      <c r="AF296" s="92">
        <v>0</v>
      </c>
      <c r="AG296" s="92">
        <v>0</v>
      </c>
    </row>
    <row r="297" spans="1:33" x14ac:dyDescent="0.25">
      <c r="A297" t="str">
        <f t="shared" si="8"/>
        <v>40-3-137</v>
      </c>
      <c r="B297">
        <v>40</v>
      </c>
      <c r="C297" s="92" t="s">
        <v>1051</v>
      </c>
      <c r="D297" s="92">
        <v>3</v>
      </c>
      <c r="E297" s="92" t="s">
        <v>67</v>
      </c>
      <c r="F297" s="92">
        <v>137</v>
      </c>
      <c r="G297" s="92" t="s">
        <v>534</v>
      </c>
      <c r="H297" s="92"/>
      <c r="I297" s="92">
        <v>29546</v>
      </c>
      <c r="J297" s="92">
        <v>3687261</v>
      </c>
      <c r="K297" s="92" t="s">
        <v>1061</v>
      </c>
      <c r="L297" s="92">
        <v>0</v>
      </c>
      <c r="M297" s="92">
        <v>7135</v>
      </c>
      <c r="N297" s="92">
        <v>1674</v>
      </c>
      <c r="O297" s="92">
        <v>1674</v>
      </c>
      <c r="P297" s="92">
        <v>0</v>
      </c>
      <c r="Q297" s="92">
        <v>0</v>
      </c>
      <c r="R297" s="92">
        <v>0</v>
      </c>
      <c r="S297" s="92">
        <v>0</v>
      </c>
      <c r="T297" s="92">
        <v>0</v>
      </c>
      <c r="U297" s="92">
        <v>0</v>
      </c>
      <c r="V297" s="92">
        <v>0</v>
      </c>
      <c r="W297" s="92">
        <v>0</v>
      </c>
      <c r="X297" s="92">
        <v>0</v>
      </c>
      <c r="Y297" s="92">
        <v>0</v>
      </c>
      <c r="Z297" s="92">
        <v>0</v>
      </c>
      <c r="AA297" s="92">
        <v>0</v>
      </c>
      <c r="AB297" s="92">
        <v>379712</v>
      </c>
      <c r="AC297" s="92">
        <v>391411</v>
      </c>
      <c r="AD297" s="92">
        <v>407363</v>
      </c>
      <c r="AE297" s="92">
        <v>0</v>
      </c>
      <c r="AF297" s="92">
        <v>0</v>
      </c>
      <c r="AG297" s="92">
        <v>0</v>
      </c>
    </row>
    <row r="298" spans="1:33" x14ac:dyDescent="0.25">
      <c r="A298" t="str">
        <f t="shared" si="8"/>
        <v>4-3-139</v>
      </c>
      <c r="B298">
        <v>4</v>
      </c>
      <c r="C298" s="92" t="s">
        <v>1194</v>
      </c>
      <c r="D298" s="92">
        <v>3</v>
      </c>
      <c r="E298" s="92" t="s">
        <v>67</v>
      </c>
      <c r="F298" s="92">
        <v>139</v>
      </c>
      <c r="G298" s="92" t="s">
        <v>117</v>
      </c>
      <c r="H298" s="92"/>
      <c r="I298" s="92">
        <v>0</v>
      </c>
      <c r="J298" s="92">
        <v>540744</v>
      </c>
      <c r="K298" s="92" t="s">
        <v>1061</v>
      </c>
      <c r="L298" s="92">
        <v>478</v>
      </c>
      <c r="M298" s="92">
        <v>621</v>
      </c>
      <c r="N298" s="92">
        <v>15</v>
      </c>
      <c r="O298" s="92">
        <v>17</v>
      </c>
      <c r="P298" s="92">
        <v>0</v>
      </c>
      <c r="Q298" s="92">
        <v>0</v>
      </c>
      <c r="R298" s="92">
        <v>0</v>
      </c>
      <c r="S298" s="92">
        <v>0</v>
      </c>
      <c r="T298" s="92">
        <v>0</v>
      </c>
      <c r="U298" s="92">
        <v>0</v>
      </c>
      <c r="V298" s="92">
        <v>0</v>
      </c>
      <c r="W298" s="92">
        <v>0</v>
      </c>
      <c r="X298" s="92">
        <v>0</v>
      </c>
      <c r="Y298" s="92">
        <v>0</v>
      </c>
      <c r="Z298" s="92">
        <v>0</v>
      </c>
      <c r="AA298" s="92">
        <v>0</v>
      </c>
      <c r="AB298" s="92">
        <v>71761</v>
      </c>
      <c r="AC298" s="92">
        <v>74793</v>
      </c>
      <c r="AD298" s="92">
        <v>78773</v>
      </c>
      <c r="AE298" s="92">
        <v>0</v>
      </c>
      <c r="AF298" s="92">
        <v>0</v>
      </c>
      <c r="AG298" s="92">
        <v>0</v>
      </c>
    </row>
    <row r="299" spans="1:33" x14ac:dyDescent="0.25">
      <c r="A299" t="str">
        <f t="shared" si="8"/>
        <v>22-3-140</v>
      </c>
      <c r="B299">
        <v>22</v>
      </c>
      <c r="C299" s="92" t="s">
        <v>1035</v>
      </c>
      <c r="D299" s="92">
        <v>3</v>
      </c>
      <c r="E299" s="92" t="s">
        <v>67</v>
      </c>
      <c r="F299" s="92">
        <v>140</v>
      </c>
      <c r="G299" s="92" t="s">
        <v>335</v>
      </c>
      <c r="H299" s="92"/>
      <c r="I299" s="92">
        <v>0</v>
      </c>
      <c r="J299" s="92">
        <v>344557</v>
      </c>
      <c r="K299" s="92" t="s">
        <v>1061</v>
      </c>
      <c r="L299" s="92">
        <v>192</v>
      </c>
      <c r="M299" s="92">
        <v>55</v>
      </c>
      <c r="N299" s="92">
        <v>38</v>
      </c>
      <c r="O299" s="92">
        <v>41</v>
      </c>
      <c r="P299" s="92">
        <v>0</v>
      </c>
      <c r="Q299" s="92">
        <v>0</v>
      </c>
      <c r="R299" s="92">
        <v>0</v>
      </c>
      <c r="S299" s="92">
        <v>0</v>
      </c>
      <c r="T299" s="92">
        <v>0</v>
      </c>
      <c r="U299" s="92">
        <v>0</v>
      </c>
      <c r="V299" s="92">
        <v>0</v>
      </c>
      <c r="W299" s="92">
        <v>0</v>
      </c>
      <c r="X299" s="92">
        <v>0</v>
      </c>
      <c r="Y299" s="92">
        <v>0</v>
      </c>
      <c r="Z299" s="92">
        <v>0</v>
      </c>
      <c r="AA299" s="92">
        <v>0</v>
      </c>
      <c r="AB299" s="92">
        <v>31414</v>
      </c>
      <c r="AC299" s="92">
        <v>32408</v>
      </c>
      <c r="AD299" s="92">
        <v>33459</v>
      </c>
      <c r="AE299" s="92">
        <v>0</v>
      </c>
      <c r="AF299" s="92">
        <v>0</v>
      </c>
      <c r="AG299" s="92">
        <v>0</v>
      </c>
    </row>
    <row r="300" spans="1:33" x14ac:dyDescent="0.25">
      <c r="A300" t="str">
        <f t="shared" si="8"/>
        <v>14-3-141</v>
      </c>
      <c r="B300">
        <v>14</v>
      </c>
      <c r="C300" s="92" t="s">
        <v>1027</v>
      </c>
      <c r="D300" s="92">
        <v>3</v>
      </c>
      <c r="E300" s="92" t="s">
        <v>67</v>
      </c>
      <c r="F300" s="92">
        <v>141</v>
      </c>
      <c r="G300" s="92" t="s">
        <v>224</v>
      </c>
      <c r="H300" s="92"/>
      <c r="I300" s="92">
        <v>2779</v>
      </c>
      <c r="J300" s="92">
        <v>5562171</v>
      </c>
      <c r="K300" s="92" t="s">
        <v>1061</v>
      </c>
      <c r="L300" s="92">
        <v>1908</v>
      </c>
      <c r="M300" s="92">
        <v>18512</v>
      </c>
      <c r="N300" s="92">
        <v>6459</v>
      </c>
      <c r="O300" s="92">
        <v>7058</v>
      </c>
      <c r="P300" s="92">
        <v>0</v>
      </c>
      <c r="Q300" s="92">
        <v>0</v>
      </c>
      <c r="R300" s="92">
        <v>0</v>
      </c>
      <c r="S300" s="92">
        <v>0</v>
      </c>
      <c r="T300" s="92">
        <v>0</v>
      </c>
      <c r="U300" s="92">
        <v>0</v>
      </c>
      <c r="V300" s="92">
        <v>0</v>
      </c>
      <c r="W300" s="92">
        <v>0</v>
      </c>
      <c r="X300" s="92">
        <v>0</v>
      </c>
      <c r="Y300" s="92">
        <v>0</v>
      </c>
      <c r="Z300" s="92">
        <v>0</v>
      </c>
      <c r="AA300" s="92">
        <v>0</v>
      </c>
      <c r="AB300" s="92">
        <v>768811</v>
      </c>
      <c r="AC300" s="92">
        <v>817499</v>
      </c>
      <c r="AD300" s="92">
        <v>851583</v>
      </c>
      <c r="AE300" s="92">
        <v>0</v>
      </c>
      <c r="AF300" s="92">
        <v>0</v>
      </c>
      <c r="AG300" s="92">
        <v>0</v>
      </c>
    </row>
    <row r="301" spans="1:33" x14ac:dyDescent="0.25">
      <c r="A301" t="str">
        <f t="shared" si="8"/>
        <v>34-3-142</v>
      </c>
      <c r="B301">
        <v>34</v>
      </c>
      <c r="C301" s="92" t="s">
        <v>1047</v>
      </c>
      <c r="D301" s="92">
        <v>3</v>
      </c>
      <c r="E301" s="92" t="s">
        <v>67</v>
      </c>
      <c r="F301" s="92">
        <v>142</v>
      </c>
      <c r="G301" s="92" t="s">
        <v>491</v>
      </c>
      <c r="H301" s="92"/>
      <c r="I301" s="92">
        <v>21</v>
      </c>
      <c r="J301" s="92">
        <v>969397</v>
      </c>
      <c r="K301" s="92" t="s">
        <v>1061</v>
      </c>
      <c r="L301" s="92">
        <v>3501</v>
      </c>
      <c r="M301" s="92">
        <v>6193</v>
      </c>
      <c r="N301" s="92">
        <v>1965</v>
      </c>
      <c r="O301" s="92">
        <v>1972</v>
      </c>
      <c r="P301" s="92">
        <v>0</v>
      </c>
      <c r="Q301" s="92">
        <v>0</v>
      </c>
      <c r="R301" s="92">
        <v>0</v>
      </c>
      <c r="S301" s="92">
        <v>0</v>
      </c>
      <c r="T301" s="92">
        <v>0</v>
      </c>
      <c r="U301" s="92">
        <v>0</v>
      </c>
      <c r="V301" s="92">
        <v>0</v>
      </c>
      <c r="W301" s="92">
        <v>0</v>
      </c>
      <c r="X301" s="92">
        <v>0</v>
      </c>
      <c r="Y301" s="92">
        <v>0</v>
      </c>
      <c r="Z301" s="92">
        <v>0</v>
      </c>
      <c r="AA301" s="92">
        <v>0</v>
      </c>
      <c r="AB301" s="92">
        <v>279903</v>
      </c>
      <c r="AC301" s="92">
        <v>293260</v>
      </c>
      <c r="AD301" s="92">
        <v>304471</v>
      </c>
      <c r="AE301" s="92">
        <v>0</v>
      </c>
      <c r="AF301" s="92">
        <v>0</v>
      </c>
      <c r="AG301" s="92">
        <v>0</v>
      </c>
    </row>
    <row r="302" spans="1:33" x14ac:dyDescent="0.25">
      <c r="A302" t="str">
        <f t="shared" si="8"/>
        <v>38-3-143</v>
      </c>
      <c r="B302">
        <v>38</v>
      </c>
      <c r="C302" s="92" t="s">
        <v>1050</v>
      </c>
      <c r="D302" s="92">
        <v>3</v>
      </c>
      <c r="E302" s="92" t="s">
        <v>67</v>
      </c>
      <c r="F302" s="92">
        <v>143</v>
      </c>
      <c r="G302" s="92" t="s">
        <v>521</v>
      </c>
      <c r="H302" s="92"/>
      <c r="I302" s="92">
        <v>448598</v>
      </c>
      <c r="J302" s="92">
        <v>9322879</v>
      </c>
      <c r="K302" s="92" t="s">
        <v>1061</v>
      </c>
      <c r="L302" s="92">
        <v>1161</v>
      </c>
      <c r="M302" s="92">
        <v>48678</v>
      </c>
      <c r="N302" s="92">
        <v>7289</v>
      </c>
      <c r="O302" s="92">
        <v>7352</v>
      </c>
      <c r="P302" s="92">
        <v>0</v>
      </c>
      <c r="Q302" s="92">
        <v>0</v>
      </c>
      <c r="R302" s="92">
        <v>0</v>
      </c>
      <c r="S302" s="92">
        <v>0</v>
      </c>
      <c r="T302" s="92">
        <v>0</v>
      </c>
      <c r="U302" s="92">
        <v>0</v>
      </c>
      <c r="V302" s="92">
        <v>0</v>
      </c>
      <c r="W302" s="92">
        <v>0</v>
      </c>
      <c r="X302" s="92">
        <v>0</v>
      </c>
      <c r="Y302" s="92">
        <v>0</v>
      </c>
      <c r="Z302" s="92">
        <v>0</v>
      </c>
      <c r="AA302" s="92">
        <v>0</v>
      </c>
      <c r="AB302" s="92">
        <v>3007065</v>
      </c>
      <c r="AC302" s="92">
        <v>3072824</v>
      </c>
      <c r="AD302" s="92">
        <v>3233579</v>
      </c>
      <c r="AE302" s="92">
        <v>88996</v>
      </c>
      <c r="AF302" s="92">
        <v>0</v>
      </c>
      <c r="AG302" s="92">
        <v>0</v>
      </c>
    </row>
    <row r="303" spans="1:33" x14ac:dyDescent="0.25">
      <c r="A303" t="str">
        <f t="shared" si="8"/>
        <v>35-3-144</v>
      </c>
      <c r="B303">
        <v>35</v>
      </c>
      <c r="C303" s="92" t="s">
        <v>1195</v>
      </c>
      <c r="D303" s="92">
        <v>3</v>
      </c>
      <c r="E303" s="92" t="s">
        <v>67</v>
      </c>
      <c r="F303" s="92">
        <v>144</v>
      </c>
      <c r="G303" s="92" t="s">
        <v>497</v>
      </c>
      <c r="H303" s="92"/>
      <c r="I303" s="92">
        <v>750</v>
      </c>
      <c r="J303" s="92">
        <v>547</v>
      </c>
      <c r="K303" s="92" t="s">
        <v>1061</v>
      </c>
      <c r="L303" s="92">
        <v>8</v>
      </c>
      <c r="M303" s="92">
        <v>107</v>
      </c>
      <c r="N303" s="92">
        <v>2</v>
      </c>
      <c r="O303" s="92">
        <v>2</v>
      </c>
      <c r="P303" s="92">
        <v>0</v>
      </c>
      <c r="Q303" s="92">
        <v>0</v>
      </c>
      <c r="R303" s="92">
        <v>0</v>
      </c>
      <c r="S303" s="92">
        <v>0</v>
      </c>
      <c r="T303" s="92">
        <v>0</v>
      </c>
      <c r="U303" s="92">
        <v>0</v>
      </c>
      <c r="V303" s="92">
        <v>0</v>
      </c>
      <c r="W303" s="92">
        <v>0</v>
      </c>
      <c r="X303" s="92">
        <v>0</v>
      </c>
      <c r="Y303" s="92">
        <v>0</v>
      </c>
      <c r="Z303" s="92">
        <v>0</v>
      </c>
      <c r="AA303" s="92">
        <v>0</v>
      </c>
      <c r="AB303" s="92">
        <v>42171</v>
      </c>
      <c r="AC303" s="92">
        <v>43662</v>
      </c>
      <c r="AD303" s="92">
        <v>45531</v>
      </c>
      <c r="AE303" s="92">
        <v>0</v>
      </c>
      <c r="AF303" s="92">
        <v>0</v>
      </c>
      <c r="AG303" s="92">
        <v>0</v>
      </c>
    </row>
    <row r="304" spans="1:33" x14ac:dyDescent="0.25">
      <c r="A304" t="str">
        <f t="shared" si="8"/>
        <v>18-3-145</v>
      </c>
      <c r="B304">
        <v>18</v>
      </c>
      <c r="C304" s="92" t="s">
        <v>1031</v>
      </c>
      <c r="D304" s="92">
        <v>3</v>
      </c>
      <c r="E304" s="92" t="s">
        <v>67</v>
      </c>
      <c r="F304" s="92">
        <v>145</v>
      </c>
      <c r="G304" s="92" t="s">
        <v>287</v>
      </c>
      <c r="H304" s="92"/>
      <c r="I304" s="92">
        <v>0</v>
      </c>
      <c r="J304" s="92">
        <v>699030</v>
      </c>
      <c r="K304" s="92" t="s">
        <v>1061</v>
      </c>
      <c r="L304" s="92">
        <v>771</v>
      </c>
      <c r="M304" s="92">
        <v>3060</v>
      </c>
      <c r="N304" s="92">
        <v>515</v>
      </c>
      <c r="O304" s="92">
        <v>515</v>
      </c>
      <c r="P304" s="92">
        <v>0</v>
      </c>
      <c r="Q304" s="92">
        <v>0</v>
      </c>
      <c r="R304" s="92">
        <v>0</v>
      </c>
      <c r="S304" s="92">
        <v>0</v>
      </c>
      <c r="T304" s="92">
        <v>0</v>
      </c>
      <c r="U304" s="92">
        <v>0</v>
      </c>
      <c r="V304" s="92">
        <v>0</v>
      </c>
      <c r="W304" s="92">
        <v>0</v>
      </c>
      <c r="X304" s="92">
        <v>0</v>
      </c>
      <c r="Y304" s="92">
        <v>0</v>
      </c>
      <c r="Z304" s="92">
        <v>0</v>
      </c>
      <c r="AA304" s="92">
        <v>0</v>
      </c>
      <c r="AB304" s="92">
        <v>144066</v>
      </c>
      <c r="AC304" s="92">
        <v>150282</v>
      </c>
      <c r="AD304" s="92">
        <v>156732</v>
      </c>
      <c r="AE304" s="92">
        <v>0</v>
      </c>
      <c r="AF304" s="92">
        <v>0</v>
      </c>
      <c r="AG304" s="92">
        <v>0</v>
      </c>
    </row>
    <row r="305" spans="1:33" x14ac:dyDescent="0.25">
      <c r="A305" t="str">
        <f t="shared" si="8"/>
        <v>40-3-146</v>
      </c>
      <c r="B305">
        <v>40</v>
      </c>
      <c r="C305" s="92" t="s">
        <v>1051</v>
      </c>
      <c r="D305" s="92">
        <v>3</v>
      </c>
      <c r="E305" s="92" t="s">
        <v>67</v>
      </c>
      <c r="F305" s="92">
        <v>146</v>
      </c>
      <c r="G305" s="92" t="s">
        <v>535</v>
      </c>
      <c r="H305" s="92"/>
      <c r="I305" s="92">
        <v>0</v>
      </c>
      <c r="J305" s="92">
        <v>3345674</v>
      </c>
      <c r="K305" s="92" t="s">
        <v>1061</v>
      </c>
      <c r="L305" s="92">
        <v>0</v>
      </c>
      <c r="M305" s="92">
        <v>2184</v>
      </c>
      <c r="N305" s="92">
        <v>271</v>
      </c>
      <c r="O305" s="92">
        <v>271</v>
      </c>
      <c r="P305" s="92">
        <v>0</v>
      </c>
      <c r="Q305" s="92">
        <v>0</v>
      </c>
      <c r="R305" s="92">
        <v>0</v>
      </c>
      <c r="S305" s="92">
        <v>0</v>
      </c>
      <c r="T305" s="92">
        <v>0</v>
      </c>
      <c r="U305" s="92">
        <v>0</v>
      </c>
      <c r="V305" s="92">
        <v>0</v>
      </c>
      <c r="W305" s="92">
        <v>0</v>
      </c>
      <c r="X305" s="92">
        <v>0</v>
      </c>
      <c r="Y305" s="92">
        <v>0</v>
      </c>
      <c r="Z305" s="92">
        <v>0</v>
      </c>
      <c r="AA305" s="92">
        <v>0</v>
      </c>
      <c r="AB305" s="92">
        <v>218270</v>
      </c>
      <c r="AC305" s="92">
        <v>234263</v>
      </c>
      <c r="AD305" s="92">
        <v>241993</v>
      </c>
      <c r="AE305" s="92">
        <v>0</v>
      </c>
      <c r="AF305" s="92">
        <v>6828</v>
      </c>
      <c r="AG305" s="92">
        <v>4859</v>
      </c>
    </row>
    <row r="306" spans="1:33" x14ac:dyDescent="0.25">
      <c r="A306" t="str">
        <f t="shared" si="8"/>
        <v>8-3-147</v>
      </c>
      <c r="B306">
        <v>8</v>
      </c>
      <c r="C306" s="92" t="s">
        <v>1021</v>
      </c>
      <c r="D306" s="92">
        <v>3</v>
      </c>
      <c r="E306" s="92" t="s">
        <v>67</v>
      </c>
      <c r="F306" s="92">
        <v>147</v>
      </c>
      <c r="G306" s="92" t="s">
        <v>170</v>
      </c>
      <c r="H306" s="92"/>
      <c r="I306" s="92">
        <v>0</v>
      </c>
      <c r="J306" s="92">
        <v>98093</v>
      </c>
      <c r="K306" s="92" t="s">
        <v>1061</v>
      </c>
      <c r="L306" s="92">
        <v>0</v>
      </c>
      <c r="M306" s="92">
        <v>51</v>
      </c>
      <c r="N306" s="92">
        <v>11</v>
      </c>
      <c r="O306" s="92">
        <v>11</v>
      </c>
      <c r="P306" s="92">
        <v>0</v>
      </c>
      <c r="Q306" s="92">
        <v>0</v>
      </c>
      <c r="R306" s="92">
        <v>0</v>
      </c>
      <c r="S306" s="92">
        <v>0</v>
      </c>
      <c r="T306" s="92">
        <v>0</v>
      </c>
      <c r="U306" s="92">
        <v>0</v>
      </c>
      <c r="V306" s="92">
        <v>0</v>
      </c>
      <c r="W306" s="92">
        <v>0</v>
      </c>
      <c r="X306" s="92">
        <v>0</v>
      </c>
      <c r="Y306" s="92">
        <v>0</v>
      </c>
      <c r="Z306" s="92">
        <v>0</v>
      </c>
      <c r="AA306" s="92">
        <v>0</v>
      </c>
      <c r="AB306" s="92">
        <v>38135</v>
      </c>
      <c r="AC306" s="92">
        <v>39627</v>
      </c>
      <c r="AD306" s="92">
        <v>40818</v>
      </c>
      <c r="AE306" s="92">
        <v>0</v>
      </c>
      <c r="AF306" s="92">
        <v>0</v>
      </c>
      <c r="AG306" s="92">
        <v>0</v>
      </c>
    </row>
    <row r="307" spans="1:33" x14ac:dyDescent="0.25">
      <c r="A307" t="str">
        <f t="shared" si="8"/>
        <v>5-3-148</v>
      </c>
      <c r="B307">
        <v>5</v>
      </c>
      <c r="C307" s="92" t="s">
        <v>1019</v>
      </c>
      <c r="D307" s="92">
        <v>3</v>
      </c>
      <c r="E307" s="92" t="s">
        <v>67</v>
      </c>
      <c r="F307" s="92">
        <v>148</v>
      </c>
      <c r="G307" s="92" t="s">
        <v>131</v>
      </c>
      <c r="H307" s="92"/>
      <c r="I307" s="92">
        <v>0</v>
      </c>
      <c r="J307" s="92">
        <v>214709</v>
      </c>
      <c r="K307" s="92" t="s">
        <v>1061</v>
      </c>
      <c r="L307" s="92">
        <v>137</v>
      </c>
      <c r="M307" s="92">
        <v>2781</v>
      </c>
      <c r="N307" s="92">
        <v>108</v>
      </c>
      <c r="O307" s="92">
        <v>128</v>
      </c>
      <c r="P307" s="92">
        <v>0</v>
      </c>
      <c r="Q307" s="92">
        <v>0</v>
      </c>
      <c r="R307" s="92">
        <v>0</v>
      </c>
      <c r="S307" s="92">
        <v>0</v>
      </c>
      <c r="T307" s="92">
        <v>0</v>
      </c>
      <c r="U307" s="92">
        <v>0</v>
      </c>
      <c r="V307" s="92">
        <v>0</v>
      </c>
      <c r="W307" s="92">
        <v>0</v>
      </c>
      <c r="X307" s="92">
        <v>0</v>
      </c>
      <c r="Y307" s="92">
        <v>0</v>
      </c>
      <c r="Z307" s="92">
        <v>0</v>
      </c>
      <c r="AA307" s="92">
        <v>0</v>
      </c>
      <c r="AB307" s="92">
        <v>101628</v>
      </c>
      <c r="AC307" s="92">
        <v>130981</v>
      </c>
      <c r="AD307" s="92">
        <v>136824</v>
      </c>
      <c r="AE307" s="92">
        <v>0</v>
      </c>
      <c r="AF307" s="92">
        <v>0</v>
      </c>
      <c r="AG307" s="92">
        <v>0</v>
      </c>
    </row>
    <row r="308" spans="1:33" x14ac:dyDescent="0.25">
      <c r="A308" t="str">
        <f t="shared" si="8"/>
        <v>3-3-149</v>
      </c>
      <c r="B308">
        <v>3</v>
      </c>
      <c r="C308" s="92" t="s">
        <v>1018</v>
      </c>
      <c r="D308" s="92">
        <v>3</v>
      </c>
      <c r="E308" s="92" t="s">
        <v>67</v>
      </c>
      <c r="F308" s="92">
        <v>149</v>
      </c>
      <c r="G308" s="92" t="s">
        <v>105</v>
      </c>
      <c r="H308" s="92"/>
      <c r="I308" s="92">
        <v>5408889</v>
      </c>
      <c r="J308" s="92">
        <v>104318390</v>
      </c>
      <c r="K308" s="92">
        <v>1</v>
      </c>
      <c r="L308" s="92">
        <v>1884</v>
      </c>
      <c r="M308" s="92">
        <v>351527</v>
      </c>
      <c r="N308" s="92">
        <v>99431</v>
      </c>
      <c r="O308" s="92">
        <v>101671</v>
      </c>
      <c r="P308" s="92">
        <v>0</v>
      </c>
      <c r="Q308" s="92">
        <v>0</v>
      </c>
      <c r="R308" s="92">
        <v>0</v>
      </c>
      <c r="S308" s="92">
        <v>0</v>
      </c>
      <c r="T308" s="92">
        <v>0</v>
      </c>
      <c r="U308" s="92">
        <v>0</v>
      </c>
      <c r="V308" s="92">
        <v>0</v>
      </c>
      <c r="W308" s="92">
        <v>0</v>
      </c>
      <c r="X308" s="92">
        <v>0</v>
      </c>
      <c r="Y308" s="92">
        <v>0</v>
      </c>
      <c r="Z308" s="92">
        <v>0</v>
      </c>
      <c r="AA308" s="92">
        <v>0</v>
      </c>
      <c r="AB308" s="92">
        <v>32512581</v>
      </c>
      <c r="AC308" s="92">
        <v>33882583</v>
      </c>
      <c r="AD308" s="92">
        <v>35526085</v>
      </c>
      <c r="AE308" s="92">
        <v>0</v>
      </c>
      <c r="AF308" s="92">
        <v>0</v>
      </c>
      <c r="AG308" s="92">
        <v>0</v>
      </c>
    </row>
    <row r="309" spans="1:33" x14ac:dyDescent="0.25">
      <c r="A309" t="str">
        <f t="shared" si="8"/>
        <v>39-3-149</v>
      </c>
      <c r="B309">
        <v>39</v>
      </c>
      <c r="C309" s="92" t="s">
        <v>79</v>
      </c>
      <c r="D309" s="92">
        <v>3</v>
      </c>
      <c r="E309" s="92" t="s">
        <v>67</v>
      </c>
      <c r="F309" s="92">
        <v>149</v>
      </c>
      <c r="G309" s="92" t="s">
        <v>105</v>
      </c>
      <c r="H309" s="92"/>
      <c r="I309" s="92">
        <v>5408889</v>
      </c>
      <c r="J309" s="92">
        <v>387720</v>
      </c>
      <c r="K309" s="92">
        <v>1</v>
      </c>
      <c r="L309" s="92">
        <v>1884</v>
      </c>
      <c r="M309" s="92">
        <v>351527</v>
      </c>
      <c r="N309" s="92">
        <v>99431</v>
      </c>
      <c r="O309" s="92">
        <v>101671</v>
      </c>
      <c r="P309" s="92">
        <v>0</v>
      </c>
      <c r="Q309" s="92">
        <v>0</v>
      </c>
      <c r="R309" s="92">
        <v>0</v>
      </c>
      <c r="S309" s="92">
        <v>0</v>
      </c>
      <c r="T309" s="92">
        <v>0</v>
      </c>
      <c r="U309" s="92">
        <v>0</v>
      </c>
      <c r="V309" s="92">
        <v>0</v>
      </c>
      <c r="W309" s="92">
        <v>0</v>
      </c>
      <c r="X309" s="92">
        <v>0</v>
      </c>
      <c r="Y309" s="92">
        <v>0</v>
      </c>
      <c r="Z309" s="92">
        <v>0</v>
      </c>
      <c r="AA309" s="92">
        <v>0</v>
      </c>
      <c r="AB309" s="92">
        <v>32512581</v>
      </c>
      <c r="AC309" s="92">
        <v>33882583</v>
      </c>
      <c r="AD309" s="92">
        <v>35526085</v>
      </c>
      <c r="AE309" s="92">
        <v>0</v>
      </c>
      <c r="AF309" s="92">
        <v>0</v>
      </c>
      <c r="AG309" s="92">
        <v>0</v>
      </c>
    </row>
    <row r="310" spans="1:33" x14ac:dyDescent="0.25">
      <c r="A310" t="str">
        <f t="shared" si="8"/>
        <v>9-3-150</v>
      </c>
      <c r="B310">
        <v>9</v>
      </c>
      <c r="C310" s="92" t="s">
        <v>1022</v>
      </c>
      <c r="D310" s="92">
        <v>3</v>
      </c>
      <c r="E310" s="92" t="s">
        <v>67</v>
      </c>
      <c r="F310" s="92">
        <v>150</v>
      </c>
      <c r="G310" s="92" t="s">
        <v>184</v>
      </c>
      <c r="H310" s="92"/>
      <c r="I310" s="92">
        <v>0</v>
      </c>
      <c r="J310" s="92">
        <v>11332131</v>
      </c>
      <c r="K310" s="92" t="s">
        <v>1061</v>
      </c>
      <c r="L310" s="92">
        <v>62</v>
      </c>
      <c r="M310" s="92">
        <v>42749</v>
      </c>
      <c r="N310" s="92">
        <v>14874</v>
      </c>
      <c r="O310" s="92">
        <v>16393</v>
      </c>
      <c r="P310" s="92">
        <v>0</v>
      </c>
      <c r="Q310" s="92">
        <v>0</v>
      </c>
      <c r="R310" s="92">
        <v>0</v>
      </c>
      <c r="S310" s="92">
        <v>0</v>
      </c>
      <c r="T310" s="92">
        <v>0</v>
      </c>
      <c r="U310" s="92">
        <v>0</v>
      </c>
      <c r="V310" s="92">
        <v>0</v>
      </c>
      <c r="W310" s="92">
        <v>0</v>
      </c>
      <c r="X310" s="92">
        <v>0</v>
      </c>
      <c r="Y310" s="92">
        <v>0</v>
      </c>
      <c r="Z310" s="92">
        <v>0</v>
      </c>
      <c r="AA310" s="92">
        <v>0</v>
      </c>
      <c r="AB310" s="92">
        <v>1148363</v>
      </c>
      <c r="AC310" s="92">
        <v>1244847</v>
      </c>
      <c r="AD310" s="92">
        <v>1315762</v>
      </c>
      <c r="AE310" s="92">
        <v>0</v>
      </c>
      <c r="AF310" s="92">
        <v>0</v>
      </c>
      <c r="AG310" s="92">
        <v>0</v>
      </c>
    </row>
    <row r="311" spans="1:33" x14ac:dyDescent="0.25">
      <c r="A311" t="str">
        <f t="shared" si="8"/>
        <v>28-3-151</v>
      </c>
      <c r="B311">
        <v>28</v>
      </c>
      <c r="C311" s="92" t="s">
        <v>1041</v>
      </c>
      <c r="D311" s="92">
        <v>3</v>
      </c>
      <c r="E311" s="92" t="s">
        <v>67</v>
      </c>
      <c r="F311" s="92">
        <v>151</v>
      </c>
      <c r="G311" s="92" t="s">
        <v>414</v>
      </c>
      <c r="H311" s="92"/>
      <c r="I311" s="92">
        <v>2943335</v>
      </c>
      <c r="J311" s="92">
        <v>53076400</v>
      </c>
      <c r="K311" s="92" t="s">
        <v>1061</v>
      </c>
      <c r="L311" s="92">
        <v>1674</v>
      </c>
      <c r="M311" s="92">
        <v>110481</v>
      </c>
      <c r="N311" s="92">
        <v>15571</v>
      </c>
      <c r="O311" s="92">
        <v>15753</v>
      </c>
      <c r="P311" s="92">
        <v>0</v>
      </c>
      <c r="Q311" s="92">
        <v>0</v>
      </c>
      <c r="R311" s="92">
        <v>0</v>
      </c>
      <c r="S311" s="92">
        <v>0</v>
      </c>
      <c r="T311" s="92">
        <v>0</v>
      </c>
      <c r="U311" s="92">
        <v>0</v>
      </c>
      <c r="V311" s="92">
        <v>0</v>
      </c>
      <c r="W311" s="92">
        <v>0</v>
      </c>
      <c r="X311" s="92">
        <v>0</v>
      </c>
      <c r="Y311" s="92">
        <v>0</v>
      </c>
      <c r="Z311" s="92">
        <v>0</v>
      </c>
      <c r="AA311" s="92">
        <v>0</v>
      </c>
      <c r="AB311" s="92">
        <v>15302447</v>
      </c>
      <c r="AC311" s="92">
        <v>16762145</v>
      </c>
      <c r="AD311" s="92">
        <v>17285413</v>
      </c>
      <c r="AE311" s="92">
        <v>0</v>
      </c>
      <c r="AF311" s="92">
        <v>486737</v>
      </c>
      <c r="AG311" s="92">
        <v>0</v>
      </c>
    </row>
    <row r="312" spans="1:33" x14ac:dyDescent="0.25">
      <c r="A312" t="str">
        <f t="shared" si="8"/>
        <v>29-3-152</v>
      </c>
      <c r="B312">
        <v>29</v>
      </c>
      <c r="C312" s="92" t="s">
        <v>1042</v>
      </c>
      <c r="D312" s="92">
        <v>3</v>
      </c>
      <c r="E312" s="92" t="s">
        <v>67</v>
      </c>
      <c r="F312" s="92">
        <v>152</v>
      </c>
      <c r="G312" s="92" t="s">
        <v>440</v>
      </c>
      <c r="H312" s="92"/>
      <c r="I312" s="92">
        <v>0</v>
      </c>
      <c r="J312" s="92">
        <v>665530</v>
      </c>
      <c r="K312" s="92" t="s">
        <v>1061</v>
      </c>
      <c r="L312" s="92">
        <v>0</v>
      </c>
      <c r="M312" s="92">
        <v>3187</v>
      </c>
      <c r="N312" s="92">
        <v>355</v>
      </c>
      <c r="O312" s="92">
        <v>396</v>
      </c>
      <c r="P312" s="92">
        <v>0</v>
      </c>
      <c r="Q312" s="92">
        <v>0</v>
      </c>
      <c r="R312" s="92">
        <v>0</v>
      </c>
      <c r="S312" s="92">
        <v>460.48</v>
      </c>
      <c r="T312" s="92">
        <v>172</v>
      </c>
      <c r="U312" s="92">
        <v>0</v>
      </c>
      <c r="V312" s="92">
        <v>0</v>
      </c>
      <c r="W312" s="92">
        <v>0</v>
      </c>
      <c r="X312" s="92">
        <v>0</v>
      </c>
      <c r="Y312" s="92">
        <v>0</v>
      </c>
      <c r="Z312" s="92">
        <v>0</v>
      </c>
      <c r="AA312" s="92">
        <v>0</v>
      </c>
      <c r="AB312" s="92">
        <v>181396</v>
      </c>
      <c r="AC312" s="92">
        <v>188195</v>
      </c>
      <c r="AD312" s="92">
        <v>194255</v>
      </c>
      <c r="AE312" s="92">
        <v>0</v>
      </c>
      <c r="AF312" s="92">
        <v>0</v>
      </c>
      <c r="AG312" s="92">
        <v>0</v>
      </c>
    </row>
    <row r="313" spans="1:33" x14ac:dyDescent="0.25">
      <c r="A313" t="str">
        <f t="shared" si="8"/>
        <v>21-3-153</v>
      </c>
      <c r="B313">
        <v>21</v>
      </c>
      <c r="C313" s="92" t="s">
        <v>1034</v>
      </c>
      <c r="D313" s="92">
        <v>3</v>
      </c>
      <c r="E313" s="92" t="s">
        <v>67</v>
      </c>
      <c r="F313" s="92">
        <v>153</v>
      </c>
      <c r="G313" s="92" t="s">
        <v>317</v>
      </c>
      <c r="H313" s="92"/>
      <c r="I313" s="92">
        <v>137383</v>
      </c>
      <c r="J313" s="92">
        <v>6985668</v>
      </c>
      <c r="K313" s="92" t="s">
        <v>1061</v>
      </c>
      <c r="L313" s="92">
        <v>2539</v>
      </c>
      <c r="M313" s="92">
        <v>22094</v>
      </c>
      <c r="N313" s="92">
        <v>5668</v>
      </c>
      <c r="O313" s="92">
        <v>6204</v>
      </c>
      <c r="P313" s="92">
        <v>0</v>
      </c>
      <c r="Q313" s="92">
        <v>0</v>
      </c>
      <c r="R313" s="92">
        <v>0</v>
      </c>
      <c r="S313" s="92">
        <v>0</v>
      </c>
      <c r="T313" s="92">
        <v>0</v>
      </c>
      <c r="U313" s="92">
        <v>0</v>
      </c>
      <c r="V313" s="92">
        <v>0</v>
      </c>
      <c r="W313" s="92">
        <v>0</v>
      </c>
      <c r="X313" s="92">
        <v>0</v>
      </c>
      <c r="Y313" s="92">
        <v>0</v>
      </c>
      <c r="Z313" s="92">
        <v>0</v>
      </c>
      <c r="AA313" s="92">
        <v>0</v>
      </c>
      <c r="AB313" s="92">
        <v>1184270</v>
      </c>
      <c r="AC313" s="92">
        <v>1249145</v>
      </c>
      <c r="AD313" s="92">
        <v>1313418</v>
      </c>
      <c r="AE313" s="92">
        <v>0</v>
      </c>
      <c r="AF313" s="92">
        <v>0</v>
      </c>
      <c r="AG313" s="92">
        <v>0</v>
      </c>
    </row>
    <row r="314" spans="1:33" x14ac:dyDescent="0.25">
      <c r="A314" t="str">
        <f t="shared" si="8"/>
        <v>9-3-154</v>
      </c>
      <c r="B314">
        <v>9</v>
      </c>
      <c r="C314" s="92" t="s">
        <v>1022</v>
      </c>
      <c r="D314" s="92">
        <v>3</v>
      </c>
      <c r="E314" s="92" t="s">
        <v>67</v>
      </c>
      <c r="F314" s="92">
        <v>154</v>
      </c>
      <c r="G314" s="92" t="s">
        <v>185</v>
      </c>
      <c r="H314" s="92"/>
      <c r="I314" s="92">
        <v>130</v>
      </c>
      <c r="J314" s="92">
        <v>2188104</v>
      </c>
      <c r="K314" s="92" t="s">
        <v>1061</v>
      </c>
      <c r="L314" s="92">
        <v>0</v>
      </c>
      <c r="M314" s="92">
        <v>22790</v>
      </c>
      <c r="N314" s="92">
        <v>3360</v>
      </c>
      <c r="O314" s="92">
        <v>3592</v>
      </c>
      <c r="P314" s="92">
        <v>0</v>
      </c>
      <c r="Q314" s="92">
        <v>0</v>
      </c>
      <c r="R314" s="92">
        <v>0</v>
      </c>
      <c r="S314" s="92">
        <v>830</v>
      </c>
      <c r="T314" s="92">
        <v>0</v>
      </c>
      <c r="U314" s="92">
        <v>0</v>
      </c>
      <c r="V314" s="92">
        <v>0</v>
      </c>
      <c r="W314" s="92">
        <v>0</v>
      </c>
      <c r="X314" s="92">
        <v>0</v>
      </c>
      <c r="Y314" s="92">
        <v>0</v>
      </c>
      <c r="Z314" s="92">
        <v>0</v>
      </c>
      <c r="AA314" s="92">
        <v>0</v>
      </c>
      <c r="AB314" s="92">
        <v>881173</v>
      </c>
      <c r="AC314" s="92">
        <v>921222</v>
      </c>
      <c r="AD314" s="92">
        <v>967533</v>
      </c>
      <c r="AE314" s="92">
        <v>0</v>
      </c>
      <c r="AF314" s="92">
        <v>0</v>
      </c>
      <c r="AG314" s="92">
        <v>0</v>
      </c>
    </row>
    <row r="315" spans="1:33" x14ac:dyDescent="0.25">
      <c r="A315" t="str">
        <f t="shared" si="8"/>
        <v>28-3-155</v>
      </c>
      <c r="B315">
        <v>28</v>
      </c>
      <c r="C315" s="92" t="s">
        <v>1041</v>
      </c>
      <c r="D315" s="92">
        <v>3</v>
      </c>
      <c r="E315" s="92" t="s">
        <v>67</v>
      </c>
      <c r="F315" s="92">
        <v>155</v>
      </c>
      <c r="G315" s="92" t="s">
        <v>415</v>
      </c>
      <c r="H315" s="92"/>
      <c r="I315" s="92">
        <v>570161</v>
      </c>
      <c r="J315" s="92">
        <v>132970595</v>
      </c>
      <c r="K315" s="92" t="s">
        <v>1061</v>
      </c>
      <c r="L315" s="92">
        <v>364</v>
      </c>
      <c r="M315" s="92">
        <v>24018</v>
      </c>
      <c r="N315" s="92">
        <v>4420</v>
      </c>
      <c r="O315" s="92">
        <v>4529</v>
      </c>
      <c r="P315" s="92">
        <v>0</v>
      </c>
      <c r="Q315" s="92">
        <v>0</v>
      </c>
      <c r="R315" s="92">
        <v>0</v>
      </c>
      <c r="S315" s="92">
        <v>0</v>
      </c>
      <c r="T315" s="92">
        <v>0</v>
      </c>
      <c r="U315" s="92">
        <v>0</v>
      </c>
      <c r="V315" s="92">
        <v>0</v>
      </c>
      <c r="W315" s="92">
        <v>0</v>
      </c>
      <c r="X315" s="92">
        <v>0</v>
      </c>
      <c r="Y315" s="92">
        <v>0</v>
      </c>
      <c r="Z315" s="92">
        <v>0</v>
      </c>
      <c r="AA315" s="92">
        <v>0</v>
      </c>
      <c r="AB315" s="92">
        <v>3445014</v>
      </c>
      <c r="AC315" s="92">
        <v>3760436</v>
      </c>
      <c r="AD315" s="92">
        <v>4029685</v>
      </c>
      <c r="AE315" s="92">
        <v>0</v>
      </c>
      <c r="AF315" s="92">
        <v>0</v>
      </c>
      <c r="AG315" s="92">
        <v>0</v>
      </c>
    </row>
    <row r="316" spans="1:33" x14ac:dyDescent="0.25">
      <c r="A316" t="str">
        <f t="shared" si="8"/>
        <v>31-3-156</v>
      </c>
      <c r="B316">
        <v>31</v>
      </c>
      <c r="C316" s="92" t="s">
        <v>1044</v>
      </c>
      <c r="D316" s="92">
        <v>3</v>
      </c>
      <c r="E316" s="92" t="s">
        <v>67</v>
      </c>
      <c r="F316" s="92">
        <v>156</v>
      </c>
      <c r="G316" s="92" t="s">
        <v>461</v>
      </c>
      <c r="H316" s="92"/>
      <c r="I316" s="92">
        <v>1732</v>
      </c>
      <c r="J316" s="92">
        <v>124122</v>
      </c>
      <c r="K316" s="92" t="s">
        <v>1061</v>
      </c>
      <c r="L316" s="92">
        <v>0</v>
      </c>
      <c r="M316" s="92">
        <v>59</v>
      </c>
      <c r="N316" s="92">
        <v>12</v>
      </c>
      <c r="O316" s="92">
        <v>14</v>
      </c>
      <c r="P316" s="92">
        <v>0</v>
      </c>
      <c r="Q316" s="92">
        <v>0</v>
      </c>
      <c r="R316" s="92">
        <v>0</v>
      </c>
      <c r="S316" s="92">
        <v>0</v>
      </c>
      <c r="T316" s="92">
        <v>0</v>
      </c>
      <c r="U316" s="92">
        <v>0</v>
      </c>
      <c r="V316" s="92">
        <v>0</v>
      </c>
      <c r="W316" s="92">
        <v>0</v>
      </c>
      <c r="X316" s="92">
        <v>0</v>
      </c>
      <c r="Y316" s="92">
        <v>0</v>
      </c>
      <c r="Z316" s="92">
        <v>0</v>
      </c>
      <c r="AA316" s="92">
        <v>0</v>
      </c>
      <c r="AB316" s="92">
        <v>10762</v>
      </c>
      <c r="AC316" s="92">
        <v>10762</v>
      </c>
      <c r="AD316" s="92">
        <v>11012</v>
      </c>
      <c r="AE316" s="92">
        <v>0</v>
      </c>
      <c r="AF316" s="92">
        <v>0</v>
      </c>
      <c r="AG316" s="92">
        <v>0</v>
      </c>
    </row>
    <row r="317" spans="1:33" x14ac:dyDescent="0.25">
      <c r="A317" t="str">
        <f t="shared" si="8"/>
        <v>33-3-157</v>
      </c>
      <c r="B317">
        <v>33</v>
      </c>
      <c r="C317" s="92" t="s">
        <v>1046</v>
      </c>
      <c r="D317" s="92">
        <v>3</v>
      </c>
      <c r="E317" s="92" t="s">
        <v>67</v>
      </c>
      <c r="F317" s="92">
        <v>157</v>
      </c>
      <c r="G317" s="92" t="s">
        <v>478</v>
      </c>
      <c r="H317" s="92"/>
      <c r="I317" s="92">
        <v>133</v>
      </c>
      <c r="J317" s="92">
        <v>12789196</v>
      </c>
      <c r="K317" s="92" t="s">
        <v>1061</v>
      </c>
      <c r="L317" s="92">
        <v>498</v>
      </c>
      <c r="M317" s="92">
        <v>51406</v>
      </c>
      <c r="N317" s="92">
        <v>20685</v>
      </c>
      <c r="O317" s="92">
        <v>22027</v>
      </c>
      <c r="P317" s="92">
        <v>0</v>
      </c>
      <c r="Q317" s="92">
        <v>0</v>
      </c>
      <c r="R317" s="92">
        <v>0</v>
      </c>
      <c r="S317" s="92">
        <v>0</v>
      </c>
      <c r="T317" s="92">
        <v>0</v>
      </c>
      <c r="U317" s="92">
        <v>0</v>
      </c>
      <c r="V317" s="92">
        <v>0</v>
      </c>
      <c r="W317" s="92">
        <v>0</v>
      </c>
      <c r="X317" s="92">
        <v>0</v>
      </c>
      <c r="Y317" s="92">
        <v>0</v>
      </c>
      <c r="Z317" s="92">
        <v>0</v>
      </c>
      <c r="AA317" s="92">
        <v>0</v>
      </c>
      <c r="AB317" s="92">
        <v>6598245</v>
      </c>
      <c r="AC317" s="92">
        <v>6932339</v>
      </c>
      <c r="AD317" s="92">
        <v>7289916</v>
      </c>
      <c r="AE317" s="92">
        <v>0</v>
      </c>
      <c r="AF317" s="92">
        <v>0</v>
      </c>
      <c r="AG317" s="92">
        <v>0</v>
      </c>
    </row>
    <row r="318" spans="1:33" x14ac:dyDescent="0.25">
      <c r="A318" t="str">
        <f t="shared" si="8"/>
        <v>32-3-158</v>
      </c>
      <c r="B318">
        <v>32</v>
      </c>
      <c r="C318" s="92" t="s">
        <v>1045</v>
      </c>
      <c r="D318" s="92">
        <v>3</v>
      </c>
      <c r="E318" s="92" t="s">
        <v>67</v>
      </c>
      <c r="F318" s="92">
        <v>158</v>
      </c>
      <c r="G318" s="92" t="s">
        <v>467</v>
      </c>
      <c r="H318" s="92"/>
      <c r="I318" s="92">
        <v>3940</v>
      </c>
      <c r="J318" s="92">
        <v>245612</v>
      </c>
      <c r="K318" s="92" t="s">
        <v>1061</v>
      </c>
      <c r="L318" s="92">
        <v>554</v>
      </c>
      <c r="M318" s="92">
        <v>3079</v>
      </c>
      <c r="N318" s="92">
        <v>7</v>
      </c>
      <c r="O318" s="92">
        <v>8</v>
      </c>
      <c r="P318" s="92">
        <v>0</v>
      </c>
      <c r="Q318" s="92">
        <v>0</v>
      </c>
      <c r="R318" s="92">
        <v>0</v>
      </c>
      <c r="S318" s="92">
        <v>0</v>
      </c>
      <c r="T318" s="92">
        <v>100</v>
      </c>
      <c r="U318" s="92">
        <v>9</v>
      </c>
      <c r="V318" s="92">
        <v>0</v>
      </c>
      <c r="W318" s="92">
        <v>0</v>
      </c>
      <c r="X318" s="92">
        <v>0</v>
      </c>
      <c r="Y318" s="92">
        <v>0</v>
      </c>
      <c r="Z318" s="92">
        <v>0</v>
      </c>
      <c r="AA318" s="92">
        <v>0</v>
      </c>
      <c r="AB318" s="92">
        <v>76277</v>
      </c>
      <c r="AC318" s="92">
        <v>79521</v>
      </c>
      <c r="AD318" s="92">
        <v>77866</v>
      </c>
      <c r="AE318" s="92">
        <v>0</v>
      </c>
      <c r="AF318" s="92">
        <v>0</v>
      </c>
      <c r="AG318" s="92">
        <v>0</v>
      </c>
    </row>
    <row r="319" spans="1:33" x14ac:dyDescent="0.25">
      <c r="A319" t="str">
        <f t="shared" si="8"/>
        <v>26-3-159</v>
      </c>
      <c r="B319">
        <v>26</v>
      </c>
      <c r="C319" s="92" t="s">
        <v>1039</v>
      </c>
      <c r="D319" s="92">
        <v>3</v>
      </c>
      <c r="E319" s="92" t="s">
        <v>67</v>
      </c>
      <c r="F319" s="92">
        <v>159</v>
      </c>
      <c r="G319" s="92" t="s">
        <v>393</v>
      </c>
      <c r="H319" s="92"/>
      <c r="I319" s="92">
        <v>43225</v>
      </c>
      <c r="J319" s="92">
        <v>3431532</v>
      </c>
      <c r="K319" s="92" t="s">
        <v>1061</v>
      </c>
      <c r="L319" s="92">
        <v>305</v>
      </c>
      <c r="M319" s="92">
        <v>25069</v>
      </c>
      <c r="N319" s="92">
        <v>8708</v>
      </c>
      <c r="O319" s="92">
        <v>8708</v>
      </c>
      <c r="P319" s="92">
        <v>0</v>
      </c>
      <c r="Q319" s="92">
        <v>0</v>
      </c>
      <c r="R319" s="92">
        <v>0</v>
      </c>
      <c r="S319" s="92">
        <v>0</v>
      </c>
      <c r="T319" s="92">
        <v>0</v>
      </c>
      <c r="U319" s="92">
        <v>0</v>
      </c>
      <c r="V319" s="92">
        <v>0</v>
      </c>
      <c r="W319" s="92">
        <v>0</v>
      </c>
      <c r="X319" s="92">
        <v>0</v>
      </c>
      <c r="Y319" s="92">
        <v>0</v>
      </c>
      <c r="Z319" s="92">
        <v>0</v>
      </c>
      <c r="AA319" s="92">
        <v>0</v>
      </c>
      <c r="AB319" s="92">
        <v>1836946</v>
      </c>
      <c r="AC319" s="92">
        <v>1946759</v>
      </c>
      <c r="AD319" s="92">
        <v>2283216</v>
      </c>
      <c r="AE319" s="92">
        <v>0</v>
      </c>
      <c r="AF319" s="92">
        <v>0</v>
      </c>
      <c r="AG319" s="92">
        <v>0</v>
      </c>
    </row>
    <row r="320" spans="1:33" x14ac:dyDescent="0.25">
      <c r="A320" t="str">
        <f t="shared" si="8"/>
        <v>25-3-160</v>
      </c>
      <c r="B320">
        <v>25</v>
      </c>
      <c r="C320" s="92" t="s">
        <v>1038</v>
      </c>
      <c r="D320" s="92">
        <v>3</v>
      </c>
      <c r="E320" s="92" t="s">
        <v>67</v>
      </c>
      <c r="F320" s="92">
        <v>160</v>
      </c>
      <c r="G320" s="92" t="s">
        <v>366</v>
      </c>
      <c r="H320" s="92"/>
      <c r="I320" s="92">
        <v>29433</v>
      </c>
      <c r="J320" s="92">
        <v>416884</v>
      </c>
      <c r="K320" s="92" t="s">
        <v>1061</v>
      </c>
      <c r="L320" s="92">
        <v>37</v>
      </c>
      <c r="M320" s="92">
        <v>1718</v>
      </c>
      <c r="N320" s="92">
        <v>120</v>
      </c>
      <c r="O320" s="92">
        <v>120</v>
      </c>
      <c r="P320" s="92">
        <v>0</v>
      </c>
      <c r="Q320" s="92">
        <v>0</v>
      </c>
      <c r="R320" s="92">
        <v>0</v>
      </c>
      <c r="S320" s="92">
        <v>0</v>
      </c>
      <c r="T320" s="92">
        <v>0</v>
      </c>
      <c r="U320" s="92">
        <v>0</v>
      </c>
      <c r="V320" s="92">
        <v>0</v>
      </c>
      <c r="W320" s="92">
        <v>0</v>
      </c>
      <c r="X320" s="92">
        <v>0</v>
      </c>
      <c r="Y320" s="92">
        <v>0</v>
      </c>
      <c r="Z320" s="92">
        <v>0</v>
      </c>
      <c r="AA320" s="92">
        <v>0</v>
      </c>
      <c r="AB320" s="92">
        <v>68402</v>
      </c>
      <c r="AC320" s="92">
        <v>84904</v>
      </c>
      <c r="AD320" s="92">
        <v>89628</v>
      </c>
      <c r="AE320" s="92">
        <v>0</v>
      </c>
      <c r="AF320" s="92">
        <v>0</v>
      </c>
      <c r="AG320" s="92">
        <v>0</v>
      </c>
    </row>
    <row r="321" spans="1:33" x14ac:dyDescent="0.25">
      <c r="A321" t="str">
        <f t="shared" si="8"/>
        <v>10-3-161</v>
      </c>
      <c r="B321">
        <v>10</v>
      </c>
      <c r="C321" s="92" t="s">
        <v>1023</v>
      </c>
      <c r="D321" s="92">
        <v>3</v>
      </c>
      <c r="E321" s="92" t="s">
        <v>67</v>
      </c>
      <c r="F321" s="92">
        <v>161</v>
      </c>
      <c r="G321" s="92" t="s">
        <v>197</v>
      </c>
      <c r="H321" s="92"/>
      <c r="I321" s="92">
        <v>50462</v>
      </c>
      <c r="J321" s="92">
        <v>44581</v>
      </c>
      <c r="K321" s="92">
        <v>1</v>
      </c>
      <c r="L321" s="92">
        <v>0</v>
      </c>
      <c r="M321" s="92">
        <v>1622</v>
      </c>
      <c r="N321" s="92">
        <v>671</v>
      </c>
      <c r="O321" s="92">
        <v>671</v>
      </c>
      <c r="P321" s="92">
        <v>0</v>
      </c>
      <c r="Q321" s="92">
        <v>0</v>
      </c>
      <c r="R321" s="92">
        <v>0</v>
      </c>
      <c r="S321" s="92">
        <v>0</v>
      </c>
      <c r="T321" s="92">
        <v>0</v>
      </c>
      <c r="U321" s="92">
        <v>0</v>
      </c>
      <c r="V321" s="92">
        <v>0</v>
      </c>
      <c r="W321" s="92">
        <v>0</v>
      </c>
      <c r="X321" s="92">
        <v>0</v>
      </c>
      <c r="Y321" s="92">
        <v>0</v>
      </c>
      <c r="Z321" s="92">
        <v>0</v>
      </c>
      <c r="AA321" s="92">
        <v>0</v>
      </c>
      <c r="AB321" s="92">
        <v>116276</v>
      </c>
      <c r="AC321" s="92">
        <v>120542</v>
      </c>
      <c r="AD321" s="92">
        <v>122425</v>
      </c>
      <c r="AE321" s="92">
        <v>0</v>
      </c>
      <c r="AF321" s="92">
        <v>0</v>
      </c>
      <c r="AG321" s="92">
        <v>0</v>
      </c>
    </row>
    <row r="322" spans="1:33" x14ac:dyDescent="0.25">
      <c r="A322" t="str">
        <f t="shared" si="8"/>
        <v>26-3-161</v>
      </c>
      <c r="B322">
        <v>26</v>
      </c>
      <c r="C322" s="92" t="s">
        <v>1039</v>
      </c>
      <c r="D322" s="92">
        <v>3</v>
      </c>
      <c r="E322" s="92" t="s">
        <v>67</v>
      </c>
      <c r="F322" s="92">
        <v>161</v>
      </c>
      <c r="G322" s="92" t="s">
        <v>197</v>
      </c>
      <c r="H322" s="92"/>
      <c r="I322" s="92">
        <v>50462</v>
      </c>
      <c r="J322" s="92">
        <v>628084</v>
      </c>
      <c r="K322" s="92">
        <v>1</v>
      </c>
      <c r="L322" s="92">
        <v>0</v>
      </c>
      <c r="M322" s="92">
        <v>1622</v>
      </c>
      <c r="N322" s="92">
        <v>671</v>
      </c>
      <c r="O322" s="92">
        <v>671</v>
      </c>
      <c r="P322" s="92">
        <v>0</v>
      </c>
      <c r="Q322" s="92">
        <v>0</v>
      </c>
      <c r="R322" s="92">
        <v>0</v>
      </c>
      <c r="S322" s="92">
        <v>0</v>
      </c>
      <c r="T322" s="92">
        <v>0</v>
      </c>
      <c r="U322" s="92">
        <v>0</v>
      </c>
      <c r="V322" s="92">
        <v>0</v>
      </c>
      <c r="W322" s="92">
        <v>0</v>
      </c>
      <c r="X322" s="92">
        <v>0</v>
      </c>
      <c r="Y322" s="92">
        <v>0</v>
      </c>
      <c r="Z322" s="92">
        <v>0</v>
      </c>
      <c r="AA322" s="92">
        <v>0</v>
      </c>
      <c r="AB322" s="92">
        <v>116276</v>
      </c>
      <c r="AC322" s="92">
        <v>120542</v>
      </c>
      <c r="AD322" s="92">
        <v>122425</v>
      </c>
      <c r="AE322" s="92">
        <v>0</v>
      </c>
      <c r="AF322" s="92">
        <v>0</v>
      </c>
      <c r="AG322" s="92">
        <v>0</v>
      </c>
    </row>
    <row r="323" spans="1:33" x14ac:dyDescent="0.25">
      <c r="A323" t="str">
        <f t="shared" si="8"/>
        <v>26-3-162</v>
      </c>
      <c r="B323">
        <v>26</v>
      </c>
      <c r="C323" s="92" t="s">
        <v>1039</v>
      </c>
      <c r="D323" s="92">
        <v>3</v>
      </c>
      <c r="E323" s="92" t="s">
        <v>67</v>
      </c>
      <c r="F323" s="92">
        <v>162</v>
      </c>
      <c r="G323" s="92" t="s">
        <v>394</v>
      </c>
      <c r="H323" s="92"/>
      <c r="I323" s="92">
        <v>0</v>
      </c>
      <c r="J323" s="92">
        <v>1660929</v>
      </c>
      <c r="K323" s="92" t="s">
        <v>1061</v>
      </c>
      <c r="L323" s="92">
        <v>158</v>
      </c>
      <c r="M323" s="92">
        <v>1315</v>
      </c>
      <c r="N323" s="92">
        <v>351</v>
      </c>
      <c r="O323" s="92">
        <v>351</v>
      </c>
      <c r="P323" s="92">
        <v>0</v>
      </c>
      <c r="Q323" s="92">
        <v>0</v>
      </c>
      <c r="R323" s="92">
        <v>0</v>
      </c>
      <c r="S323" s="92">
        <v>0</v>
      </c>
      <c r="T323" s="92">
        <v>0</v>
      </c>
      <c r="U323" s="92">
        <v>0</v>
      </c>
      <c r="V323" s="92">
        <v>0</v>
      </c>
      <c r="W323" s="92">
        <v>0</v>
      </c>
      <c r="X323" s="92">
        <v>0</v>
      </c>
      <c r="Y323" s="92">
        <v>0</v>
      </c>
      <c r="Z323" s="92">
        <v>0</v>
      </c>
      <c r="AA323" s="92">
        <v>0</v>
      </c>
      <c r="AB323" s="92">
        <v>129294</v>
      </c>
      <c r="AC323" s="92">
        <v>133228</v>
      </c>
      <c r="AD323" s="92">
        <v>133228</v>
      </c>
      <c r="AE323" s="92">
        <v>0</v>
      </c>
      <c r="AF323" s="92">
        <v>0</v>
      </c>
      <c r="AG323" s="92">
        <v>0</v>
      </c>
    </row>
    <row r="324" spans="1:33" x14ac:dyDescent="0.25">
      <c r="A324" t="str">
        <f t="shared" si="8"/>
        <v>39-3-163</v>
      </c>
      <c r="B324">
        <v>39</v>
      </c>
      <c r="C324" s="92" t="s">
        <v>79</v>
      </c>
      <c r="D324" s="92">
        <v>3</v>
      </c>
      <c r="E324" s="92" t="s">
        <v>67</v>
      </c>
      <c r="F324" s="92">
        <v>163</v>
      </c>
      <c r="G324" s="92" t="s">
        <v>527</v>
      </c>
      <c r="H324" s="92"/>
      <c r="I324" s="92">
        <v>0</v>
      </c>
      <c r="J324" s="92">
        <v>195462</v>
      </c>
      <c r="K324" s="92" t="s">
        <v>1061</v>
      </c>
      <c r="L324" s="92">
        <v>113</v>
      </c>
      <c r="M324" s="92">
        <v>1221</v>
      </c>
      <c r="N324" s="92">
        <v>95</v>
      </c>
      <c r="O324" s="92">
        <v>128</v>
      </c>
      <c r="P324" s="92">
        <v>0</v>
      </c>
      <c r="Q324" s="92">
        <v>0</v>
      </c>
      <c r="R324" s="92">
        <v>0</v>
      </c>
      <c r="S324" s="92">
        <v>0</v>
      </c>
      <c r="T324" s="92">
        <v>0</v>
      </c>
      <c r="U324" s="92">
        <v>0</v>
      </c>
      <c r="V324" s="92">
        <v>0</v>
      </c>
      <c r="W324" s="92">
        <v>0</v>
      </c>
      <c r="X324" s="92">
        <v>0</v>
      </c>
      <c r="Y324" s="92">
        <v>0</v>
      </c>
      <c r="Z324" s="92">
        <v>0</v>
      </c>
      <c r="AA324" s="92">
        <v>0</v>
      </c>
      <c r="AB324" s="92">
        <v>30314</v>
      </c>
      <c r="AC324" s="92">
        <v>31719</v>
      </c>
      <c r="AD324" s="92">
        <v>33132</v>
      </c>
      <c r="AE324" s="92">
        <v>0</v>
      </c>
      <c r="AF324" s="92">
        <v>0</v>
      </c>
      <c r="AG324" s="92">
        <v>0</v>
      </c>
    </row>
    <row r="325" spans="1:33" x14ac:dyDescent="0.25">
      <c r="A325" t="str">
        <f t="shared" si="8"/>
        <v>34-3-164</v>
      </c>
      <c r="B325">
        <v>34</v>
      </c>
      <c r="C325" s="92" t="s">
        <v>1047</v>
      </c>
      <c r="D325" s="92">
        <v>3</v>
      </c>
      <c r="E325" s="92" t="s">
        <v>67</v>
      </c>
      <c r="F325" s="92">
        <v>164</v>
      </c>
      <c r="G325" s="92" t="s">
        <v>492</v>
      </c>
      <c r="H325" s="92"/>
      <c r="I325" s="92">
        <v>32</v>
      </c>
      <c r="J325" s="92">
        <v>5263081</v>
      </c>
      <c r="K325" s="92" t="s">
        <v>1061</v>
      </c>
      <c r="L325" s="92">
        <v>464</v>
      </c>
      <c r="M325" s="92">
        <v>21424</v>
      </c>
      <c r="N325" s="92">
        <v>5619</v>
      </c>
      <c r="O325" s="92">
        <v>5637</v>
      </c>
      <c r="P325" s="92">
        <v>0</v>
      </c>
      <c r="Q325" s="92">
        <v>0</v>
      </c>
      <c r="R325" s="92">
        <v>0</v>
      </c>
      <c r="S325" s="92">
        <v>0</v>
      </c>
      <c r="T325" s="92">
        <v>0</v>
      </c>
      <c r="U325" s="92">
        <v>0</v>
      </c>
      <c r="V325" s="92">
        <v>0</v>
      </c>
      <c r="W325" s="92">
        <v>0</v>
      </c>
      <c r="X325" s="92">
        <v>0</v>
      </c>
      <c r="Y325" s="92">
        <v>0</v>
      </c>
      <c r="Z325" s="92">
        <v>0</v>
      </c>
      <c r="AA325" s="92">
        <v>0</v>
      </c>
      <c r="AB325" s="92">
        <v>1152872</v>
      </c>
      <c r="AC325" s="92">
        <v>1215502</v>
      </c>
      <c r="AD325" s="92">
        <v>1270647</v>
      </c>
      <c r="AE325" s="92">
        <v>0</v>
      </c>
      <c r="AF325" s="92">
        <v>0</v>
      </c>
      <c r="AG325" s="92">
        <v>0</v>
      </c>
    </row>
    <row r="326" spans="1:33" x14ac:dyDescent="0.25">
      <c r="A326" t="str">
        <f t="shared" si="8"/>
        <v>30-3-168</v>
      </c>
      <c r="B326">
        <v>30</v>
      </c>
      <c r="C326" s="92" t="s">
        <v>1043</v>
      </c>
      <c r="D326" s="92">
        <v>3</v>
      </c>
      <c r="E326" s="92" t="s">
        <v>67</v>
      </c>
      <c r="F326" s="92">
        <v>168</v>
      </c>
      <c r="G326" s="92" t="s">
        <v>454</v>
      </c>
      <c r="H326" s="92"/>
      <c r="I326" s="92">
        <v>328670</v>
      </c>
      <c r="J326" s="92">
        <v>2929380</v>
      </c>
      <c r="K326" s="92" t="s">
        <v>1061</v>
      </c>
      <c r="L326" s="92">
        <v>17</v>
      </c>
      <c r="M326" s="92">
        <v>28939</v>
      </c>
      <c r="N326" s="92">
        <v>3310</v>
      </c>
      <c r="O326" s="92">
        <v>3310</v>
      </c>
      <c r="P326" s="92">
        <v>0</v>
      </c>
      <c r="Q326" s="92">
        <v>0</v>
      </c>
      <c r="R326" s="92">
        <v>0</v>
      </c>
      <c r="S326" s="92">
        <v>0</v>
      </c>
      <c r="T326" s="92">
        <v>0</v>
      </c>
      <c r="U326" s="92">
        <v>0</v>
      </c>
      <c r="V326" s="92">
        <v>0</v>
      </c>
      <c r="W326" s="92">
        <v>0</v>
      </c>
      <c r="X326" s="92">
        <v>0</v>
      </c>
      <c r="Y326" s="92">
        <v>0</v>
      </c>
      <c r="Z326" s="92">
        <v>0</v>
      </c>
      <c r="AA326" s="92">
        <v>0</v>
      </c>
      <c r="AB326" s="92">
        <v>1237597</v>
      </c>
      <c r="AC326" s="92">
        <v>1273636</v>
      </c>
      <c r="AD326" s="92">
        <v>1316845</v>
      </c>
      <c r="AE326" s="92">
        <v>0</v>
      </c>
      <c r="AF326" s="92">
        <v>0</v>
      </c>
      <c r="AG326" s="92">
        <v>0</v>
      </c>
    </row>
    <row r="327" spans="1:33" x14ac:dyDescent="0.25">
      <c r="A327" t="str">
        <f t="shared" si="8"/>
        <v>9-3-169</v>
      </c>
      <c r="B327">
        <v>9</v>
      </c>
      <c r="C327" s="92" t="s">
        <v>1022</v>
      </c>
      <c r="D327" s="92">
        <v>3</v>
      </c>
      <c r="E327" s="92" t="s">
        <v>67</v>
      </c>
      <c r="F327" s="92">
        <v>169</v>
      </c>
      <c r="G327" s="92" t="s">
        <v>186</v>
      </c>
      <c r="H327" s="92"/>
      <c r="I327" s="92">
        <v>294574</v>
      </c>
      <c r="J327" s="92">
        <v>18246193</v>
      </c>
      <c r="K327" s="92" t="s">
        <v>1061</v>
      </c>
      <c r="L327" s="92">
        <v>2408</v>
      </c>
      <c r="M327" s="92">
        <v>88958</v>
      </c>
      <c r="N327" s="92">
        <v>8508</v>
      </c>
      <c r="O327" s="92">
        <v>9573</v>
      </c>
      <c r="P327" s="92">
        <v>0</v>
      </c>
      <c r="Q327" s="92">
        <v>0</v>
      </c>
      <c r="R327" s="92">
        <v>0</v>
      </c>
      <c r="S327" s="92">
        <v>0</v>
      </c>
      <c r="T327" s="92">
        <v>0</v>
      </c>
      <c r="U327" s="92">
        <v>0</v>
      </c>
      <c r="V327" s="92">
        <v>0</v>
      </c>
      <c r="W327" s="92">
        <v>0</v>
      </c>
      <c r="X327" s="92">
        <v>0</v>
      </c>
      <c r="Y327" s="92">
        <v>0</v>
      </c>
      <c r="Z327" s="92">
        <v>0</v>
      </c>
      <c r="AA327" s="92">
        <v>0</v>
      </c>
      <c r="AB327" s="92">
        <v>4794719</v>
      </c>
      <c r="AC327" s="92">
        <v>5052867</v>
      </c>
      <c r="AD327" s="92">
        <v>5343205</v>
      </c>
      <c r="AE327" s="92">
        <v>0</v>
      </c>
      <c r="AF327" s="92">
        <v>0</v>
      </c>
      <c r="AG327" s="92">
        <v>0</v>
      </c>
    </row>
    <row r="328" spans="1:33" x14ac:dyDescent="0.25">
      <c r="A328" t="str">
        <f t="shared" si="8"/>
        <v>6-3-170</v>
      </c>
      <c r="B328">
        <v>6</v>
      </c>
      <c r="C328" s="92" t="s">
        <v>1020</v>
      </c>
      <c r="D328" s="92">
        <v>3</v>
      </c>
      <c r="E328" s="92" t="s">
        <v>67</v>
      </c>
      <c r="F328" s="92">
        <v>170</v>
      </c>
      <c r="G328" s="92" t="s">
        <v>138</v>
      </c>
      <c r="H328" s="92"/>
      <c r="I328" s="92">
        <v>109</v>
      </c>
      <c r="J328" s="92">
        <v>4885121</v>
      </c>
      <c r="K328" s="92" t="s">
        <v>1061</v>
      </c>
      <c r="L328" s="92">
        <v>200</v>
      </c>
      <c r="M328" s="92">
        <v>13901</v>
      </c>
      <c r="N328" s="92">
        <v>2765</v>
      </c>
      <c r="O328" s="92">
        <v>2801</v>
      </c>
      <c r="P328" s="92">
        <v>0</v>
      </c>
      <c r="Q328" s="92">
        <v>0</v>
      </c>
      <c r="R328" s="92">
        <v>0</v>
      </c>
      <c r="S328" s="92">
        <v>0</v>
      </c>
      <c r="T328" s="92">
        <v>0</v>
      </c>
      <c r="U328" s="92">
        <v>0</v>
      </c>
      <c r="V328" s="92">
        <v>0</v>
      </c>
      <c r="W328" s="92">
        <v>0</v>
      </c>
      <c r="X328" s="92">
        <v>0</v>
      </c>
      <c r="Y328" s="92">
        <v>0</v>
      </c>
      <c r="Z328" s="92">
        <v>0</v>
      </c>
      <c r="AA328" s="92">
        <v>0</v>
      </c>
      <c r="AB328" s="92">
        <v>1355576</v>
      </c>
      <c r="AC328" s="92">
        <v>1444874</v>
      </c>
      <c r="AD328" s="92">
        <v>1518357</v>
      </c>
      <c r="AE328" s="92">
        <v>0</v>
      </c>
      <c r="AF328" s="92">
        <v>0</v>
      </c>
      <c r="AG328" s="92">
        <v>0</v>
      </c>
    </row>
    <row r="329" spans="1:33" x14ac:dyDescent="0.25">
      <c r="A329" t="str">
        <f t="shared" si="8"/>
        <v>32-3-171</v>
      </c>
      <c r="B329">
        <v>32</v>
      </c>
      <c r="C329" s="92" t="s">
        <v>1045</v>
      </c>
      <c r="D329" s="92">
        <v>3</v>
      </c>
      <c r="E329" s="92" t="s">
        <v>67</v>
      </c>
      <c r="F329" s="92">
        <v>171</v>
      </c>
      <c r="G329" s="92" t="s">
        <v>468</v>
      </c>
      <c r="H329" s="92"/>
      <c r="I329" s="92">
        <v>16712</v>
      </c>
      <c r="J329" s="92">
        <v>8151378</v>
      </c>
      <c r="K329" s="92" t="s">
        <v>1061</v>
      </c>
      <c r="L329" s="92">
        <v>2670</v>
      </c>
      <c r="M329" s="92">
        <v>15323</v>
      </c>
      <c r="N329" s="92">
        <v>3854</v>
      </c>
      <c r="O329" s="92">
        <v>4091</v>
      </c>
      <c r="P329" s="92">
        <v>0</v>
      </c>
      <c r="Q329" s="92">
        <v>0</v>
      </c>
      <c r="R329" s="92">
        <v>0</v>
      </c>
      <c r="S329" s="92">
        <v>395.76</v>
      </c>
      <c r="T329" s="92">
        <v>521</v>
      </c>
      <c r="U329" s="92">
        <v>1898</v>
      </c>
      <c r="V329" s="92">
        <v>0</v>
      </c>
      <c r="W329" s="92">
        <v>0</v>
      </c>
      <c r="X329" s="92">
        <v>0</v>
      </c>
      <c r="Y329" s="92">
        <v>0</v>
      </c>
      <c r="Z329" s="92">
        <v>0</v>
      </c>
      <c r="AA329" s="92">
        <v>0</v>
      </c>
      <c r="AB329" s="92">
        <v>586460</v>
      </c>
      <c r="AC329" s="92">
        <v>604850</v>
      </c>
      <c r="AD329" s="92">
        <v>625943</v>
      </c>
      <c r="AE329" s="92">
        <v>0</v>
      </c>
      <c r="AF329" s="92">
        <v>0</v>
      </c>
      <c r="AG329" s="92">
        <v>0</v>
      </c>
    </row>
    <row r="330" spans="1:33" x14ac:dyDescent="0.25">
      <c r="A330" t="str">
        <f t="shared" si="8"/>
        <v>40-3-172</v>
      </c>
      <c r="B330">
        <v>40</v>
      </c>
      <c r="C330" s="92" t="s">
        <v>1051</v>
      </c>
      <c r="D330" s="92">
        <v>3</v>
      </c>
      <c r="E330" s="92" t="s">
        <v>67</v>
      </c>
      <c r="F330" s="92">
        <v>172</v>
      </c>
      <c r="G330" s="92" t="s">
        <v>536</v>
      </c>
      <c r="H330" s="92"/>
      <c r="I330" s="92">
        <v>881</v>
      </c>
      <c r="J330" s="92">
        <v>1488748</v>
      </c>
      <c r="K330" s="92" t="s">
        <v>1061</v>
      </c>
      <c r="L330" s="92">
        <v>0</v>
      </c>
      <c r="M330" s="92">
        <v>2741</v>
      </c>
      <c r="N330" s="92">
        <v>1369</v>
      </c>
      <c r="O330" s="92">
        <v>1369</v>
      </c>
      <c r="P330" s="92">
        <v>0</v>
      </c>
      <c r="Q330" s="92">
        <v>0</v>
      </c>
      <c r="R330" s="92">
        <v>0</v>
      </c>
      <c r="S330" s="92">
        <v>0</v>
      </c>
      <c r="T330" s="92">
        <v>0</v>
      </c>
      <c r="U330" s="92">
        <v>0</v>
      </c>
      <c r="V330" s="92">
        <v>0</v>
      </c>
      <c r="W330" s="92">
        <v>0</v>
      </c>
      <c r="X330" s="92">
        <v>0</v>
      </c>
      <c r="Y330" s="92">
        <v>0</v>
      </c>
      <c r="Z330" s="92">
        <v>0</v>
      </c>
      <c r="AA330" s="92">
        <v>0</v>
      </c>
      <c r="AB330" s="92">
        <v>86198</v>
      </c>
      <c r="AC330" s="92">
        <v>89716</v>
      </c>
      <c r="AD330" s="92">
        <v>89716</v>
      </c>
      <c r="AE330" s="92">
        <v>0</v>
      </c>
      <c r="AF330" s="92">
        <v>0</v>
      </c>
      <c r="AG330" s="92">
        <v>0</v>
      </c>
    </row>
    <row r="331" spans="1:33" x14ac:dyDescent="0.25">
      <c r="A331" t="str">
        <f t="shared" si="8"/>
        <v>15-3-173</v>
      </c>
      <c r="B331">
        <v>15</v>
      </c>
      <c r="C331" s="92" t="s">
        <v>1028</v>
      </c>
      <c r="D331" s="92">
        <v>3</v>
      </c>
      <c r="E331" s="92" t="s">
        <v>67</v>
      </c>
      <c r="F331" s="92">
        <v>173</v>
      </c>
      <c r="G331" s="92" t="s">
        <v>255</v>
      </c>
      <c r="H331" s="92"/>
      <c r="I331" s="92">
        <v>0</v>
      </c>
      <c r="J331" s="92">
        <v>12897213</v>
      </c>
      <c r="K331" s="92" t="s">
        <v>1061</v>
      </c>
      <c r="L331" s="92">
        <v>96</v>
      </c>
      <c r="M331" s="92">
        <v>27142</v>
      </c>
      <c r="N331" s="92">
        <v>4612</v>
      </c>
      <c r="O331" s="92">
        <v>4734</v>
      </c>
      <c r="P331" s="92">
        <v>0</v>
      </c>
      <c r="Q331" s="92">
        <v>0</v>
      </c>
      <c r="R331" s="92">
        <v>0</v>
      </c>
      <c r="S331" s="92">
        <v>0</v>
      </c>
      <c r="T331" s="92">
        <v>0</v>
      </c>
      <c r="U331" s="92">
        <v>0</v>
      </c>
      <c r="V331" s="92">
        <v>0</v>
      </c>
      <c r="W331" s="92">
        <v>0</v>
      </c>
      <c r="X331" s="92">
        <v>0</v>
      </c>
      <c r="Y331" s="92">
        <v>0</v>
      </c>
      <c r="Z331" s="92">
        <v>0</v>
      </c>
      <c r="AA331" s="92">
        <v>0</v>
      </c>
      <c r="AB331" s="92">
        <v>1095962</v>
      </c>
      <c r="AC331" s="92">
        <v>1130286</v>
      </c>
      <c r="AD331" s="92">
        <v>1214063</v>
      </c>
      <c r="AE331" s="92">
        <v>0</v>
      </c>
      <c r="AF331" s="92">
        <v>0</v>
      </c>
      <c r="AG331" s="92">
        <v>0</v>
      </c>
    </row>
    <row r="332" spans="1:33" x14ac:dyDescent="0.25">
      <c r="A332" t="str">
        <f t="shared" si="8"/>
        <v>17-3-174</v>
      </c>
      <c r="B332">
        <v>17</v>
      </c>
      <c r="C332" s="92" t="s">
        <v>1030</v>
      </c>
      <c r="D332" s="92">
        <v>3</v>
      </c>
      <c r="E332" s="92" t="s">
        <v>67</v>
      </c>
      <c r="F332" s="92">
        <v>174</v>
      </c>
      <c r="G332" s="92" t="s">
        <v>281</v>
      </c>
      <c r="H332" s="92"/>
      <c r="I332" s="92">
        <v>0</v>
      </c>
      <c r="J332" s="92">
        <v>591779</v>
      </c>
      <c r="K332" s="92" t="s">
        <v>1061</v>
      </c>
      <c r="L332" s="92">
        <v>0</v>
      </c>
      <c r="M332" s="92">
        <v>106</v>
      </c>
      <c r="N332" s="92">
        <v>8</v>
      </c>
      <c r="O332" s="92">
        <v>8</v>
      </c>
      <c r="P332" s="92">
        <v>0</v>
      </c>
      <c r="Q332" s="92">
        <v>0</v>
      </c>
      <c r="R332" s="92">
        <v>0</v>
      </c>
      <c r="S332" s="92">
        <v>0</v>
      </c>
      <c r="T332" s="92">
        <v>0</v>
      </c>
      <c r="U332" s="92">
        <v>0</v>
      </c>
      <c r="V332" s="92">
        <v>0</v>
      </c>
      <c r="W332" s="92">
        <v>0</v>
      </c>
      <c r="X332" s="92">
        <v>0</v>
      </c>
      <c r="Y332" s="92">
        <v>0</v>
      </c>
      <c r="Z332" s="92">
        <v>0</v>
      </c>
      <c r="AA332" s="92">
        <v>0</v>
      </c>
      <c r="AB332" s="92">
        <v>2904</v>
      </c>
      <c r="AC332" s="92">
        <v>2904</v>
      </c>
      <c r="AD332" s="92">
        <v>3011</v>
      </c>
      <c r="AE332" s="92">
        <v>0</v>
      </c>
      <c r="AF332" s="92">
        <v>0</v>
      </c>
      <c r="AG332" s="92">
        <v>0</v>
      </c>
    </row>
    <row r="333" spans="1:33" x14ac:dyDescent="0.25">
      <c r="A333" t="str">
        <f t="shared" si="8"/>
        <v>28-3-175</v>
      </c>
      <c r="B333">
        <v>28</v>
      </c>
      <c r="C333" s="92" t="s">
        <v>1041</v>
      </c>
      <c r="D333" s="92">
        <v>3</v>
      </c>
      <c r="E333" s="92" t="s">
        <v>67</v>
      </c>
      <c r="F333" s="92">
        <v>175</v>
      </c>
      <c r="G333" s="92" t="s">
        <v>416</v>
      </c>
      <c r="H333" s="92"/>
      <c r="I333" s="92">
        <v>16983</v>
      </c>
      <c r="J333" s="92">
        <v>3651411</v>
      </c>
      <c r="K333" s="92" t="s">
        <v>1061</v>
      </c>
      <c r="L333" s="92">
        <v>0</v>
      </c>
      <c r="M333" s="92">
        <v>4262</v>
      </c>
      <c r="N333" s="92">
        <v>23</v>
      </c>
      <c r="O333" s="92">
        <v>24</v>
      </c>
      <c r="P333" s="92">
        <v>0</v>
      </c>
      <c r="Q333" s="92">
        <v>0</v>
      </c>
      <c r="R333" s="92">
        <v>0</v>
      </c>
      <c r="S333" s="92">
        <v>0</v>
      </c>
      <c r="T333" s="92">
        <v>0</v>
      </c>
      <c r="U333" s="92">
        <v>0</v>
      </c>
      <c r="V333" s="92">
        <v>0</v>
      </c>
      <c r="W333" s="92">
        <v>0</v>
      </c>
      <c r="X333" s="92">
        <v>0</v>
      </c>
      <c r="Y333" s="92">
        <v>0</v>
      </c>
      <c r="Z333" s="92">
        <v>0</v>
      </c>
      <c r="AA333" s="92">
        <v>0</v>
      </c>
      <c r="AB333" s="92">
        <v>618658</v>
      </c>
      <c r="AC333" s="92">
        <v>666589</v>
      </c>
      <c r="AD333" s="92">
        <v>827853</v>
      </c>
      <c r="AE333" s="92">
        <v>0</v>
      </c>
      <c r="AF333" s="92">
        <v>19350</v>
      </c>
      <c r="AG333" s="92">
        <v>24004</v>
      </c>
    </row>
    <row r="334" spans="1:33" x14ac:dyDescent="0.25">
      <c r="A334" t="str">
        <f t="shared" si="8"/>
        <v>22-3-165</v>
      </c>
      <c r="B334">
        <v>22</v>
      </c>
      <c r="C334" s="92" t="s">
        <v>1035</v>
      </c>
      <c r="D334" s="92">
        <v>3</v>
      </c>
      <c r="E334" s="92" t="s">
        <v>67</v>
      </c>
      <c r="F334" s="92">
        <v>165</v>
      </c>
      <c r="G334" s="92" t="s">
        <v>336</v>
      </c>
      <c r="H334" s="92"/>
      <c r="I334" s="92">
        <v>93132</v>
      </c>
      <c r="J334" s="92">
        <v>15716594</v>
      </c>
      <c r="K334" s="92" t="s">
        <v>1061</v>
      </c>
      <c r="L334" s="92">
        <v>124</v>
      </c>
      <c r="M334" s="92">
        <v>16993</v>
      </c>
      <c r="N334" s="92">
        <v>3533</v>
      </c>
      <c r="O334" s="92">
        <v>3632</v>
      </c>
      <c r="P334" s="92">
        <v>0</v>
      </c>
      <c r="Q334" s="92">
        <v>0</v>
      </c>
      <c r="R334" s="92">
        <v>0</v>
      </c>
      <c r="S334" s="92">
        <v>0</v>
      </c>
      <c r="T334" s="92">
        <v>0</v>
      </c>
      <c r="U334" s="92">
        <v>0</v>
      </c>
      <c r="V334" s="92">
        <v>0</v>
      </c>
      <c r="W334" s="92">
        <v>0</v>
      </c>
      <c r="X334" s="92">
        <v>0</v>
      </c>
      <c r="Y334" s="92">
        <v>0</v>
      </c>
      <c r="Z334" s="92">
        <v>0</v>
      </c>
      <c r="AA334" s="92">
        <v>0</v>
      </c>
      <c r="AB334" s="92">
        <v>900927</v>
      </c>
      <c r="AC334" s="92">
        <v>934787</v>
      </c>
      <c r="AD334" s="92">
        <v>1028021</v>
      </c>
      <c r="AE334" s="92">
        <v>26842</v>
      </c>
      <c r="AF334" s="92">
        <v>0</v>
      </c>
      <c r="AG334" s="92">
        <v>28930</v>
      </c>
    </row>
    <row r="335" spans="1:33" x14ac:dyDescent="0.25">
      <c r="A335" t="str">
        <f t="shared" si="8"/>
        <v>4-3-166</v>
      </c>
      <c r="B335">
        <v>4</v>
      </c>
      <c r="C335" s="92" t="s">
        <v>1194</v>
      </c>
      <c r="D335" s="92">
        <v>3</v>
      </c>
      <c r="E335" s="92" t="s">
        <v>67</v>
      </c>
      <c r="F335" s="92">
        <v>166</v>
      </c>
      <c r="G335" s="92" t="s">
        <v>655</v>
      </c>
      <c r="H335" s="92"/>
      <c r="I335" s="92">
        <v>0</v>
      </c>
      <c r="J335" s="92">
        <v>389973</v>
      </c>
      <c r="K335" s="92" t="s">
        <v>1061</v>
      </c>
      <c r="L335" s="92">
        <v>42</v>
      </c>
      <c r="M335" s="92">
        <v>118</v>
      </c>
      <c r="N335" s="92">
        <v>8</v>
      </c>
      <c r="O335" s="92">
        <v>10</v>
      </c>
      <c r="P335" s="92">
        <v>0</v>
      </c>
      <c r="Q335" s="92">
        <v>0</v>
      </c>
      <c r="R335" s="92">
        <v>0</v>
      </c>
      <c r="S335" s="92">
        <v>0</v>
      </c>
      <c r="T335" s="92">
        <v>0</v>
      </c>
      <c r="U335" s="92">
        <v>0</v>
      </c>
      <c r="V335" s="92">
        <v>0</v>
      </c>
      <c r="W335" s="92">
        <v>0</v>
      </c>
      <c r="X335" s="92">
        <v>0</v>
      </c>
      <c r="Y335" s="92">
        <v>0</v>
      </c>
      <c r="Z335" s="92">
        <v>0</v>
      </c>
      <c r="AA335" s="92">
        <v>0</v>
      </c>
      <c r="AB335" s="92">
        <v>42022</v>
      </c>
      <c r="AC335" s="92">
        <v>42022</v>
      </c>
      <c r="AD335" s="92">
        <v>43836</v>
      </c>
      <c r="AE335" s="92">
        <v>0</v>
      </c>
      <c r="AF335" s="92">
        <v>0</v>
      </c>
      <c r="AG335" s="92">
        <v>0</v>
      </c>
    </row>
    <row r="336" spans="1:33" x14ac:dyDescent="0.25">
      <c r="A336" t="str">
        <f t="shared" si="8"/>
        <v>5-3-167</v>
      </c>
      <c r="B336">
        <v>5</v>
      </c>
      <c r="C336" s="92" t="s">
        <v>1019</v>
      </c>
      <c r="D336" s="92">
        <v>3</v>
      </c>
      <c r="E336" s="92" t="s">
        <v>67</v>
      </c>
      <c r="F336" s="92">
        <v>167</v>
      </c>
      <c r="G336" s="92" t="s">
        <v>664</v>
      </c>
      <c r="H336" s="92"/>
      <c r="I336" s="92">
        <v>87939</v>
      </c>
      <c r="J336" s="92">
        <v>1541212</v>
      </c>
      <c r="K336" s="92" t="s">
        <v>1061</v>
      </c>
      <c r="L336" s="92">
        <v>0</v>
      </c>
      <c r="M336" s="92">
        <v>25971</v>
      </c>
      <c r="N336" s="92">
        <v>3895</v>
      </c>
      <c r="O336" s="92">
        <v>4283</v>
      </c>
      <c r="P336" s="92">
        <v>0</v>
      </c>
      <c r="Q336" s="92">
        <v>0</v>
      </c>
      <c r="R336" s="92">
        <v>0</v>
      </c>
      <c r="S336" s="92">
        <v>0</v>
      </c>
      <c r="T336" s="92">
        <v>0</v>
      </c>
      <c r="U336" s="92">
        <v>0</v>
      </c>
      <c r="V336" s="92">
        <v>0</v>
      </c>
      <c r="W336" s="92">
        <v>0</v>
      </c>
      <c r="X336" s="92">
        <v>0</v>
      </c>
      <c r="Y336" s="92">
        <v>0</v>
      </c>
      <c r="Z336" s="92">
        <v>0</v>
      </c>
      <c r="AA336" s="92">
        <v>0</v>
      </c>
      <c r="AB336" s="92">
        <v>797434</v>
      </c>
      <c r="AC336" s="92">
        <v>824827</v>
      </c>
      <c r="AD336" s="92">
        <v>824827</v>
      </c>
      <c r="AE336" s="92">
        <v>0</v>
      </c>
      <c r="AF336" s="92">
        <v>0</v>
      </c>
      <c r="AG336" s="92">
        <v>0</v>
      </c>
    </row>
    <row r="337" spans="1:33" x14ac:dyDescent="0.25">
      <c r="A337" t="str">
        <f t="shared" si="8"/>
        <v>19-3-176</v>
      </c>
      <c r="B337">
        <v>19</v>
      </c>
      <c r="C337" s="92" t="s">
        <v>1032</v>
      </c>
      <c r="D337" s="92">
        <v>3</v>
      </c>
      <c r="E337" s="92" t="s">
        <v>67</v>
      </c>
      <c r="F337" s="92">
        <v>176</v>
      </c>
      <c r="G337" s="92" t="s">
        <v>301</v>
      </c>
      <c r="H337" s="92"/>
      <c r="I337" s="92">
        <v>703</v>
      </c>
      <c r="J337" s="92">
        <v>207129</v>
      </c>
      <c r="K337" s="92" t="s">
        <v>1061</v>
      </c>
      <c r="L337" s="92">
        <v>0</v>
      </c>
      <c r="M337" s="92">
        <v>659</v>
      </c>
      <c r="N337" s="92">
        <v>139</v>
      </c>
      <c r="O337" s="92">
        <v>139</v>
      </c>
      <c r="P337" s="92">
        <v>0</v>
      </c>
      <c r="Q337" s="92">
        <v>0</v>
      </c>
      <c r="R337" s="92">
        <v>0</v>
      </c>
      <c r="S337" s="92">
        <v>0</v>
      </c>
      <c r="T337" s="92">
        <v>0</v>
      </c>
      <c r="U337" s="92">
        <v>0</v>
      </c>
      <c r="V337" s="92">
        <v>0</v>
      </c>
      <c r="W337" s="92">
        <v>0</v>
      </c>
      <c r="X337" s="92">
        <v>0</v>
      </c>
      <c r="Y337" s="92">
        <v>0</v>
      </c>
      <c r="Z337" s="92">
        <v>0</v>
      </c>
      <c r="AA337" s="92">
        <v>0</v>
      </c>
      <c r="AB337" s="92">
        <v>97025</v>
      </c>
      <c r="AC337" s="92">
        <v>99960</v>
      </c>
      <c r="AD337" s="92">
        <v>102983</v>
      </c>
      <c r="AE337" s="92">
        <v>0</v>
      </c>
      <c r="AF337" s="92">
        <v>0</v>
      </c>
      <c r="AG337" s="92">
        <v>0</v>
      </c>
    </row>
    <row r="338" spans="1:33" x14ac:dyDescent="0.25">
      <c r="A338" t="str">
        <f t="shared" si="8"/>
        <v>1-3-203</v>
      </c>
      <c r="B338">
        <v>1</v>
      </c>
      <c r="C338" s="92" t="s">
        <v>1016</v>
      </c>
      <c r="D338" s="92">
        <v>3</v>
      </c>
      <c r="E338" s="92" t="s">
        <v>67</v>
      </c>
      <c r="F338" s="92">
        <v>203</v>
      </c>
      <c r="G338" s="92" t="s">
        <v>225</v>
      </c>
      <c r="H338" s="92"/>
      <c r="I338" s="92">
        <v>641236</v>
      </c>
      <c r="J338" s="92">
        <v>23126812</v>
      </c>
      <c r="K338" s="92">
        <v>1</v>
      </c>
      <c r="L338" s="92">
        <v>434</v>
      </c>
      <c r="M338" s="92">
        <v>3556</v>
      </c>
      <c r="N338" s="92">
        <v>464</v>
      </c>
      <c r="O338" s="92">
        <v>465</v>
      </c>
      <c r="P338" s="92">
        <v>0</v>
      </c>
      <c r="Q338" s="92">
        <v>0</v>
      </c>
      <c r="R338" s="92">
        <v>0</v>
      </c>
      <c r="S338" s="92">
        <v>0</v>
      </c>
      <c r="T338" s="92">
        <v>0</v>
      </c>
      <c r="U338" s="92">
        <v>0</v>
      </c>
      <c r="V338" s="92">
        <v>0</v>
      </c>
      <c r="W338" s="92">
        <v>0</v>
      </c>
      <c r="X338" s="92">
        <v>0</v>
      </c>
      <c r="Y338" s="92">
        <v>0</v>
      </c>
      <c r="Z338" s="92">
        <v>0</v>
      </c>
      <c r="AA338" s="92">
        <v>0</v>
      </c>
      <c r="AB338" s="92">
        <v>1864883</v>
      </c>
      <c r="AC338" s="92">
        <v>2014430</v>
      </c>
      <c r="AD338" s="92">
        <v>2197744</v>
      </c>
      <c r="AE338" s="92">
        <v>0</v>
      </c>
      <c r="AF338" s="92">
        <v>0</v>
      </c>
      <c r="AG338" s="92">
        <v>0</v>
      </c>
    </row>
    <row r="339" spans="1:33" x14ac:dyDescent="0.25">
      <c r="A339" t="str">
        <f t="shared" si="8"/>
        <v>14-3-203</v>
      </c>
      <c r="B339">
        <v>14</v>
      </c>
      <c r="C339" s="92" t="s">
        <v>1027</v>
      </c>
      <c r="D339" s="92">
        <v>3</v>
      </c>
      <c r="E339" s="92" t="s">
        <v>67</v>
      </c>
      <c r="F339" s="92">
        <v>203</v>
      </c>
      <c r="G339" s="92" t="s">
        <v>225</v>
      </c>
      <c r="H339" s="92"/>
      <c r="I339" s="92">
        <v>641236</v>
      </c>
      <c r="J339" s="92">
        <v>843105</v>
      </c>
      <c r="K339" s="92">
        <v>1</v>
      </c>
      <c r="L339" s="92">
        <v>434</v>
      </c>
      <c r="M339" s="92">
        <v>3556</v>
      </c>
      <c r="N339" s="92">
        <v>464</v>
      </c>
      <c r="O339" s="92">
        <v>465</v>
      </c>
      <c r="P339" s="92">
        <v>0</v>
      </c>
      <c r="Q339" s="92">
        <v>0</v>
      </c>
      <c r="R339" s="92">
        <v>0</v>
      </c>
      <c r="S339" s="92">
        <v>0</v>
      </c>
      <c r="T339" s="92">
        <v>0</v>
      </c>
      <c r="U339" s="92">
        <v>0</v>
      </c>
      <c r="V339" s="92">
        <v>0</v>
      </c>
      <c r="W339" s="92">
        <v>0</v>
      </c>
      <c r="X339" s="92">
        <v>0</v>
      </c>
      <c r="Y339" s="92">
        <v>0</v>
      </c>
      <c r="Z339" s="92">
        <v>0</v>
      </c>
      <c r="AA339" s="92">
        <v>0</v>
      </c>
      <c r="AB339" s="92">
        <v>1864883</v>
      </c>
      <c r="AC339" s="92">
        <v>2014430</v>
      </c>
      <c r="AD339" s="92">
        <v>2197744</v>
      </c>
      <c r="AE339" s="92">
        <v>0</v>
      </c>
      <c r="AF339" s="92">
        <v>0</v>
      </c>
      <c r="AG339" s="92">
        <v>0</v>
      </c>
    </row>
    <row r="340" spans="1:33" x14ac:dyDescent="0.25">
      <c r="A340" t="str">
        <f t="shared" si="8"/>
        <v>25-3-178</v>
      </c>
      <c r="B340">
        <v>25</v>
      </c>
      <c r="C340" s="92" t="s">
        <v>1038</v>
      </c>
      <c r="D340" s="92">
        <v>3</v>
      </c>
      <c r="E340" s="92" t="s">
        <v>67</v>
      </c>
      <c r="F340" s="92">
        <v>178</v>
      </c>
      <c r="G340" s="92" t="s">
        <v>367</v>
      </c>
      <c r="H340" s="92"/>
      <c r="I340" s="92">
        <v>148</v>
      </c>
      <c r="J340" s="92">
        <v>561164</v>
      </c>
      <c r="K340" s="92" t="s">
        <v>1061</v>
      </c>
      <c r="L340" s="92">
        <v>0</v>
      </c>
      <c r="M340" s="92">
        <v>394</v>
      </c>
      <c r="N340" s="92">
        <v>3</v>
      </c>
      <c r="O340" s="92">
        <v>3</v>
      </c>
      <c r="P340" s="92">
        <v>0</v>
      </c>
      <c r="Q340" s="92">
        <v>0</v>
      </c>
      <c r="R340" s="92">
        <v>0</v>
      </c>
      <c r="S340" s="92">
        <v>0</v>
      </c>
      <c r="T340" s="92">
        <v>0</v>
      </c>
      <c r="U340" s="92">
        <v>0</v>
      </c>
      <c r="V340" s="92">
        <v>0</v>
      </c>
      <c r="W340" s="92">
        <v>0</v>
      </c>
      <c r="X340" s="92">
        <v>0</v>
      </c>
      <c r="Y340" s="92">
        <v>0</v>
      </c>
      <c r="Z340" s="92">
        <v>0</v>
      </c>
      <c r="AA340" s="92">
        <v>0</v>
      </c>
      <c r="AB340" s="92">
        <v>24425</v>
      </c>
      <c r="AC340" s="92">
        <v>24425</v>
      </c>
      <c r="AD340" s="92">
        <v>24425</v>
      </c>
      <c r="AE340" s="92">
        <v>0</v>
      </c>
      <c r="AF340" s="92">
        <v>0</v>
      </c>
      <c r="AG340" s="92">
        <v>0</v>
      </c>
    </row>
    <row r="341" spans="1:33" x14ac:dyDescent="0.25">
      <c r="A341" t="str">
        <f t="shared" ref="A341:A403" si="9">B341&amp;"-"&amp;D341&amp;"-"&amp;F341</f>
        <v>33-3-179</v>
      </c>
      <c r="B341">
        <v>33</v>
      </c>
      <c r="C341" s="92" t="s">
        <v>1046</v>
      </c>
      <c r="D341" s="92">
        <v>3</v>
      </c>
      <c r="E341" s="92" t="s">
        <v>67</v>
      </c>
      <c r="F341" s="92">
        <v>179</v>
      </c>
      <c r="G341" s="92" t="s">
        <v>479</v>
      </c>
      <c r="H341" s="92"/>
      <c r="I341" s="92">
        <v>32929</v>
      </c>
      <c r="J341" s="92">
        <v>2076330</v>
      </c>
      <c r="K341" s="92" t="s">
        <v>1061</v>
      </c>
      <c r="L341" s="92">
        <v>0</v>
      </c>
      <c r="M341" s="92">
        <v>1601</v>
      </c>
      <c r="N341" s="92">
        <v>556</v>
      </c>
      <c r="O341" s="92">
        <v>631</v>
      </c>
      <c r="P341" s="92">
        <v>0</v>
      </c>
      <c r="Q341" s="92">
        <v>0</v>
      </c>
      <c r="R341" s="92">
        <v>0</v>
      </c>
      <c r="S341" s="92">
        <v>0</v>
      </c>
      <c r="T341" s="92">
        <v>0</v>
      </c>
      <c r="U341" s="92">
        <v>0</v>
      </c>
      <c r="V341" s="92">
        <v>0</v>
      </c>
      <c r="W341" s="92">
        <v>0</v>
      </c>
      <c r="X341" s="92">
        <v>0</v>
      </c>
      <c r="Y341" s="92">
        <v>0</v>
      </c>
      <c r="Z341" s="92">
        <v>0</v>
      </c>
      <c r="AA341" s="92">
        <v>0</v>
      </c>
      <c r="AB341" s="92">
        <v>225855</v>
      </c>
      <c r="AC341" s="92">
        <v>238650</v>
      </c>
      <c r="AD341" s="92">
        <v>257840</v>
      </c>
      <c r="AE341" s="92">
        <v>0</v>
      </c>
      <c r="AF341" s="92">
        <v>0</v>
      </c>
      <c r="AG341" s="92">
        <v>0</v>
      </c>
    </row>
    <row r="342" spans="1:33" x14ac:dyDescent="0.25">
      <c r="A342" t="str">
        <f t="shared" si="9"/>
        <v>7-3-180</v>
      </c>
      <c r="B342">
        <v>7</v>
      </c>
      <c r="C342" s="92" t="s">
        <v>1057</v>
      </c>
      <c r="D342" s="92">
        <v>3</v>
      </c>
      <c r="E342" s="92" t="s">
        <v>67</v>
      </c>
      <c r="F342" s="92">
        <v>180</v>
      </c>
      <c r="G342" s="92" t="s">
        <v>159</v>
      </c>
      <c r="H342" s="92"/>
      <c r="I342" s="92">
        <v>1338810</v>
      </c>
      <c r="J342" s="92">
        <v>5339242</v>
      </c>
      <c r="K342" s="92" t="s">
        <v>1061</v>
      </c>
      <c r="L342" s="92">
        <v>0</v>
      </c>
      <c r="M342" s="92">
        <v>1267</v>
      </c>
      <c r="N342" s="92">
        <v>214</v>
      </c>
      <c r="O342" s="92">
        <v>214</v>
      </c>
      <c r="P342" s="92">
        <v>0</v>
      </c>
      <c r="Q342" s="92">
        <v>0</v>
      </c>
      <c r="R342" s="92">
        <v>0</v>
      </c>
      <c r="S342" s="92">
        <v>0</v>
      </c>
      <c r="T342" s="92">
        <v>0</v>
      </c>
      <c r="U342" s="92">
        <v>0</v>
      </c>
      <c r="V342" s="92">
        <v>0</v>
      </c>
      <c r="W342" s="92">
        <v>0</v>
      </c>
      <c r="X342" s="92">
        <v>0</v>
      </c>
      <c r="Y342" s="92">
        <v>0</v>
      </c>
      <c r="Z342" s="92">
        <v>0</v>
      </c>
      <c r="AA342" s="92">
        <v>0</v>
      </c>
      <c r="AB342" s="92">
        <v>2773932</v>
      </c>
      <c r="AC342" s="92">
        <v>2773932</v>
      </c>
      <c r="AD342" s="92">
        <v>2817907</v>
      </c>
      <c r="AE342" s="92">
        <v>0</v>
      </c>
      <c r="AF342" s="92">
        <v>0</v>
      </c>
      <c r="AG342" s="92">
        <v>0</v>
      </c>
    </row>
    <row r="343" spans="1:33" x14ac:dyDescent="0.25">
      <c r="A343" t="str">
        <f t="shared" si="9"/>
        <v>10-3-181</v>
      </c>
      <c r="B343">
        <v>10</v>
      </c>
      <c r="C343" s="92" t="s">
        <v>1023</v>
      </c>
      <c r="D343" s="92">
        <v>3</v>
      </c>
      <c r="E343" s="92" t="s">
        <v>67</v>
      </c>
      <c r="F343" s="92">
        <v>181</v>
      </c>
      <c r="G343" s="92" t="s">
        <v>198</v>
      </c>
      <c r="H343" s="92"/>
      <c r="I343" s="92">
        <v>0</v>
      </c>
      <c r="J343" s="92">
        <v>912342</v>
      </c>
      <c r="K343" s="92" t="s">
        <v>1061</v>
      </c>
      <c r="L343" s="92">
        <v>0</v>
      </c>
      <c r="M343" s="92">
        <v>0</v>
      </c>
      <c r="N343" s="92">
        <v>53</v>
      </c>
      <c r="O343" s="92">
        <v>53</v>
      </c>
      <c r="P343" s="92">
        <v>0</v>
      </c>
      <c r="Q343" s="92">
        <v>0</v>
      </c>
      <c r="R343" s="92">
        <v>0</v>
      </c>
      <c r="S343" s="92">
        <v>0</v>
      </c>
      <c r="T343" s="92">
        <v>0</v>
      </c>
      <c r="U343" s="92">
        <v>0</v>
      </c>
      <c r="V343" s="92">
        <v>0</v>
      </c>
      <c r="W343" s="92">
        <v>0</v>
      </c>
      <c r="X343" s="92">
        <v>0</v>
      </c>
      <c r="Y343" s="92">
        <v>0</v>
      </c>
      <c r="Z343" s="92">
        <v>0</v>
      </c>
      <c r="AA343" s="92">
        <v>0</v>
      </c>
      <c r="AB343" s="92">
        <v>20523</v>
      </c>
      <c r="AC343" s="92">
        <v>21894</v>
      </c>
      <c r="AD343" s="92">
        <v>23128</v>
      </c>
      <c r="AE343" s="92">
        <v>0</v>
      </c>
      <c r="AF343" s="92">
        <v>0</v>
      </c>
      <c r="AG343" s="92">
        <v>0</v>
      </c>
    </row>
    <row r="344" spans="1:33" x14ac:dyDescent="0.25">
      <c r="A344" t="str">
        <f t="shared" si="9"/>
        <v>5-3-182</v>
      </c>
      <c r="B344">
        <v>5</v>
      </c>
      <c r="C344" s="92" t="s">
        <v>1019</v>
      </c>
      <c r="D344" s="92">
        <v>3</v>
      </c>
      <c r="E344" s="92" t="s">
        <v>67</v>
      </c>
      <c r="F344" s="92">
        <v>182</v>
      </c>
      <c r="G344" s="92" t="s">
        <v>132</v>
      </c>
      <c r="H344" s="92"/>
      <c r="I344" s="92">
        <v>434</v>
      </c>
      <c r="J344" s="92">
        <v>0</v>
      </c>
      <c r="K344" s="92" t="s">
        <v>1061</v>
      </c>
      <c r="L344" s="92">
        <v>188</v>
      </c>
      <c r="M344" s="92">
        <v>349</v>
      </c>
      <c r="N344" s="92">
        <v>0</v>
      </c>
      <c r="O344" s="92">
        <v>0</v>
      </c>
      <c r="P344" s="92">
        <v>0</v>
      </c>
      <c r="Q344" s="92">
        <v>0</v>
      </c>
      <c r="R344" s="92">
        <v>0</v>
      </c>
      <c r="S344" s="92">
        <v>0</v>
      </c>
      <c r="T344" s="92">
        <v>0</v>
      </c>
      <c r="U344" s="92">
        <v>0</v>
      </c>
      <c r="V344" s="92">
        <v>0</v>
      </c>
      <c r="W344" s="92">
        <v>0</v>
      </c>
      <c r="X344" s="92">
        <v>0</v>
      </c>
      <c r="Y344" s="92">
        <v>0</v>
      </c>
      <c r="Z344" s="92">
        <v>0</v>
      </c>
      <c r="AA344" s="92">
        <v>0</v>
      </c>
      <c r="AB344" s="92">
        <v>14295</v>
      </c>
      <c r="AC344" s="92">
        <v>15482</v>
      </c>
      <c r="AD344" s="92">
        <v>15482</v>
      </c>
      <c r="AE344" s="92">
        <v>0</v>
      </c>
      <c r="AF344" s="92">
        <v>0</v>
      </c>
      <c r="AG344" s="92">
        <v>0</v>
      </c>
    </row>
    <row r="345" spans="1:33" x14ac:dyDescent="0.25">
      <c r="A345" t="str">
        <f t="shared" si="9"/>
        <v>22-3-183</v>
      </c>
      <c r="B345">
        <v>22</v>
      </c>
      <c r="C345" s="92" t="s">
        <v>1035</v>
      </c>
      <c r="D345" s="92">
        <v>3</v>
      </c>
      <c r="E345" s="92" t="s">
        <v>67</v>
      </c>
      <c r="F345" s="92">
        <v>183</v>
      </c>
      <c r="G345" s="92" t="s">
        <v>337</v>
      </c>
      <c r="H345" s="92"/>
      <c r="I345" s="92">
        <v>0</v>
      </c>
      <c r="J345" s="92">
        <v>312580</v>
      </c>
      <c r="K345" s="92" t="s">
        <v>1061</v>
      </c>
      <c r="L345" s="92">
        <v>31</v>
      </c>
      <c r="M345" s="92">
        <v>90</v>
      </c>
      <c r="N345" s="92">
        <v>18</v>
      </c>
      <c r="O345" s="92">
        <v>22</v>
      </c>
      <c r="P345" s="92">
        <v>0</v>
      </c>
      <c r="Q345" s="92">
        <v>0</v>
      </c>
      <c r="R345" s="92">
        <v>0</v>
      </c>
      <c r="S345" s="92">
        <v>0</v>
      </c>
      <c r="T345" s="92">
        <v>0</v>
      </c>
      <c r="U345" s="92">
        <v>0</v>
      </c>
      <c r="V345" s="92">
        <v>0</v>
      </c>
      <c r="W345" s="92">
        <v>0</v>
      </c>
      <c r="X345" s="92">
        <v>0</v>
      </c>
      <c r="Y345" s="92">
        <v>0</v>
      </c>
      <c r="Z345" s="92">
        <v>0</v>
      </c>
      <c r="AA345" s="92">
        <v>0</v>
      </c>
      <c r="AB345" s="92">
        <v>27721</v>
      </c>
      <c r="AC345" s="92">
        <v>28713</v>
      </c>
      <c r="AD345" s="92">
        <v>29592</v>
      </c>
      <c r="AE345" s="92">
        <v>0</v>
      </c>
      <c r="AF345" s="92">
        <v>0</v>
      </c>
      <c r="AG345" s="92">
        <v>0</v>
      </c>
    </row>
    <row r="346" spans="1:33" x14ac:dyDescent="0.25">
      <c r="A346" t="str">
        <f t="shared" si="9"/>
        <v>41-3-184</v>
      </c>
      <c r="B346">
        <v>41</v>
      </c>
      <c r="C346" s="92" t="s">
        <v>1052</v>
      </c>
      <c r="D346" s="92">
        <v>3</v>
      </c>
      <c r="E346" s="92" t="s">
        <v>67</v>
      </c>
      <c r="F346" s="92">
        <v>184</v>
      </c>
      <c r="G346" s="92" t="s">
        <v>544</v>
      </c>
      <c r="H346" s="92"/>
      <c r="I346" s="92">
        <v>0</v>
      </c>
      <c r="J346" s="92">
        <v>187394</v>
      </c>
      <c r="K346" s="92" t="s">
        <v>1061</v>
      </c>
      <c r="L346" s="92">
        <v>198</v>
      </c>
      <c r="M346" s="92">
        <v>529</v>
      </c>
      <c r="N346" s="92">
        <v>0</v>
      </c>
      <c r="O346" s="92">
        <v>0</v>
      </c>
      <c r="P346" s="92">
        <v>0</v>
      </c>
      <c r="Q346" s="92">
        <v>0</v>
      </c>
      <c r="R346" s="92">
        <v>0</v>
      </c>
      <c r="S346" s="92">
        <v>0</v>
      </c>
      <c r="T346" s="92">
        <v>0</v>
      </c>
      <c r="U346" s="92">
        <v>0</v>
      </c>
      <c r="V346" s="92">
        <v>0</v>
      </c>
      <c r="W346" s="92">
        <v>0</v>
      </c>
      <c r="X346" s="92">
        <v>0</v>
      </c>
      <c r="Y346" s="92">
        <v>0</v>
      </c>
      <c r="Z346" s="92">
        <v>0</v>
      </c>
      <c r="AA346" s="92">
        <v>0</v>
      </c>
      <c r="AB346" s="92">
        <v>34914</v>
      </c>
      <c r="AC346" s="92">
        <v>37007</v>
      </c>
      <c r="AD346" s="92">
        <v>40026</v>
      </c>
      <c r="AE346" s="92">
        <v>0</v>
      </c>
      <c r="AF346" s="92">
        <v>0</v>
      </c>
      <c r="AG346" s="92">
        <v>0</v>
      </c>
    </row>
    <row r="347" spans="1:33" x14ac:dyDescent="0.25">
      <c r="A347" t="str">
        <f t="shared" si="9"/>
        <v>29-3-185</v>
      </c>
      <c r="B347">
        <v>29</v>
      </c>
      <c r="C347" s="92" t="s">
        <v>1042</v>
      </c>
      <c r="D347" s="92">
        <v>3</v>
      </c>
      <c r="E347" s="92" t="s">
        <v>67</v>
      </c>
      <c r="F347" s="92">
        <v>185</v>
      </c>
      <c r="G347" s="92" t="s">
        <v>441</v>
      </c>
      <c r="H347" s="92"/>
      <c r="I347" s="92">
        <v>1582</v>
      </c>
      <c r="J347" s="92">
        <v>3466668</v>
      </c>
      <c r="K347" s="92" t="s">
        <v>1061</v>
      </c>
      <c r="L347" s="92">
        <v>109</v>
      </c>
      <c r="M347" s="92">
        <v>3642</v>
      </c>
      <c r="N347" s="92">
        <v>1820</v>
      </c>
      <c r="O347" s="92">
        <v>2033</v>
      </c>
      <c r="P347" s="92">
        <v>0</v>
      </c>
      <c r="Q347" s="92">
        <v>0</v>
      </c>
      <c r="R347" s="92">
        <v>0</v>
      </c>
      <c r="S347" s="92">
        <v>116.22</v>
      </c>
      <c r="T347" s="92">
        <v>0</v>
      </c>
      <c r="U347" s="92">
        <v>0</v>
      </c>
      <c r="V347" s="92">
        <v>0</v>
      </c>
      <c r="W347" s="92">
        <v>0</v>
      </c>
      <c r="X347" s="92">
        <v>0</v>
      </c>
      <c r="Y347" s="92">
        <v>0</v>
      </c>
      <c r="Z347" s="92">
        <v>0</v>
      </c>
      <c r="AA347" s="92">
        <v>0</v>
      </c>
      <c r="AB347" s="92">
        <v>251434</v>
      </c>
      <c r="AC347" s="92">
        <v>259264</v>
      </c>
      <c r="AD347" s="92">
        <v>267042</v>
      </c>
      <c r="AE347" s="92">
        <v>0</v>
      </c>
      <c r="AF347" s="92">
        <v>0</v>
      </c>
      <c r="AG347" s="92">
        <v>0</v>
      </c>
    </row>
    <row r="348" spans="1:33" x14ac:dyDescent="0.25">
      <c r="A348" t="str">
        <f t="shared" si="9"/>
        <v>42-3-186</v>
      </c>
      <c r="B348">
        <v>42</v>
      </c>
      <c r="C348" s="92" t="s">
        <v>1196</v>
      </c>
      <c r="D348" s="92">
        <v>3</v>
      </c>
      <c r="E348" s="92" t="s">
        <v>67</v>
      </c>
      <c r="F348" s="92">
        <v>186</v>
      </c>
      <c r="G348" s="92" t="s">
        <v>558</v>
      </c>
      <c r="H348" s="92"/>
      <c r="I348" s="92">
        <v>671491</v>
      </c>
      <c r="J348" s="92">
        <v>51449543</v>
      </c>
      <c r="K348" s="92" t="s">
        <v>1061</v>
      </c>
      <c r="L348" s="92">
        <v>1073</v>
      </c>
      <c r="M348" s="92">
        <v>294689</v>
      </c>
      <c r="N348" s="92">
        <v>77807</v>
      </c>
      <c r="O348" s="92">
        <v>81842</v>
      </c>
      <c r="P348" s="92">
        <v>0</v>
      </c>
      <c r="Q348" s="92">
        <v>0</v>
      </c>
      <c r="R348" s="92">
        <v>0</v>
      </c>
      <c r="S348" s="92">
        <v>2602</v>
      </c>
      <c r="T348" s="92">
        <v>2172</v>
      </c>
      <c r="U348" s="92">
        <v>9368</v>
      </c>
      <c r="V348" s="92">
        <v>0</v>
      </c>
      <c r="W348" s="92">
        <v>12389</v>
      </c>
      <c r="X348" s="92">
        <v>0</v>
      </c>
      <c r="Y348" s="92">
        <v>0</v>
      </c>
      <c r="Z348" s="92">
        <v>0</v>
      </c>
      <c r="AA348" s="92">
        <v>0</v>
      </c>
      <c r="AB348" s="92">
        <v>29039522</v>
      </c>
      <c r="AC348" s="92">
        <v>30678547</v>
      </c>
      <c r="AD348" s="92">
        <v>32436008</v>
      </c>
      <c r="AE348" s="92">
        <v>0</v>
      </c>
      <c r="AF348" s="92">
        <v>0</v>
      </c>
      <c r="AG348" s="92">
        <v>0</v>
      </c>
    </row>
    <row r="349" spans="1:33" x14ac:dyDescent="0.25">
      <c r="A349" t="str">
        <f t="shared" si="9"/>
        <v>10-3-187</v>
      </c>
      <c r="B349">
        <v>10</v>
      </c>
      <c r="C349" s="92" t="s">
        <v>1023</v>
      </c>
      <c r="D349" s="92">
        <v>3</v>
      </c>
      <c r="E349" s="92" t="s">
        <v>67</v>
      </c>
      <c r="F349" s="92">
        <v>187</v>
      </c>
      <c r="G349" s="92" t="s">
        <v>199</v>
      </c>
      <c r="H349" s="92"/>
      <c r="I349" s="92">
        <v>28418</v>
      </c>
      <c r="J349" s="92">
        <v>949557</v>
      </c>
      <c r="K349" s="92" t="s">
        <v>1061</v>
      </c>
      <c r="L349" s="92">
        <v>28</v>
      </c>
      <c r="M349" s="92">
        <v>1235</v>
      </c>
      <c r="N349" s="92">
        <v>229</v>
      </c>
      <c r="O349" s="92">
        <v>229</v>
      </c>
      <c r="P349" s="92">
        <v>0</v>
      </c>
      <c r="Q349" s="92">
        <v>0</v>
      </c>
      <c r="R349" s="92">
        <v>0</v>
      </c>
      <c r="S349" s="92">
        <v>0</v>
      </c>
      <c r="T349" s="92">
        <v>0</v>
      </c>
      <c r="U349" s="92">
        <v>0</v>
      </c>
      <c r="V349" s="92">
        <v>0</v>
      </c>
      <c r="W349" s="92">
        <v>0</v>
      </c>
      <c r="X349" s="92">
        <v>0</v>
      </c>
      <c r="Y349" s="92">
        <v>0</v>
      </c>
      <c r="Z349" s="92">
        <v>0</v>
      </c>
      <c r="AA349" s="92">
        <v>0</v>
      </c>
      <c r="AB349" s="92">
        <v>96400</v>
      </c>
      <c r="AC349" s="92">
        <v>96400</v>
      </c>
      <c r="AD349" s="92">
        <v>102640</v>
      </c>
      <c r="AE349" s="92">
        <v>0</v>
      </c>
      <c r="AF349" s="92">
        <v>0</v>
      </c>
      <c r="AG349" s="92">
        <v>0</v>
      </c>
    </row>
    <row r="350" spans="1:33" x14ac:dyDescent="0.25">
      <c r="A350" t="str">
        <f t="shared" si="9"/>
        <v>41-3-188</v>
      </c>
      <c r="B350">
        <v>41</v>
      </c>
      <c r="C350" s="92" t="s">
        <v>1052</v>
      </c>
      <c r="D350" s="92">
        <v>3</v>
      </c>
      <c r="E350" s="92" t="s">
        <v>67</v>
      </c>
      <c r="F350" s="92">
        <v>188</v>
      </c>
      <c r="G350" s="92" t="s">
        <v>545</v>
      </c>
      <c r="H350" s="92"/>
      <c r="I350" s="92">
        <v>0</v>
      </c>
      <c r="J350" s="92">
        <v>758101</v>
      </c>
      <c r="K350" s="92" t="s">
        <v>1061</v>
      </c>
      <c r="L350" s="92">
        <v>87</v>
      </c>
      <c r="M350" s="92">
        <v>4695</v>
      </c>
      <c r="N350" s="92">
        <v>415</v>
      </c>
      <c r="O350" s="92">
        <v>431</v>
      </c>
      <c r="P350" s="92">
        <v>0</v>
      </c>
      <c r="Q350" s="92">
        <v>0</v>
      </c>
      <c r="R350" s="92">
        <v>0</v>
      </c>
      <c r="S350" s="92">
        <v>0</v>
      </c>
      <c r="T350" s="92">
        <v>0</v>
      </c>
      <c r="U350" s="92">
        <v>0</v>
      </c>
      <c r="V350" s="92">
        <v>0</v>
      </c>
      <c r="W350" s="92">
        <v>0</v>
      </c>
      <c r="X350" s="92">
        <v>0</v>
      </c>
      <c r="Y350" s="92">
        <v>0</v>
      </c>
      <c r="Z350" s="92">
        <v>0</v>
      </c>
      <c r="AA350" s="92">
        <v>0</v>
      </c>
      <c r="AB350" s="92">
        <v>564639</v>
      </c>
      <c r="AC350" s="92">
        <v>600930</v>
      </c>
      <c r="AD350" s="92">
        <v>640458</v>
      </c>
      <c r="AE350" s="92">
        <v>0</v>
      </c>
      <c r="AF350" s="92">
        <v>0</v>
      </c>
      <c r="AG350" s="92">
        <v>0</v>
      </c>
    </row>
    <row r="351" spans="1:33" x14ac:dyDescent="0.25">
      <c r="A351" t="str">
        <f t="shared" si="9"/>
        <v>40-3-189</v>
      </c>
      <c r="B351">
        <v>40</v>
      </c>
      <c r="C351" s="92" t="s">
        <v>1051</v>
      </c>
      <c r="D351" s="92">
        <v>3</v>
      </c>
      <c r="E351" s="92" t="s">
        <v>67</v>
      </c>
      <c r="F351" s="92">
        <v>189</v>
      </c>
      <c r="G351" s="92" t="s">
        <v>537</v>
      </c>
      <c r="H351" s="92"/>
      <c r="I351" s="92">
        <v>2958</v>
      </c>
      <c r="J351" s="92">
        <v>1374019</v>
      </c>
      <c r="K351" s="92" t="s">
        <v>1061</v>
      </c>
      <c r="L351" s="92">
        <v>0</v>
      </c>
      <c r="M351" s="92">
        <v>13331</v>
      </c>
      <c r="N351" s="92">
        <v>516</v>
      </c>
      <c r="O351" s="92">
        <v>516</v>
      </c>
      <c r="P351" s="92">
        <v>0</v>
      </c>
      <c r="Q351" s="92">
        <v>0</v>
      </c>
      <c r="R351" s="92">
        <v>0</v>
      </c>
      <c r="S351" s="92">
        <v>0</v>
      </c>
      <c r="T351" s="92">
        <v>0</v>
      </c>
      <c r="U351" s="92">
        <v>0</v>
      </c>
      <c r="V351" s="92">
        <v>0</v>
      </c>
      <c r="W351" s="92">
        <v>0</v>
      </c>
      <c r="X351" s="92">
        <v>0</v>
      </c>
      <c r="Y351" s="92">
        <v>0</v>
      </c>
      <c r="Z351" s="92">
        <v>0</v>
      </c>
      <c r="AA351" s="92">
        <v>0</v>
      </c>
      <c r="AB351" s="92">
        <v>513798</v>
      </c>
      <c r="AC351" s="92">
        <v>529677</v>
      </c>
      <c r="AD351" s="92">
        <v>548312</v>
      </c>
      <c r="AE351" s="92">
        <v>0</v>
      </c>
      <c r="AF351" s="92">
        <v>0</v>
      </c>
      <c r="AG351" s="92">
        <v>0</v>
      </c>
    </row>
    <row r="352" spans="1:33" x14ac:dyDescent="0.25">
      <c r="A352" t="str">
        <f t="shared" si="9"/>
        <v>40-3-190</v>
      </c>
      <c r="B352">
        <v>40</v>
      </c>
      <c r="C352" s="92" t="s">
        <v>1051</v>
      </c>
      <c r="D352" s="92">
        <v>3</v>
      </c>
      <c r="E352" s="92" t="s">
        <v>67</v>
      </c>
      <c r="F352" s="92">
        <v>190</v>
      </c>
      <c r="G352" s="92" t="s">
        <v>538</v>
      </c>
      <c r="H352" s="92"/>
      <c r="I352" s="92">
        <v>0</v>
      </c>
      <c r="J352" s="92">
        <v>638724</v>
      </c>
      <c r="K352" s="92" t="s">
        <v>1061</v>
      </c>
      <c r="L352" s="92">
        <v>0</v>
      </c>
      <c r="M352" s="92">
        <v>18</v>
      </c>
      <c r="N352" s="92">
        <v>3</v>
      </c>
      <c r="O352" s="92">
        <v>3</v>
      </c>
      <c r="P352" s="92">
        <v>0</v>
      </c>
      <c r="Q352" s="92">
        <v>0</v>
      </c>
      <c r="R352" s="92">
        <v>0</v>
      </c>
      <c r="S352" s="92">
        <v>0</v>
      </c>
      <c r="T352" s="92">
        <v>0</v>
      </c>
      <c r="U352" s="92">
        <v>0</v>
      </c>
      <c r="V352" s="92">
        <v>0</v>
      </c>
      <c r="W352" s="92">
        <v>0</v>
      </c>
      <c r="X352" s="92">
        <v>0</v>
      </c>
      <c r="Y352" s="92">
        <v>0</v>
      </c>
      <c r="Z352" s="92">
        <v>0</v>
      </c>
      <c r="AA352" s="92">
        <v>0</v>
      </c>
      <c r="AB352" s="92">
        <v>73378</v>
      </c>
      <c r="AC352" s="92">
        <v>75605</v>
      </c>
      <c r="AD352" s="92">
        <v>78217</v>
      </c>
      <c r="AE352" s="92">
        <v>0</v>
      </c>
      <c r="AF352" s="92">
        <v>0</v>
      </c>
      <c r="AG352" s="92">
        <v>0</v>
      </c>
    </row>
    <row r="353" spans="1:35" x14ac:dyDescent="0.25">
      <c r="A353" t="str">
        <f t="shared" si="9"/>
        <v>18-3-192</v>
      </c>
      <c r="B353">
        <v>18</v>
      </c>
      <c r="C353" s="92" t="s">
        <v>1031</v>
      </c>
      <c r="D353" s="92">
        <v>3</v>
      </c>
      <c r="E353" s="92" t="s">
        <v>67</v>
      </c>
      <c r="F353" s="92">
        <v>192</v>
      </c>
      <c r="G353" s="92" t="s">
        <v>288</v>
      </c>
      <c r="H353" s="92"/>
      <c r="I353" s="92">
        <v>548</v>
      </c>
      <c r="J353" s="92">
        <v>56523</v>
      </c>
      <c r="K353" s="92" t="s">
        <v>1061</v>
      </c>
      <c r="L353" s="92">
        <v>0</v>
      </c>
      <c r="M353" s="92">
        <v>3024</v>
      </c>
      <c r="N353" s="92">
        <v>662</v>
      </c>
      <c r="O353" s="92">
        <v>702</v>
      </c>
      <c r="P353" s="92">
        <v>0</v>
      </c>
      <c r="Q353" s="92">
        <v>0</v>
      </c>
      <c r="R353" s="92">
        <v>0</v>
      </c>
      <c r="S353" s="92">
        <v>0</v>
      </c>
      <c r="T353" s="92">
        <v>0</v>
      </c>
      <c r="U353" s="92">
        <v>0</v>
      </c>
      <c r="V353" s="92">
        <v>0</v>
      </c>
      <c r="W353" s="92">
        <v>0</v>
      </c>
      <c r="X353" s="92">
        <v>0</v>
      </c>
      <c r="Y353" s="92">
        <v>0</v>
      </c>
      <c r="Z353" s="92">
        <v>0</v>
      </c>
      <c r="AA353" s="92">
        <v>0</v>
      </c>
      <c r="AB353" s="92">
        <v>194448</v>
      </c>
      <c r="AC353" s="92">
        <v>200392</v>
      </c>
      <c r="AD353" s="92">
        <v>206477</v>
      </c>
      <c r="AE353" s="92">
        <v>0</v>
      </c>
      <c r="AF353" s="92">
        <v>0</v>
      </c>
      <c r="AG353" s="92">
        <v>0</v>
      </c>
    </row>
    <row r="354" spans="1:35" x14ac:dyDescent="0.25">
      <c r="A354" t="str">
        <f t="shared" si="9"/>
        <v>44-3-193</v>
      </c>
      <c r="B354">
        <v>44</v>
      </c>
      <c r="C354" s="92" t="s">
        <v>1054</v>
      </c>
      <c r="D354" s="92">
        <v>3</v>
      </c>
      <c r="E354" s="92" t="s">
        <v>67</v>
      </c>
      <c r="F354" s="92">
        <v>193</v>
      </c>
      <c r="G354" s="92" t="s">
        <v>577</v>
      </c>
      <c r="H354" s="92"/>
      <c r="I354" s="92">
        <v>14158</v>
      </c>
      <c r="J354" s="92">
        <v>6845965</v>
      </c>
      <c r="K354" s="92" t="s">
        <v>1061</v>
      </c>
      <c r="L354" s="92">
        <v>2351</v>
      </c>
      <c r="M354" s="92">
        <v>39314</v>
      </c>
      <c r="N354" s="92">
        <v>8445</v>
      </c>
      <c r="O354" s="92">
        <v>8875</v>
      </c>
      <c r="P354" s="92">
        <v>0</v>
      </c>
      <c r="Q354" s="92">
        <v>0</v>
      </c>
      <c r="R354" s="92">
        <v>0</v>
      </c>
      <c r="S354" s="92">
        <v>214.85</v>
      </c>
      <c r="T354" s="92">
        <v>386</v>
      </c>
      <c r="U354" s="92">
        <v>2799</v>
      </c>
      <c r="V354" s="92">
        <v>0</v>
      </c>
      <c r="W354" s="92">
        <v>0</v>
      </c>
      <c r="X354" s="92">
        <v>0</v>
      </c>
      <c r="Y354" s="92">
        <v>0</v>
      </c>
      <c r="Z354" s="92">
        <v>0</v>
      </c>
      <c r="AA354" s="92">
        <v>0</v>
      </c>
      <c r="AB354" s="92">
        <v>2033688</v>
      </c>
      <c r="AC354" s="92">
        <v>2131001</v>
      </c>
      <c r="AD354" s="92">
        <v>2308976</v>
      </c>
      <c r="AE354" s="92">
        <v>0</v>
      </c>
      <c r="AF354" s="92">
        <v>0</v>
      </c>
      <c r="AG354" s="92">
        <v>68802</v>
      </c>
    </row>
    <row r="355" spans="1:35" x14ac:dyDescent="0.25">
      <c r="A355" t="str">
        <f t="shared" si="9"/>
        <v>24-3-194</v>
      </c>
      <c r="B355">
        <v>24</v>
      </c>
      <c r="C355" s="92" t="s">
        <v>1037</v>
      </c>
      <c r="D355" s="92">
        <v>3</v>
      </c>
      <c r="E355" s="92" t="s">
        <v>67</v>
      </c>
      <c r="F355" s="92">
        <v>194</v>
      </c>
      <c r="G355" s="92" t="s">
        <v>348</v>
      </c>
      <c r="H355" s="92"/>
      <c r="I355" s="92">
        <v>0</v>
      </c>
      <c r="J355" s="92">
        <v>1768418</v>
      </c>
      <c r="K355" s="92" t="s">
        <v>1061</v>
      </c>
      <c r="L355" s="92">
        <v>2017</v>
      </c>
      <c r="M355" s="92">
        <v>12638</v>
      </c>
      <c r="N355" s="92">
        <v>1770</v>
      </c>
      <c r="O355" s="92">
        <v>1920</v>
      </c>
      <c r="P355" s="92">
        <v>0</v>
      </c>
      <c r="Q355" s="92">
        <v>0</v>
      </c>
      <c r="R355" s="92">
        <v>0</v>
      </c>
      <c r="S355" s="92">
        <v>0</v>
      </c>
      <c r="T355" s="92">
        <v>0</v>
      </c>
      <c r="U355" s="92">
        <v>0</v>
      </c>
      <c r="V355" s="92">
        <v>0</v>
      </c>
      <c r="W355" s="92">
        <v>0</v>
      </c>
      <c r="X355" s="92">
        <v>0</v>
      </c>
      <c r="Y355" s="92">
        <v>0</v>
      </c>
      <c r="Z355" s="92">
        <v>0</v>
      </c>
      <c r="AA355" s="92">
        <v>0</v>
      </c>
      <c r="AB355" s="92">
        <v>752342</v>
      </c>
      <c r="AC355" s="92">
        <v>787937</v>
      </c>
      <c r="AD355" s="92">
        <v>817640</v>
      </c>
      <c r="AE355" s="92">
        <v>0</v>
      </c>
      <c r="AF355" s="92">
        <v>0</v>
      </c>
      <c r="AG355" s="92">
        <v>0</v>
      </c>
    </row>
    <row r="356" spans="1:35" x14ac:dyDescent="0.25">
      <c r="A356" t="str">
        <f t="shared" si="9"/>
        <v>21-3-195</v>
      </c>
      <c r="B356">
        <v>21</v>
      </c>
      <c r="C356" s="92" t="s">
        <v>1034</v>
      </c>
      <c r="D356" s="92">
        <v>3</v>
      </c>
      <c r="E356" s="92" t="s">
        <v>67</v>
      </c>
      <c r="F356" s="92">
        <v>195</v>
      </c>
      <c r="G356" s="92" t="s">
        <v>318</v>
      </c>
      <c r="H356" s="92"/>
      <c r="I356" s="92">
        <v>1362</v>
      </c>
      <c r="J356" s="92">
        <v>4742622</v>
      </c>
      <c r="K356" s="92" t="s">
        <v>1061</v>
      </c>
      <c r="L356" s="92">
        <v>145</v>
      </c>
      <c r="M356" s="92">
        <v>467</v>
      </c>
      <c r="N356" s="92">
        <v>86</v>
      </c>
      <c r="O356" s="92">
        <v>98</v>
      </c>
      <c r="P356" s="92">
        <v>0</v>
      </c>
      <c r="Q356" s="92">
        <v>0</v>
      </c>
      <c r="R356" s="92">
        <v>0</v>
      </c>
      <c r="S356" s="92">
        <v>0</v>
      </c>
      <c r="T356" s="92">
        <v>0</v>
      </c>
      <c r="U356" s="92">
        <v>0</v>
      </c>
      <c r="V356" s="92">
        <v>0</v>
      </c>
      <c r="W356" s="92">
        <v>0</v>
      </c>
      <c r="X356" s="92">
        <v>0</v>
      </c>
      <c r="Y356" s="92">
        <v>0</v>
      </c>
      <c r="Z356" s="92">
        <v>0</v>
      </c>
      <c r="AA356" s="92">
        <v>0</v>
      </c>
      <c r="AB356" s="92">
        <v>60862</v>
      </c>
      <c r="AC356" s="92">
        <v>63843</v>
      </c>
      <c r="AD356" s="92">
        <v>67833</v>
      </c>
      <c r="AE356" s="92">
        <v>0</v>
      </c>
      <c r="AF356" s="92">
        <v>0</v>
      </c>
      <c r="AG356" s="92">
        <v>0</v>
      </c>
    </row>
    <row r="357" spans="1:35" x14ac:dyDescent="0.25">
      <c r="A357" t="str">
        <f t="shared" si="9"/>
        <v>25-3-196</v>
      </c>
      <c r="B357">
        <v>25</v>
      </c>
      <c r="C357" s="92" t="s">
        <v>1038</v>
      </c>
      <c r="D357" s="92">
        <v>3</v>
      </c>
      <c r="E357" s="92" t="s">
        <v>67</v>
      </c>
      <c r="F357" s="92">
        <v>196</v>
      </c>
      <c r="G357" s="92" t="s">
        <v>1320</v>
      </c>
      <c r="H357" s="92"/>
      <c r="I357" s="92">
        <v>1830</v>
      </c>
      <c r="J357" s="92">
        <v>71360</v>
      </c>
      <c r="K357" s="92" t="s">
        <v>1061</v>
      </c>
      <c r="L357" s="92">
        <v>0</v>
      </c>
      <c r="M357" s="92">
        <v>200</v>
      </c>
      <c r="N357" s="92">
        <v>0</v>
      </c>
      <c r="O357" s="92">
        <v>0</v>
      </c>
      <c r="P357" s="92">
        <v>0</v>
      </c>
      <c r="Q357" s="92">
        <v>0</v>
      </c>
      <c r="R357" s="92">
        <v>0</v>
      </c>
      <c r="S357" s="92">
        <v>0</v>
      </c>
      <c r="T357" s="92">
        <v>0</v>
      </c>
      <c r="U357" s="92">
        <v>0</v>
      </c>
      <c r="V357" s="92">
        <v>0</v>
      </c>
      <c r="W357" s="92">
        <v>0</v>
      </c>
      <c r="X357" s="92">
        <v>0</v>
      </c>
      <c r="Y357" s="92">
        <v>0</v>
      </c>
      <c r="Z357" s="92">
        <v>0</v>
      </c>
      <c r="AA357" s="92">
        <v>0</v>
      </c>
      <c r="AB357" s="92">
        <v>20385</v>
      </c>
      <c r="AC357" s="92">
        <v>21003</v>
      </c>
      <c r="AD357" s="92">
        <v>22337</v>
      </c>
      <c r="AE357" s="92">
        <v>0</v>
      </c>
      <c r="AF357" s="92">
        <v>0</v>
      </c>
      <c r="AG357" s="92">
        <v>0</v>
      </c>
    </row>
    <row r="358" spans="1:35" x14ac:dyDescent="0.25">
      <c r="A358" t="str">
        <f t="shared" si="9"/>
        <v>14-3-197</v>
      </c>
      <c r="B358">
        <v>14</v>
      </c>
      <c r="C358" s="92" t="s">
        <v>1027</v>
      </c>
      <c r="D358" s="92">
        <v>3</v>
      </c>
      <c r="E358" s="92" t="s">
        <v>67</v>
      </c>
      <c r="F358" s="92">
        <v>197</v>
      </c>
      <c r="G358" s="92" t="s">
        <v>226</v>
      </c>
      <c r="H358" s="92"/>
      <c r="I358" s="92">
        <v>0</v>
      </c>
      <c r="J358" s="92">
        <v>2056664</v>
      </c>
      <c r="K358" s="92" t="s">
        <v>1061</v>
      </c>
      <c r="L358" s="92">
        <v>599</v>
      </c>
      <c r="M358" s="92">
        <v>7970</v>
      </c>
      <c r="N358" s="92">
        <v>671</v>
      </c>
      <c r="O358" s="92">
        <v>738</v>
      </c>
      <c r="P358" s="92">
        <v>0</v>
      </c>
      <c r="Q358" s="92">
        <v>0</v>
      </c>
      <c r="R358" s="92">
        <v>0</v>
      </c>
      <c r="S358" s="92">
        <v>0</v>
      </c>
      <c r="T358" s="92">
        <v>0</v>
      </c>
      <c r="U358" s="92">
        <v>0</v>
      </c>
      <c r="V358" s="92">
        <v>0</v>
      </c>
      <c r="W358" s="92">
        <v>0</v>
      </c>
      <c r="X358" s="92">
        <v>0</v>
      </c>
      <c r="Y358" s="92">
        <v>0</v>
      </c>
      <c r="Z358" s="92">
        <v>0</v>
      </c>
      <c r="AA358" s="92">
        <v>0</v>
      </c>
      <c r="AB358" s="92">
        <v>423792</v>
      </c>
      <c r="AC358" s="92">
        <v>449217</v>
      </c>
      <c r="AD358" s="92">
        <v>474006</v>
      </c>
      <c r="AE358" s="92">
        <v>0</v>
      </c>
      <c r="AF358" s="92">
        <v>0</v>
      </c>
      <c r="AG358" s="92">
        <v>0</v>
      </c>
    </row>
    <row r="359" spans="1:35" x14ac:dyDescent="0.25">
      <c r="A359" t="str">
        <f t="shared" si="9"/>
        <v>31-3-198</v>
      </c>
      <c r="B359">
        <v>31</v>
      </c>
      <c r="C359" s="92" t="s">
        <v>1044</v>
      </c>
      <c r="D359" s="92">
        <v>3</v>
      </c>
      <c r="E359" s="92" t="s">
        <v>67</v>
      </c>
      <c r="F359" s="92">
        <v>198</v>
      </c>
      <c r="G359" s="92" t="s">
        <v>462</v>
      </c>
      <c r="H359" s="92"/>
      <c r="I359" s="92">
        <v>22100</v>
      </c>
      <c r="J359" s="92">
        <v>220978</v>
      </c>
      <c r="K359" s="92" t="s">
        <v>1061</v>
      </c>
      <c r="L359" s="92">
        <v>187</v>
      </c>
      <c r="M359" s="92">
        <v>1475</v>
      </c>
      <c r="N359" s="92">
        <v>10</v>
      </c>
      <c r="O359" s="92">
        <v>11</v>
      </c>
      <c r="P359" s="92">
        <v>0</v>
      </c>
      <c r="Q359" s="92">
        <v>0</v>
      </c>
      <c r="R359" s="92">
        <v>0</v>
      </c>
      <c r="S359" s="92">
        <v>0</v>
      </c>
      <c r="T359" s="92">
        <v>0</v>
      </c>
      <c r="U359" s="92">
        <v>0</v>
      </c>
      <c r="V359" s="92">
        <v>0</v>
      </c>
      <c r="W359" s="92">
        <v>0</v>
      </c>
      <c r="X359" s="92">
        <v>0</v>
      </c>
      <c r="Y359" s="92">
        <v>0</v>
      </c>
      <c r="Z359" s="92">
        <v>0</v>
      </c>
      <c r="AA359" s="92">
        <v>0</v>
      </c>
      <c r="AB359" s="92">
        <v>132707</v>
      </c>
      <c r="AC359" s="92">
        <v>137427</v>
      </c>
      <c r="AD359" s="92">
        <v>142247</v>
      </c>
      <c r="AE359" s="92">
        <v>0</v>
      </c>
      <c r="AF359" s="92">
        <v>0</v>
      </c>
      <c r="AG359" s="92">
        <v>0</v>
      </c>
    </row>
    <row r="360" spans="1:35" x14ac:dyDescent="0.25">
      <c r="A360" t="str">
        <f t="shared" si="9"/>
        <v>28-3-199</v>
      </c>
      <c r="B360">
        <v>28</v>
      </c>
      <c r="C360" s="92" t="s">
        <v>1041</v>
      </c>
      <c r="D360" s="92">
        <v>3</v>
      </c>
      <c r="E360" s="92" t="s">
        <v>67</v>
      </c>
      <c r="F360" s="92">
        <v>199</v>
      </c>
      <c r="G360" s="92" t="s">
        <v>417</v>
      </c>
      <c r="H360" s="92"/>
      <c r="I360" s="92">
        <v>0</v>
      </c>
      <c r="J360" s="92">
        <v>945970</v>
      </c>
      <c r="K360" s="92" t="s">
        <v>1061</v>
      </c>
      <c r="L360" s="92">
        <v>0</v>
      </c>
      <c r="M360" s="92">
        <v>212</v>
      </c>
      <c r="N360" s="92">
        <v>45</v>
      </c>
      <c r="O360" s="92">
        <v>48</v>
      </c>
      <c r="P360" s="92">
        <v>0</v>
      </c>
      <c r="Q360" s="92">
        <v>0</v>
      </c>
      <c r="R360" s="92">
        <v>0</v>
      </c>
      <c r="S360" s="92">
        <v>0</v>
      </c>
      <c r="T360" s="92">
        <v>0</v>
      </c>
      <c r="U360" s="92">
        <v>0</v>
      </c>
      <c r="V360" s="92">
        <v>0</v>
      </c>
      <c r="W360" s="92">
        <v>0</v>
      </c>
      <c r="X360" s="92">
        <v>0</v>
      </c>
      <c r="Y360" s="92">
        <v>0</v>
      </c>
      <c r="Z360" s="92">
        <v>0</v>
      </c>
      <c r="AA360" s="92">
        <v>0</v>
      </c>
      <c r="AB360" s="92">
        <v>35549</v>
      </c>
      <c r="AC360" s="92">
        <v>36670</v>
      </c>
      <c r="AD360" s="92">
        <v>37770</v>
      </c>
      <c r="AE360" s="92">
        <v>0</v>
      </c>
      <c r="AF360" s="92">
        <v>0</v>
      </c>
      <c r="AG360" s="92">
        <v>0</v>
      </c>
    </row>
    <row r="361" spans="1:35" x14ac:dyDescent="0.25">
      <c r="A361" t="str">
        <f t="shared" si="9"/>
        <v>17-2-17</v>
      </c>
      <c r="B361">
        <v>17</v>
      </c>
      <c r="C361" s="92" t="s">
        <v>1030</v>
      </c>
      <c r="D361" s="92">
        <v>2</v>
      </c>
      <c r="E361" s="92" t="s">
        <v>53</v>
      </c>
      <c r="F361" s="92">
        <v>17</v>
      </c>
      <c r="G361" s="92" t="s">
        <v>279</v>
      </c>
      <c r="H361" s="92"/>
      <c r="I361" s="92">
        <v>45396</v>
      </c>
      <c r="J361" s="92">
        <v>66274689</v>
      </c>
      <c r="K361" s="92" t="s">
        <v>1061</v>
      </c>
      <c r="L361" s="92">
        <v>31271</v>
      </c>
      <c r="M361" s="92">
        <v>17394</v>
      </c>
      <c r="N361" s="92">
        <v>7829</v>
      </c>
      <c r="O361" s="92">
        <v>7829</v>
      </c>
      <c r="P361" s="92">
        <v>0</v>
      </c>
      <c r="Q361" s="92">
        <v>0</v>
      </c>
      <c r="R361" s="92">
        <v>0</v>
      </c>
      <c r="S361" s="92">
        <v>0</v>
      </c>
      <c r="T361" s="92">
        <v>0</v>
      </c>
      <c r="U361" s="92">
        <v>0</v>
      </c>
      <c r="V361" s="92">
        <v>0</v>
      </c>
      <c r="W361" s="92">
        <v>0</v>
      </c>
      <c r="X361" s="92">
        <v>0</v>
      </c>
      <c r="Y361" s="92">
        <v>0</v>
      </c>
      <c r="Z361" s="92">
        <v>0</v>
      </c>
      <c r="AA361" s="92">
        <v>0</v>
      </c>
      <c r="AB361" s="92">
        <v>734667</v>
      </c>
      <c r="AC361" s="92">
        <v>760484</v>
      </c>
      <c r="AD361" s="92">
        <v>785517</v>
      </c>
      <c r="AE361" s="92">
        <v>0</v>
      </c>
      <c r="AF361" s="92">
        <v>0</v>
      </c>
      <c r="AG361" s="92">
        <v>0</v>
      </c>
    </row>
    <row r="362" spans="1:35" x14ac:dyDescent="0.25">
      <c r="A362" t="str">
        <f t="shared" si="9"/>
        <v>17-7-21</v>
      </c>
      <c r="B362">
        <v>17</v>
      </c>
      <c r="C362" s="92" t="s">
        <v>1030</v>
      </c>
      <c r="D362" s="92">
        <v>7</v>
      </c>
      <c r="E362" s="92" t="s">
        <v>586</v>
      </c>
      <c r="F362" s="92">
        <v>21</v>
      </c>
      <c r="G362" s="92" t="s">
        <v>282</v>
      </c>
      <c r="H362" s="92"/>
      <c r="I362" s="92">
        <v>0</v>
      </c>
      <c r="J362" s="92">
        <v>66274689</v>
      </c>
      <c r="K362" s="92" t="s">
        <v>1061</v>
      </c>
      <c r="L362" s="92">
        <v>700</v>
      </c>
      <c r="M362" s="92">
        <v>365</v>
      </c>
      <c r="N362" s="92">
        <v>307</v>
      </c>
      <c r="O362" s="92">
        <v>307</v>
      </c>
      <c r="P362" s="92">
        <v>0</v>
      </c>
      <c r="Q362" s="92">
        <v>0</v>
      </c>
      <c r="R362" s="92">
        <v>0</v>
      </c>
      <c r="S362" s="92">
        <v>0</v>
      </c>
      <c r="T362" s="92">
        <v>0</v>
      </c>
      <c r="U362" s="92">
        <v>0</v>
      </c>
      <c r="V362" s="92">
        <v>0</v>
      </c>
      <c r="W362" s="92">
        <v>0</v>
      </c>
      <c r="X362" s="92">
        <v>0</v>
      </c>
      <c r="Y362" s="92">
        <v>0</v>
      </c>
      <c r="Z362" s="92">
        <v>0</v>
      </c>
      <c r="AA362" s="92">
        <v>0</v>
      </c>
      <c r="AB362" s="92">
        <v>29036</v>
      </c>
      <c r="AC362" s="92">
        <v>30028</v>
      </c>
      <c r="AD362" s="92">
        <v>31062</v>
      </c>
      <c r="AE362" s="92">
        <v>0</v>
      </c>
      <c r="AF362" s="92">
        <v>0</v>
      </c>
      <c r="AG362" s="92">
        <v>0</v>
      </c>
    </row>
    <row r="363" spans="1:35" x14ac:dyDescent="0.25">
      <c r="A363" t="str">
        <f t="shared" si="9"/>
        <v>17-14-9</v>
      </c>
      <c r="B363">
        <v>17</v>
      </c>
      <c r="C363" s="92" t="s">
        <v>1030</v>
      </c>
      <c r="D363" s="92">
        <v>14</v>
      </c>
      <c r="E363" s="92" t="s">
        <v>571</v>
      </c>
      <c r="F363" s="92">
        <v>9</v>
      </c>
      <c r="G363" s="92" t="s">
        <v>283</v>
      </c>
      <c r="H363" s="92"/>
      <c r="I363" s="92">
        <v>1270</v>
      </c>
      <c r="J363" s="92">
        <v>66274689</v>
      </c>
      <c r="K363" s="92" t="s">
        <v>1061</v>
      </c>
      <c r="L363" s="92">
        <v>745</v>
      </c>
      <c r="M363" s="92">
        <v>381</v>
      </c>
      <c r="N363" s="92">
        <v>856</v>
      </c>
      <c r="O363" s="92">
        <v>856</v>
      </c>
      <c r="P363" s="92">
        <v>0</v>
      </c>
      <c r="Q363" s="92">
        <v>0</v>
      </c>
      <c r="R363" s="92">
        <v>0</v>
      </c>
      <c r="S363" s="92">
        <v>0</v>
      </c>
      <c r="T363" s="92">
        <v>0</v>
      </c>
      <c r="U363" s="92">
        <v>0</v>
      </c>
      <c r="V363" s="92">
        <v>0</v>
      </c>
      <c r="W363" s="92">
        <v>0</v>
      </c>
      <c r="X363" s="92">
        <v>0</v>
      </c>
      <c r="Y363" s="92">
        <v>0</v>
      </c>
      <c r="Z363" s="92">
        <v>0</v>
      </c>
      <c r="AA363" s="92">
        <v>0</v>
      </c>
      <c r="AB363" s="92">
        <v>78807</v>
      </c>
      <c r="AC363" s="92">
        <v>53830</v>
      </c>
      <c r="AD363" s="92">
        <v>81467</v>
      </c>
      <c r="AE363" s="92">
        <v>0</v>
      </c>
      <c r="AF363" s="92">
        <v>0</v>
      </c>
      <c r="AG363" s="92">
        <v>0</v>
      </c>
      <c r="AI363" s="250">
        <v>4.0105499999999999E-4</v>
      </c>
    </row>
    <row r="364" spans="1:35" x14ac:dyDescent="0.25">
      <c r="A364" t="str">
        <f t="shared" si="9"/>
        <v>17-4-63</v>
      </c>
      <c r="B364">
        <v>17</v>
      </c>
      <c r="C364" s="92" t="s">
        <v>1030</v>
      </c>
      <c r="D364" s="92">
        <v>4</v>
      </c>
      <c r="E364" s="92" t="s">
        <v>66</v>
      </c>
      <c r="F364" s="92">
        <v>63</v>
      </c>
      <c r="G364" s="92" t="s">
        <v>784</v>
      </c>
      <c r="H364" s="92"/>
      <c r="I364" s="92">
        <v>0</v>
      </c>
      <c r="J364" s="92">
        <v>66274689</v>
      </c>
      <c r="K364" s="92" t="s">
        <v>1061</v>
      </c>
      <c r="L364" s="92">
        <v>0</v>
      </c>
      <c r="M364" s="92">
        <v>15555</v>
      </c>
      <c r="N364" s="92">
        <v>2759</v>
      </c>
      <c r="O364" s="92">
        <v>2759</v>
      </c>
      <c r="P364" s="92">
        <v>0</v>
      </c>
      <c r="Q364" s="92">
        <v>0</v>
      </c>
      <c r="R364" s="92">
        <v>0</v>
      </c>
      <c r="S364" s="92">
        <v>0</v>
      </c>
      <c r="T364" s="92">
        <v>0</v>
      </c>
      <c r="U364" s="92">
        <v>0</v>
      </c>
      <c r="V364" s="92">
        <v>0</v>
      </c>
      <c r="W364" s="92">
        <v>0</v>
      </c>
      <c r="X364" s="92">
        <v>0</v>
      </c>
      <c r="Y364" s="92">
        <v>0</v>
      </c>
      <c r="Z364" s="92">
        <v>0</v>
      </c>
      <c r="AA364" s="92">
        <v>0</v>
      </c>
      <c r="AB364" s="92">
        <v>20911</v>
      </c>
      <c r="AC364" s="92">
        <v>21593</v>
      </c>
      <c r="AD364" s="92">
        <v>22304</v>
      </c>
      <c r="AE364" s="92">
        <v>0</v>
      </c>
      <c r="AF364" s="92">
        <v>0</v>
      </c>
      <c r="AG364" s="92">
        <v>0</v>
      </c>
    </row>
    <row r="365" spans="1:35" x14ac:dyDescent="0.25">
      <c r="A365" t="str">
        <f t="shared" si="9"/>
        <v>40-14-10</v>
      </c>
      <c r="B365">
        <v>40</v>
      </c>
      <c r="C365" s="92" t="s">
        <v>1051</v>
      </c>
      <c r="D365" s="92">
        <v>14</v>
      </c>
      <c r="E365" s="92" t="s">
        <v>571</v>
      </c>
      <c r="F365" s="92">
        <v>10</v>
      </c>
      <c r="G365" s="92" t="s">
        <v>978</v>
      </c>
      <c r="H365" s="92"/>
      <c r="I365" s="92">
        <v>0</v>
      </c>
      <c r="J365" s="92">
        <v>376659</v>
      </c>
      <c r="K365" s="92" t="s">
        <v>1061</v>
      </c>
      <c r="L365" s="92">
        <v>13</v>
      </c>
      <c r="M365" s="92">
        <v>311</v>
      </c>
      <c r="N365" s="92">
        <v>48</v>
      </c>
      <c r="O365" s="92">
        <v>48</v>
      </c>
      <c r="P365" s="92">
        <v>0</v>
      </c>
      <c r="Q365" s="92">
        <v>0</v>
      </c>
      <c r="R365" s="92">
        <v>0</v>
      </c>
      <c r="S365" s="92">
        <v>0</v>
      </c>
      <c r="T365" s="92">
        <v>0</v>
      </c>
      <c r="U365" s="92">
        <v>0</v>
      </c>
      <c r="V365" s="92">
        <v>0</v>
      </c>
      <c r="W365" s="92">
        <v>0</v>
      </c>
      <c r="X365" s="92">
        <v>0</v>
      </c>
      <c r="Y365" s="92">
        <v>0</v>
      </c>
      <c r="Z365" s="92">
        <v>0</v>
      </c>
      <c r="AA365" s="92">
        <v>0</v>
      </c>
      <c r="AB365" s="92">
        <v>19571</v>
      </c>
      <c r="AC365" s="92">
        <v>20169</v>
      </c>
      <c r="AD365" s="92">
        <v>20821</v>
      </c>
      <c r="AE365" s="92">
        <v>0</v>
      </c>
      <c r="AF365" s="92">
        <v>0</v>
      </c>
      <c r="AG365" s="92">
        <v>0</v>
      </c>
      <c r="AI365" s="250">
        <v>3.8628499999999999E-4</v>
      </c>
    </row>
    <row r="366" spans="1:35" x14ac:dyDescent="0.25">
      <c r="A366" t="str">
        <f t="shared" si="9"/>
        <v>40-11-6</v>
      </c>
      <c r="B366">
        <v>40</v>
      </c>
      <c r="C366" s="92" t="s">
        <v>1051</v>
      </c>
      <c r="D366" s="92">
        <v>11</v>
      </c>
      <c r="E366" s="92" t="s">
        <v>1062</v>
      </c>
      <c r="F366" s="92">
        <v>6</v>
      </c>
      <c r="G366" s="92" t="s">
        <v>977</v>
      </c>
      <c r="H366" s="92"/>
      <c r="I366" s="92">
        <v>0</v>
      </c>
      <c r="J366" s="92">
        <v>376659</v>
      </c>
      <c r="K366" s="92" t="s">
        <v>1061</v>
      </c>
      <c r="L366" s="92">
        <v>0</v>
      </c>
      <c r="M366" s="92">
        <v>0</v>
      </c>
      <c r="N366" s="92">
        <v>0</v>
      </c>
      <c r="O366" s="92">
        <v>0</v>
      </c>
      <c r="P366" s="92">
        <v>0</v>
      </c>
      <c r="Q366" s="92">
        <v>0</v>
      </c>
      <c r="R366" s="92">
        <v>0</v>
      </c>
      <c r="S366" s="92">
        <v>0</v>
      </c>
      <c r="T366" s="92">
        <v>0</v>
      </c>
      <c r="U366" s="92">
        <v>0</v>
      </c>
      <c r="V366" s="92">
        <v>0</v>
      </c>
      <c r="W366" s="92">
        <v>0</v>
      </c>
      <c r="X366" s="92">
        <v>0</v>
      </c>
      <c r="Y366" s="92">
        <v>0</v>
      </c>
      <c r="Z366" s="92">
        <v>0</v>
      </c>
      <c r="AA366" s="92">
        <v>0</v>
      </c>
      <c r="AB366" s="92">
        <v>90813</v>
      </c>
      <c r="AC366" s="92">
        <v>93537</v>
      </c>
      <c r="AD366" s="92">
        <v>93537</v>
      </c>
      <c r="AE366" s="92">
        <v>0</v>
      </c>
      <c r="AF366" s="92">
        <v>0</v>
      </c>
      <c r="AG366" s="92">
        <v>0</v>
      </c>
    </row>
    <row r="367" spans="1:35" x14ac:dyDescent="0.25">
      <c r="A367" t="str">
        <f t="shared" si="9"/>
        <v>18-5-16</v>
      </c>
      <c r="B367">
        <v>18</v>
      </c>
      <c r="C367" s="92" t="s">
        <v>1031</v>
      </c>
      <c r="D367" s="92">
        <v>5</v>
      </c>
      <c r="E367" s="92" t="s">
        <v>200</v>
      </c>
      <c r="F367" s="92">
        <v>16</v>
      </c>
      <c r="G367" s="92" t="s">
        <v>789</v>
      </c>
      <c r="H367" s="92"/>
      <c r="I367" s="92">
        <v>0</v>
      </c>
      <c r="J367" s="92">
        <v>19016828</v>
      </c>
      <c r="K367" s="92" t="s">
        <v>1061</v>
      </c>
      <c r="L367" s="92">
        <v>540</v>
      </c>
      <c r="M367" s="92">
        <v>2492</v>
      </c>
      <c r="N367" s="92">
        <v>311</v>
      </c>
      <c r="O367" s="92">
        <v>311</v>
      </c>
      <c r="P367" s="92">
        <v>0</v>
      </c>
      <c r="Q367" s="92">
        <v>0</v>
      </c>
      <c r="R367" s="92">
        <v>0</v>
      </c>
      <c r="S367" s="92">
        <v>0</v>
      </c>
      <c r="T367" s="92">
        <v>0</v>
      </c>
      <c r="U367" s="92">
        <v>95</v>
      </c>
      <c r="V367" s="92">
        <v>0</v>
      </c>
      <c r="W367" s="92">
        <v>0</v>
      </c>
      <c r="X367" s="92">
        <v>0</v>
      </c>
      <c r="Y367" s="92">
        <v>0</v>
      </c>
      <c r="Z367" s="92">
        <v>0</v>
      </c>
      <c r="AA367" s="92">
        <v>0</v>
      </c>
      <c r="AB367" s="92">
        <v>156709</v>
      </c>
      <c r="AC367" s="92">
        <v>162934</v>
      </c>
      <c r="AD367" s="182">
        <f>169274+300000</f>
        <v>469274</v>
      </c>
      <c r="AE367" s="92">
        <v>0</v>
      </c>
      <c r="AF367" s="92">
        <v>0</v>
      </c>
      <c r="AG367" s="92">
        <v>0</v>
      </c>
      <c r="AI367" s="253">
        <v>3.96067E-4</v>
      </c>
    </row>
    <row r="368" spans="1:35" x14ac:dyDescent="0.25">
      <c r="A368" t="str">
        <f t="shared" si="9"/>
        <v>25-7-22</v>
      </c>
      <c r="B368">
        <v>25</v>
      </c>
      <c r="C368" s="92" t="s">
        <v>1038</v>
      </c>
      <c r="D368" s="92">
        <v>7</v>
      </c>
      <c r="E368" s="92" t="s">
        <v>586</v>
      </c>
      <c r="F368" s="92">
        <v>22</v>
      </c>
      <c r="G368" s="92" t="s">
        <v>368</v>
      </c>
      <c r="H368" s="92"/>
      <c r="I368" s="92">
        <v>0</v>
      </c>
      <c r="J368" s="92">
        <v>41712</v>
      </c>
      <c r="K368" s="92" t="s">
        <v>1061</v>
      </c>
      <c r="L368" s="92">
        <v>13</v>
      </c>
      <c r="M368" s="92">
        <v>8</v>
      </c>
      <c r="N368" s="92">
        <v>0</v>
      </c>
      <c r="O368" s="92">
        <v>0</v>
      </c>
      <c r="P368" s="92">
        <v>0</v>
      </c>
      <c r="Q368" s="92">
        <v>0</v>
      </c>
      <c r="R368" s="92">
        <v>0</v>
      </c>
      <c r="S368" s="92">
        <v>0</v>
      </c>
      <c r="T368" s="92">
        <v>0</v>
      </c>
      <c r="U368" s="92">
        <v>0</v>
      </c>
      <c r="V368" s="92">
        <v>0</v>
      </c>
      <c r="W368" s="92">
        <v>0</v>
      </c>
      <c r="X368" s="92">
        <v>0</v>
      </c>
      <c r="Y368" s="92">
        <v>0</v>
      </c>
      <c r="Z368" s="92">
        <v>0</v>
      </c>
      <c r="AA368" s="92">
        <v>0</v>
      </c>
      <c r="AB368" s="92">
        <v>810</v>
      </c>
      <c r="AC368" s="92">
        <v>837</v>
      </c>
      <c r="AD368" s="92">
        <v>837</v>
      </c>
      <c r="AE368" s="92">
        <v>0</v>
      </c>
      <c r="AF368" s="92">
        <v>0</v>
      </c>
      <c r="AG368" s="92">
        <v>0</v>
      </c>
    </row>
    <row r="369" spans="1:35" x14ac:dyDescent="0.25">
      <c r="A369" t="str">
        <f t="shared" si="9"/>
        <v>18-2-18</v>
      </c>
      <c r="B369">
        <v>18</v>
      </c>
      <c r="C369" s="92" t="s">
        <v>1031</v>
      </c>
      <c r="D369" s="92">
        <v>2</v>
      </c>
      <c r="E369" s="92" t="s">
        <v>53</v>
      </c>
      <c r="F369" s="92">
        <v>18</v>
      </c>
      <c r="G369" s="92" t="s">
        <v>284</v>
      </c>
      <c r="H369" s="92"/>
      <c r="I369" s="92">
        <v>0</v>
      </c>
      <c r="J369" s="92">
        <v>19016828</v>
      </c>
      <c r="K369" s="92" t="s">
        <v>1061</v>
      </c>
      <c r="L369" s="92">
        <v>13194</v>
      </c>
      <c r="M369" s="92">
        <v>65569</v>
      </c>
      <c r="N369" s="92">
        <v>7898</v>
      </c>
      <c r="O369" s="92">
        <v>7898</v>
      </c>
      <c r="P369" s="92">
        <v>0</v>
      </c>
      <c r="Q369" s="92">
        <v>0</v>
      </c>
      <c r="R369" s="92">
        <v>0</v>
      </c>
      <c r="S369" s="92">
        <v>0</v>
      </c>
      <c r="T369" s="92">
        <v>0</v>
      </c>
      <c r="U369" s="92">
        <v>2399</v>
      </c>
      <c r="V369" s="92">
        <v>0</v>
      </c>
      <c r="W369" s="92">
        <v>0</v>
      </c>
      <c r="X369" s="92">
        <v>0</v>
      </c>
      <c r="Y369" s="92">
        <v>0</v>
      </c>
      <c r="Z369" s="92">
        <v>0</v>
      </c>
      <c r="AA369" s="92">
        <v>0</v>
      </c>
      <c r="AB369" s="92">
        <v>3977216</v>
      </c>
      <c r="AC369" s="92">
        <v>4135266</v>
      </c>
      <c r="AD369" s="92">
        <v>4296272</v>
      </c>
      <c r="AE369" s="92">
        <v>0</v>
      </c>
      <c r="AF369" s="92">
        <v>0</v>
      </c>
      <c r="AG369" s="92">
        <v>0</v>
      </c>
    </row>
    <row r="370" spans="1:35" x14ac:dyDescent="0.25">
      <c r="A370" t="str">
        <f t="shared" si="9"/>
        <v>18-14-11</v>
      </c>
      <c r="B370">
        <v>18</v>
      </c>
      <c r="C370" s="92" t="s">
        <v>1031</v>
      </c>
      <c r="D370" s="92">
        <v>14</v>
      </c>
      <c r="E370" s="92" t="s">
        <v>571</v>
      </c>
      <c r="F370" s="92">
        <v>11</v>
      </c>
      <c r="G370" s="92" t="s">
        <v>804</v>
      </c>
      <c r="H370" s="92"/>
      <c r="I370" s="92">
        <v>19784</v>
      </c>
      <c r="J370" s="92">
        <v>14264989</v>
      </c>
      <c r="K370" s="92" t="s">
        <v>1061</v>
      </c>
      <c r="L370" s="92">
        <v>1873</v>
      </c>
      <c r="M370" s="92">
        <v>5912</v>
      </c>
      <c r="N370" s="92">
        <v>771</v>
      </c>
      <c r="O370" s="92">
        <v>771</v>
      </c>
      <c r="P370" s="92">
        <v>0</v>
      </c>
      <c r="Q370" s="92">
        <v>0</v>
      </c>
      <c r="R370" s="92">
        <v>0</v>
      </c>
      <c r="S370" s="92">
        <v>0</v>
      </c>
      <c r="T370" s="92">
        <v>0</v>
      </c>
      <c r="U370" s="92">
        <v>244</v>
      </c>
      <c r="V370" s="92">
        <v>0</v>
      </c>
      <c r="W370" s="92">
        <v>0</v>
      </c>
      <c r="X370" s="92">
        <v>0</v>
      </c>
      <c r="Y370" s="92">
        <v>0</v>
      </c>
      <c r="Z370" s="92">
        <v>0</v>
      </c>
      <c r="AA370" s="92">
        <v>0</v>
      </c>
      <c r="AB370" s="92">
        <v>329213</v>
      </c>
      <c r="AC370" s="92">
        <v>342753</v>
      </c>
      <c r="AD370" s="92">
        <v>356501</v>
      </c>
      <c r="AE370" s="92">
        <v>0</v>
      </c>
      <c r="AF370" s="92">
        <v>0</v>
      </c>
      <c r="AG370" s="92">
        <v>0</v>
      </c>
      <c r="AI370" s="250">
        <v>3.6274899999999999E-4</v>
      </c>
    </row>
    <row r="371" spans="1:35" x14ac:dyDescent="0.25">
      <c r="A371" t="str">
        <f t="shared" si="9"/>
        <v>18-11-7</v>
      </c>
      <c r="B371">
        <v>18</v>
      </c>
      <c r="C371" s="92" t="s">
        <v>1031</v>
      </c>
      <c r="D371" s="92">
        <v>11</v>
      </c>
      <c r="E371" s="92" t="s">
        <v>1062</v>
      </c>
      <c r="F371" s="92">
        <v>7</v>
      </c>
      <c r="G371" s="92" t="s">
        <v>803</v>
      </c>
      <c r="H371" s="92"/>
      <c r="I371" s="92">
        <v>40</v>
      </c>
      <c r="J371" s="92">
        <v>7053147</v>
      </c>
      <c r="K371" s="92" t="s">
        <v>1061</v>
      </c>
      <c r="L371" s="92">
        <v>779</v>
      </c>
      <c r="M371" s="92">
        <v>1685</v>
      </c>
      <c r="N371" s="92">
        <v>96</v>
      </c>
      <c r="O371" s="92">
        <v>56</v>
      </c>
      <c r="P371" s="92">
        <v>0</v>
      </c>
      <c r="Q371" s="92">
        <v>0</v>
      </c>
      <c r="R371" s="92">
        <v>0</v>
      </c>
      <c r="S371" s="92">
        <v>0</v>
      </c>
      <c r="T371" s="92">
        <v>0</v>
      </c>
      <c r="U371" s="92">
        <v>0</v>
      </c>
      <c r="V371" s="92">
        <v>0</v>
      </c>
      <c r="W371" s="92">
        <v>0</v>
      </c>
      <c r="X371" s="92">
        <v>0</v>
      </c>
      <c r="Y371" s="92">
        <v>0</v>
      </c>
      <c r="Z371" s="92">
        <v>0</v>
      </c>
      <c r="AA371" s="92">
        <v>0</v>
      </c>
      <c r="AB371" s="92">
        <v>161856</v>
      </c>
      <c r="AC371" s="92">
        <v>168110</v>
      </c>
      <c r="AD371" s="92">
        <v>174267</v>
      </c>
      <c r="AE371" s="92">
        <v>0</v>
      </c>
      <c r="AF371" s="92">
        <v>0</v>
      </c>
      <c r="AG371" s="92">
        <v>0</v>
      </c>
    </row>
    <row r="372" spans="1:35" x14ac:dyDescent="0.25">
      <c r="A372" t="str">
        <f t="shared" si="9"/>
        <v>25-4-204</v>
      </c>
      <c r="B372">
        <v>25</v>
      </c>
      <c r="C372" s="92" t="s">
        <v>1038</v>
      </c>
      <c r="D372" s="92">
        <v>4</v>
      </c>
      <c r="E372" s="92" t="s">
        <v>66</v>
      </c>
      <c r="F372" s="92">
        <v>204</v>
      </c>
      <c r="G372" s="92" t="s">
        <v>1389</v>
      </c>
      <c r="H372" s="92"/>
      <c r="I372" s="92">
        <v>0</v>
      </c>
      <c r="J372" s="92">
        <v>11605182</v>
      </c>
      <c r="K372" s="92" t="s">
        <v>1061</v>
      </c>
      <c r="L372" s="92">
        <v>3679</v>
      </c>
      <c r="M372" s="92">
        <v>19560</v>
      </c>
      <c r="N372" s="92">
        <v>25</v>
      </c>
      <c r="O372" s="176">
        <v>25</v>
      </c>
      <c r="P372" s="92">
        <v>0</v>
      </c>
      <c r="Q372" s="92">
        <v>0</v>
      </c>
      <c r="R372" s="92">
        <v>0</v>
      </c>
      <c r="S372" s="92">
        <v>0</v>
      </c>
      <c r="T372" s="92">
        <v>0</v>
      </c>
      <c r="U372" s="92">
        <v>0</v>
      </c>
      <c r="V372" s="92">
        <v>0</v>
      </c>
      <c r="W372" s="92">
        <v>0</v>
      </c>
      <c r="X372" s="92">
        <v>0</v>
      </c>
      <c r="Y372" s="92">
        <v>0</v>
      </c>
      <c r="Z372" s="92">
        <v>0</v>
      </c>
      <c r="AA372" s="92">
        <v>0</v>
      </c>
      <c r="AB372" s="92">
        <v>41290</v>
      </c>
      <c r="AC372" s="92">
        <v>42834</v>
      </c>
      <c r="AD372" s="92">
        <v>44614</v>
      </c>
      <c r="AE372" s="92">
        <v>0</v>
      </c>
      <c r="AF372" s="92">
        <v>0</v>
      </c>
      <c r="AG372" s="92">
        <v>0</v>
      </c>
    </row>
    <row r="373" spans="1:35" x14ac:dyDescent="0.25">
      <c r="A373" t="str">
        <f t="shared" si="9"/>
        <v>18-17-3</v>
      </c>
      <c r="B373">
        <v>18</v>
      </c>
      <c r="C373" s="92" t="s">
        <v>1031</v>
      </c>
      <c r="D373" s="92">
        <v>17</v>
      </c>
      <c r="E373" s="92" t="s">
        <v>593</v>
      </c>
      <c r="F373" s="92">
        <v>3</v>
      </c>
      <c r="G373" s="92" t="s">
        <v>806</v>
      </c>
      <c r="H373" s="92"/>
      <c r="I373" s="92">
        <v>178</v>
      </c>
      <c r="J373" s="92">
        <v>1814666</v>
      </c>
      <c r="K373" s="92" t="s">
        <v>1061</v>
      </c>
      <c r="L373" s="92">
        <v>21</v>
      </c>
      <c r="M373" s="92">
        <v>8</v>
      </c>
      <c r="N373" s="92">
        <v>3</v>
      </c>
      <c r="O373" s="92">
        <v>3</v>
      </c>
      <c r="P373" s="92">
        <v>0</v>
      </c>
      <c r="Q373" s="92">
        <v>0</v>
      </c>
      <c r="R373" s="92">
        <v>0</v>
      </c>
      <c r="S373" s="92">
        <v>0</v>
      </c>
      <c r="T373" s="92">
        <v>0</v>
      </c>
      <c r="U373" s="92">
        <v>5</v>
      </c>
      <c r="V373" s="92">
        <v>0</v>
      </c>
      <c r="W373" s="92">
        <v>0</v>
      </c>
      <c r="X373" s="92">
        <v>0</v>
      </c>
      <c r="Y373" s="92">
        <v>0</v>
      </c>
      <c r="Z373" s="92">
        <v>0</v>
      </c>
      <c r="AA373" s="92">
        <v>0</v>
      </c>
      <c r="AB373" s="92">
        <v>1208</v>
      </c>
      <c r="AC373" s="92">
        <v>1225</v>
      </c>
      <c r="AD373" s="92">
        <v>1225</v>
      </c>
      <c r="AE373" s="92">
        <v>0</v>
      </c>
      <c r="AF373" s="92">
        <v>0</v>
      </c>
      <c r="AG373" s="92">
        <v>0</v>
      </c>
    </row>
    <row r="374" spans="1:35" x14ac:dyDescent="0.25">
      <c r="A374" t="str">
        <f t="shared" si="9"/>
        <v>28-19-6</v>
      </c>
      <c r="B374">
        <v>28</v>
      </c>
      <c r="C374" s="92" t="s">
        <v>1041</v>
      </c>
      <c r="D374" s="92">
        <v>19</v>
      </c>
      <c r="E374" s="92" t="s">
        <v>1063</v>
      </c>
      <c r="F374" s="92">
        <v>6</v>
      </c>
      <c r="G374" s="92" t="s">
        <v>429</v>
      </c>
      <c r="H374" s="92"/>
      <c r="I374" s="92">
        <v>345</v>
      </c>
      <c r="J374" s="92">
        <v>165</v>
      </c>
      <c r="K374" s="92" t="s">
        <v>1061</v>
      </c>
      <c r="L374" s="92">
        <v>0</v>
      </c>
      <c r="M374" s="92">
        <v>0</v>
      </c>
      <c r="N374" s="92">
        <v>0</v>
      </c>
      <c r="O374" s="92">
        <v>0</v>
      </c>
      <c r="P374" s="92">
        <v>0</v>
      </c>
      <c r="Q374" s="92">
        <v>0</v>
      </c>
      <c r="R374" s="92">
        <v>0</v>
      </c>
      <c r="S374" s="92">
        <v>0</v>
      </c>
      <c r="T374" s="92">
        <v>0</v>
      </c>
      <c r="U374" s="92">
        <v>0</v>
      </c>
      <c r="V374" s="92">
        <v>0</v>
      </c>
      <c r="W374" s="92">
        <v>0</v>
      </c>
      <c r="X374" s="92">
        <v>0</v>
      </c>
      <c r="Y374" s="92">
        <v>0</v>
      </c>
      <c r="Z374" s="92">
        <v>0</v>
      </c>
      <c r="AA374" s="92">
        <v>0</v>
      </c>
      <c r="AB374" s="92">
        <v>6449</v>
      </c>
      <c r="AC374" s="92">
        <v>6642</v>
      </c>
      <c r="AD374" s="92">
        <v>6841</v>
      </c>
      <c r="AE374" s="92">
        <v>0</v>
      </c>
      <c r="AF374" s="92">
        <v>0</v>
      </c>
      <c r="AG374" s="92">
        <v>0</v>
      </c>
    </row>
    <row r="375" spans="1:35" x14ac:dyDescent="0.25">
      <c r="A375" t="str">
        <f t="shared" si="9"/>
        <v>21-7-23</v>
      </c>
      <c r="B375">
        <v>21</v>
      </c>
      <c r="C375" s="92" t="s">
        <v>1034</v>
      </c>
      <c r="D375" s="92">
        <v>7</v>
      </c>
      <c r="E375" s="92" t="s">
        <v>586</v>
      </c>
      <c r="F375" s="92">
        <v>23</v>
      </c>
      <c r="G375" s="92" t="s">
        <v>319</v>
      </c>
      <c r="H375" s="92"/>
      <c r="I375" s="92">
        <v>0</v>
      </c>
      <c r="J375" s="92">
        <v>5199839</v>
      </c>
      <c r="K375" s="92" t="s">
        <v>1061</v>
      </c>
      <c r="L375" s="92">
        <v>52</v>
      </c>
      <c r="M375" s="92">
        <v>23</v>
      </c>
      <c r="N375" s="92">
        <v>26</v>
      </c>
      <c r="O375" s="92">
        <v>26</v>
      </c>
      <c r="P375" s="92">
        <v>0</v>
      </c>
      <c r="Q375" s="92">
        <v>0</v>
      </c>
      <c r="R375" s="92">
        <v>0</v>
      </c>
      <c r="S375" s="92">
        <v>0</v>
      </c>
      <c r="T375" s="92">
        <v>0</v>
      </c>
      <c r="U375" s="92">
        <v>0</v>
      </c>
      <c r="V375" s="92">
        <v>0</v>
      </c>
      <c r="W375" s="92">
        <v>0</v>
      </c>
      <c r="X375" s="92">
        <v>0</v>
      </c>
      <c r="Y375" s="92">
        <v>0</v>
      </c>
      <c r="Z375" s="92">
        <v>0</v>
      </c>
      <c r="AA375" s="92">
        <v>0</v>
      </c>
      <c r="AB375" s="92">
        <v>3982</v>
      </c>
      <c r="AC375" s="92">
        <v>3982</v>
      </c>
      <c r="AD375" s="92">
        <v>3982</v>
      </c>
      <c r="AE375" s="92">
        <v>0</v>
      </c>
      <c r="AF375" s="92">
        <v>0</v>
      </c>
      <c r="AG375" s="92">
        <v>0</v>
      </c>
    </row>
    <row r="376" spans="1:35" x14ac:dyDescent="0.25">
      <c r="A376" t="str">
        <f t="shared" si="9"/>
        <v>21-7-24</v>
      </c>
      <c r="B376">
        <v>21</v>
      </c>
      <c r="C376" s="92" t="s">
        <v>1034</v>
      </c>
      <c r="D376" s="92">
        <v>7</v>
      </c>
      <c r="E376" s="92" t="s">
        <v>586</v>
      </c>
      <c r="F376" s="92">
        <v>24</v>
      </c>
      <c r="G376" s="92" t="s">
        <v>320</v>
      </c>
      <c r="H376" s="92"/>
      <c r="I376" s="92">
        <v>523</v>
      </c>
      <c r="J376" s="92">
        <v>36090972</v>
      </c>
      <c r="K376" s="92" t="s">
        <v>1061</v>
      </c>
      <c r="L376" s="92">
        <v>297</v>
      </c>
      <c r="M376" s="92">
        <v>118</v>
      </c>
      <c r="N376" s="92">
        <v>48</v>
      </c>
      <c r="O376" s="92">
        <v>48</v>
      </c>
      <c r="P376" s="92">
        <v>0</v>
      </c>
      <c r="Q376" s="92">
        <v>0</v>
      </c>
      <c r="R376" s="92">
        <v>0</v>
      </c>
      <c r="S376" s="92">
        <v>0</v>
      </c>
      <c r="T376" s="92">
        <v>0</v>
      </c>
      <c r="U376" s="92">
        <v>0</v>
      </c>
      <c r="V376" s="92">
        <v>0</v>
      </c>
      <c r="W376" s="92">
        <v>0</v>
      </c>
      <c r="X376" s="92">
        <v>0</v>
      </c>
      <c r="Y376" s="92">
        <v>0</v>
      </c>
      <c r="Z376" s="92">
        <v>0</v>
      </c>
      <c r="AA376" s="92">
        <v>0</v>
      </c>
      <c r="AB376" s="92">
        <v>11379</v>
      </c>
      <c r="AC376" s="92">
        <v>12099</v>
      </c>
      <c r="AD376" s="92">
        <v>12785</v>
      </c>
      <c r="AE376" s="92">
        <v>0</v>
      </c>
      <c r="AF376" s="92">
        <v>0</v>
      </c>
      <c r="AG376" s="92">
        <v>0</v>
      </c>
    </row>
    <row r="377" spans="1:35" x14ac:dyDescent="0.25">
      <c r="A377" t="str">
        <f t="shared" si="9"/>
        <v>28-4-104</v>
      </c>
      <c r="B377">
        <v>28</v>
      </c>
      <c r="C377" s="92" t="s">
        <v>1041</v>
      </c>
      <c r="D377" s="92">
        <v>4</v>
      </c>
      <c r="E377" s="92" t="s">
        <v>66</v>
      </c>
      <c r="F377" s="92">
        <v>104</v>
      </c>
      <c r="G377" s="92" t="s">
        <v>887</v>
      </c>
      <c r="H377" s="92"/>
      <c r="I377" s="92">
        <v>0</v>
      </c>
      <c r="J377" s="92">
        <v>133435813</v>
      </c>
      <c r="K377" s="92" t="s">
        <v>1061</v>
      </c>
      <c r="L377" s="92">
        <v>2486</v>
      </c>
      <c r="M377" s="92">
        <v>179241</v>
      </c>
      <c r="N377" s="92">
        <v>24361</v>
      </c>
      <c r="O377" s="92">
        <v>24361</v>
      </c>
      <c r="P377" s="92">
        <v>0</v>
      </c>
      <c r="Q377" s="92">
        <v>0</v>
      </c>
      <c r="R377" s="92">
        <v>0</v>
      </c>
      <c r="S377" s="92">
        <v>1437</v>
      </c>
      <c r="T377" s="92">
        <v>0</v>
      </c>
      <c r="U377" s="92">
        <v>3004</v>
      </c>
      <c r="V377" s="92">
        <v>0</v>
      </c>
      <c r="W377" s="92">
        <v>0</v>
      </c>
      <c r="X377" s="92">
        <v>0</v>
      </c>
      <c r="Y377" s="92">
        <v>0</v>
      </c>
      <c r="Z377" s="92">
        <v>0</v>
      </c>
      <c r="AA377" s="92">
        <v>0</v>
      </c>
      <c r="AB377" s="92">
        <v>396492</v>
      </c>
      <c r="AC377" s="92">
        <v>412442</v>
      </c>
      <c r="AD377" s="92">
        <v>429903</v>
      </c>
      <c r="AE377" s="92">
        <v>0</v>
      </c>
      <c r="AF377" s="92">
        <v>0</v>
      </c>
      <c r="AG377" s="92">
        <v>0</v>
      </c>
    </row>
    <row r="378" spans="1:35" x14ac:dyDescent="0.25">
      <c r="A378" t="str">
        <f t="shared" si="9"/>
        <v>10-13-6</v>
      </c>
      <c r="B378">
        <v>10</v>
      </c>
      <c r="C378" s="92" t="s">
        <v>1023</v>
      </c>
      <c r="D378" s="92">
        <v>13</v>
      </c>
      <c r="E378" s="92" t="s">
        <v>209</v>
      </c>
      <c r="F378" s="92">
        <v>6</v>
      </c>
      <c r="G378" s="92" t="s">
        <v>733</v>
      </c>
      <c r="H378" s="92"/>
      <c r="I378" s="92">
        <v>0</v>
      </c>
      <c r="J378" s="92">
        <v>148341627</v>
      </c>
      <c r="K378" s="92" t="s">
        <v>1061</v>
      </c>
      <c r="L378" s="92">
        <v>0</v>
      </c>
      <c r="M378" s="92">
        <v>0</v>
      </c>
      <c r="N378" s="92">
        <v>4061</v>
      </c>
      <c r="O378" s="92">
        <v>4061</v>
      </c>
      <c r="P378" s="92">
        <v>0</v>
      </c>
      <c r="Q378" s="92">
        <v>0</v>
      </c>
      <c r="R378" s="92">
        <v>0</v>
      </c>
      <c r="S378" s="92">
        <v>125</v>
      </c>
      <c r="T378" s="92">
        <v>23</v>
      </c>
      <c r="U378" s="92">
        <v>133</v>
      </c>
      <c r="V378" s="92">
        <v>0</v>
      </c>
      <c r="W378" s="92">
        <v>0</v>
      </c>
      <c r="X378" s="92">
        <v>0</v>
      </c>
      <c r="Y378" s="92">
        <v>0</v>
      </c>
      <c r="Z378" s="92">
        <v>0</v>
      </c>
      <c r="AA378" s="92">
        <v>0</v>
      </c>
      <c r="AB378" s="92">
        <v>1386843</v>
      </c>
      <c r="AC378" s="92">
        <v>1458680</v>
      </c>
      <c r="AD378" s="92">
        <v>1535653</v>
      </c>
      <c r="AE378" s="92">
        <v>0</v>
      </c>
      <c r="AF378" s="92">
        <v>0</v>
      </c>
      <c r="AG378" s="92">
        <v>0</v>
      </c>
    </row>
    <row r="379" spans="1:35" x14ac:dyDescent="0.25">
      <c r="A379" t="str">
        <f t="shared" si="9"/>
        <v>1-13-5</v>
      </c>
      <c r="B379">
        <v>1</v>
      </c>
      <c r="C379" s="92" t="s">
        <v>1016</v>
      </c>
      <c r="D379" s="92">
        <v>13</v>
      </c>
      <c r="E379" s="92" t="s">
        <v>209</v>
      </c>
      <c r="F379" s="92">
        <v>5</v>
      </c>
      <c r="G379" s="92" t="s">
        <v>615</v>
      </c>
      <c r="H379" s="92"/>
      <c r="I379" s="92">
        <v>0</v>
      </c>
      <c r="J379" s="92">
        <v>1143988583</v>
      </c>
      <c r="K379" s="92">
        <v>1</v>
      </c>
      <c r="L379" s="92">
        <v>0</v>
      </c>
      <c r="M379" s="92">
        <v>56556</v>
      </c>
      <c r="N379" s="92">
        <v>12975</v>
      </c>
      <c r="O379" s="92">
        <v>12975</v>
      </c>
      <c r="P379" s="92">
        <v>3926</v>
      </c>
      <c r="Q379" s="92">
        <v>4941</v>
      </c>
      <c r="R379" s="92">
        <v>6029</v>
      </c>
      <c r="S379" s="92">
        <v>283</v>
      </c>
      <c r="T379" s="92">
        <v>266</v>
      </c>
      <c r="U379" s="92">
        <v>816</v>
      </c>
      <c r="V379" s="92">
        <v>0</v>
      </c>
      <c r="W379" s="92">
        <v>0</v>
      </c>
      <c r="X379" s="92">
        <v>0</v>
      </c>
      <c r="Y379" s="92">
        <v>0</v>
      </c>
      <c r="Z379" s="92">
        <v>0</v>
      </c>
      <c r="AA379" s="92">
        <v>0</v>
      </c>
      <c r="AB379" s="92">
        <v>11467705</v>
      </c>
      <c r="AC379" s="92">
        <v>12078743</v>
      </c>
      <c r="AD379" s="92">
        <v>12776696</v>
      </c>
      <c r="AE379" s="92">
        <v>0</v>
      </c>
      <c r="AF379" s="92">
        <v>0</v>
      </c>
      <c r="AG379" s="92">
        <v>0</v>
      </c>
    </row>
    <row r="380" spans="1:35" x14ac:dyDescent="0.25">
      <c r="A380" t="str">
        <f t="shared" si="9"/>
        <v>14-13-5</v>
      </c>
      <c r="B380">
        <v>14</v>
      </c>
      <c r="C380" s="92" t="s">
        <v>1027</v>
      </c>
      <c r="D380" s="92">
        <v>13</v>
      </c>
      <c r="E380" s="92" t="s">
        <v>209</v>
      </c>
      <c r="F380" s="92">
        <v>5</v>
      </c>
      <c r="G380" s="92" t="s">
        <v>615</v>
      </c>
      <c r="H380" s="92"/>
      <c r="I380" s="92">
        <v>0</v>
      </c>
      <c r="J380" s="92">
        <v>462983802</v>
      </c>
      <c r="K380" s="92">
        <v>1</v>
      </c>
      <c r="L380" s="92">
        <v>0</v>
      </c>
      <c r="M380" s="92">
        <v>56556</v>
      </c>
      <c r="N380" s="92">
        <v>12975</v>
      </c>
      <c r="O380" s="92">
        <v>12975</v>
      </c>
      <c r="P380" s="92">
        <v>3926</v>
      </c>
      <c r="Q380" s="92">
        <v>4941</v>
      </c>
      <c r="R380" s="92">
        <v>6029</v>
      </c>
      <c r="S380" s="92">
        <v>283</v>
      </c>
      <c r="T380" s="92">
        <v>266</v>
      </c>
      <c r="U380" s="92">
        <v>816</v>
      </c>
      <c r="V380" s="92">
        <v>0</v>
      </c>
      <c r="W380" s="92">
        <v>0</v>
      </c>
      <c r="X380" s="92">
        <v>0</v>
      </c>
      <c r="Y380" s="92">
        <v>0</v>
      </c>
      <c r="Z380" s="92">
        <v>0</v>
      </c>
      <c r="AA380" s="92">
        <v>0</v>
      </c>
      <c r="AB380" s="92">
        <v>11467705</v>
      </c>
      <c r="AC380" s="92">
        <v>12078743</v>
      </c>
      <c r="AD380" s="92">
        <v>12776696</v>
      </c>
      <c r="AE380" s="92">
        <v>0</v>
      </c>
      <c r="AF380" s="92">
        <v>0</v>
      </c>
      <c r="AG380" s="92">
        <v>0</v>
      </c>
    </row>
    <row r="381" spans="1:35" x14ac:dyDescent="0.25">
      <c r="A381" t="str">
        <f t="shared" si="9"/>
        <v>28-14-20</v>
      </c>
      <c r="B381">
        <v>28</v>
      </c>
      <c r="C381" s="92" t="s">
        <v>1041</v>
      </c>
      <c r="D381" s="92">
        <v>14</v>
      </c>
      <c r="E381" s="92" t="s">
        <v>571</v>
      </c>
      <c r="F381" s="92">
        <v>20</v>
      </c>
      <c r="G381" s="92" t="s">
        <v>895</v>
      </c>
      <c r="H381" s="92"/>
      <c r="I381" s="92">
        <v>160720</v>
      </c>
      <c r="J381" s="92">
        <v>752039735</v>
      </c>
      <c r="K381" s="92">
        <v>1</v>
      </c>
      <c r="L381" s="92">
        <v>2252</v>
      </c>
      <c r="M381" s="92">
        <v>27983</v>
      </c>
      <c r="N381" s="92">
        <v>4077</v>
      </c>
      <c r="O381" s="92">
        <v>4077</v>
      </c>
      <c r="P381" s="92">
        <v>0</v>
      </c>
      <c r="Q381" s="92">
        <v>0</v>
      </c>
      <c r="R381" s="92">
        <v>0</v>
      </c>
      <c r="S381" s="92">
        <v>252</v>
      </c>
      <c r="T381" s="92">
        <v>0</v>
      </c>
      <c r="U381" s="92">
        <v>118</v>
      </c>
      <c r="V381" s="92">
        <v>0</v>
      </c>
      <c r="W381" s="92">
        <v>0</v>
      </c>
      <c r="X381" s="92">
        <v>0</v>
      </c>
      <c r="Y381" s="92">
        <v>0</v>
      </c>
      <c r="Z381" s="92">
        <v>0</v>
      </c>
      <c r="AA381" s="92">
        <v>0</v>
      </c>
      <c r="AB381" s="92">
        <v>5013163</v>
      </c>
      <c r="AC381" s="92">
        <v>5114298</v>
      </c>
      <c r="AD381" s="92">
        <v>5340497</v>
      </c>
      <c r="AE381" s="92">
        <v>0</v>
      </c>
      <c r="AF381" s="92">
        <v>0</v>
      </c>
      <c r="AG381" s="92">
        <v>0</v>
      </c>
      <c r="AI381" s="250">
        <v>1.41285E-4</v>
      </c>
    </row>
    <row r="382" spans="1:35" x14ac:dyDescent="0.25">
      <c r="A382" t="str">
        <f t="shared" si="9"/>
        <v>40-14-20</v>
      </c>
      <c r="B382">
        <v>40</v>
      </c>
      <c r="C382" s="92" t="s">
        <v>1051</v>
      </c>
      <c r="D382" s="92">
        <v>14</v>
      </c>
      <c r="E382" s="92" t="s">
        <v>571</v>
      </c>
      <c r="F382" s="92">
        <v>20</v>
      </c>
      <c r="G382" s="92" t="s">
        <v>895</v>
      </c>
      <c r="H382" s="92"/>
      <c r="I382" s="92">
        <v>160720</v>
      </c>
      <c r="J382" s="92">
        <v>29099314</v>
      </c>
      <c r="K382" s="92">
        <v>1</v>
      </c>
      <c r="L382" s="92">
        <v>2252</v>
      </c>
      <c r="M382" s="92">
        <v>27983</v>
      </c>
      <c r="N382" s="92">
        <v>4077</v>
      </c>
      <c r="O382" s="92">
        <v>4077</v>
      </c>
      <c r="P382" s="92">
        <v>0</v>
      </c>
      <c r="Q382" s="92">
        <v>0</v>
      </c>
      <c r="R382" s="92">
        <v>0</v>
      </c>
      <c r="S382" s="92">
        <v>252</v>
      </c>
      <c r="T382" s="92">
        <v>0</v>
      </c>
      <c r="U382" s="92">
        <v>118</v>
      </c>
      <c r="V382" s="92">
        <v>0</v>
      </c>
      <c r="W382" s="92">
        <v>0</v>
      </c>
      <c r="X382" s="92">
        <v>0</v>
      </c>
      <c r="Y382" s="92">
        <v>0</v>
      </c>
      <c r="Z382" s="92">
        <v>0</v>
      </c>
      <c r="AA382" s="92">
        <v>0</v>
      </c>
      <c r="AB382" s="92">
        <v>5013163</v>
      </c>
      <c r="AC382" s="92">
        <v>5114298</v>
      </c>
      <c r="AD382" s="92">
        <v>5340497</v>
      </c>
      <c r="AE382" s="92">
        <v>0</v>
      </c>
      <c r="AF382" s="92">
        <v>0</v>
      </c>
      <c r="AG382" s="92">
        <v>0</v>
      </c>
      <c r="AI382" s="250">
        <v>1.41285E-4</v>
      </c>
    </row>
    <row r="383" spans="1:35" x14ac:dyDescent="0.25">
      <c r="A383" t="str">
        <f t="shared" si="9"/>
        <v>9-9-129</v>
      </c>
      <c r="B383">
        <v>9</v>
      </c>
      <c r="C383" s="92" t="s">
        <v>1022</v>
      </c>
      <c r="D383" s="92">
        <v>9</v>
      </c>
      <c r="E383" s="92" t="s">
        <v>588</v>
      </c>
      <c r="F383" s="92">
        <v>129</v>
      </c>
      <c r="G383" s="92" t="s">
        <v>714</v>
      </c>
      <c r="H383" s="92"/>
      <c r="I383" s="92">
        <v>0</v>
      </c>
      <c r="J383" s="92">
        <v>0</v>
      </c>
      <c r="K383" s="92" t="s">
        <v>1061</v>
      </c>
      <c r="L383" s="92">
        <v>0</v>
      </c>
      <c r="M383" s="92">
        <v>0</v>
      </c>
      <c r="N383" s="92">
        <v>0</v>
      </c>
      <c r="O383" s="92">
        <v>0</v>
      </c>
      <c r="P383" s="92">
        <v>0</v>
      </c>
      <c r="Q383" s="92">
        <v>0</v>
      </c>
      <c r="R383" s="92">
        <v>0</v>
      </c>
      <c r="S383" s="92">
        <v>0</v>
      </c>
      <c r="T383" s="92">
        <v>0</v>
      </c>
      <c r="U383" s="92">
        <v>0</v>
      </c>
      <c r="V383" s="92">
        <v>0</v>
      </c>
      <c r="W383" s="92">
        <v>0</v>
      </c>
      <c r="X383" s="92">
        <v>0</v>
      </c>
      <c r="Y383" s="92">
        <v>0</v>
      </c>
      <c r="Z383" s="92">
        <v>0</v>
      </c>
      <c r="AA383" s="92">
        <v>0</v>
      </c>
      <c r="AB383" s="92">
        <v>159578</v>
      </c>
      <c r="AC383" s="92">
        <v>167710</v>
      </c>
      <c r="AD383" s="92">
        <v>181127</v>
      </c>
      <c r="AE383" s="92">
        <v>0</v>
      </c>
      <c r="AF383" s="92">
        <v>0</v>
      </c>
      <c r="AG383" s="92">
        <v>0</v>
      </c>
      <c r="AI383" s="250">
        <v>8.4425199999999998E-4</v>
      </c>
    </row>
    <row r="384" spans="1:35" x14ac:dyDescent="0.25">
      <c r="A384" t="str">
        <f t="shared" si="9"/>
        <v>25-7-25</v>
      </c>
      <c r="B384">
        <v>25</v>
      </c>
      <c r="C384" s="92" t="s">
        <v>1038</v>
      </c>
      <c r="D384" s="92">
        <v>7</v>
      </c>
      <c r="E384" s="92" t="s">
        <v>586</v>
      </c>
      <c r="F384" s="92">
        <v>25</v>
      </c>
      <c r="G384" s="92" t="s">
        <v>369</v>
      </c>
      <c r="H384" s="92"/>
      <c r="I384" s="92">
        <v>0</v>
      </c>
      <c r="J384" s="92">
        <v>3861861</v>
      </c>
      <c r="K384" s="92" t="s">
        <v>1061</v>
      </c>
      <c r="L384" s="92">
        <v>648</v>
      </c>
      <c r="M384" s="92">
        <v>385</v>
      </c>
      <c r="N384" s="92">
        <v>127</v>
      </c>
      <c r="O384" s="92">
        <v>127</v>
      </c>
      <c r="P384" s="92">
        <v>0</v>
      </c>
      <c r="Q384" s="92">
        <v>0</v>
      </c>
      <c r="R384" s="92">
        <v>0</v>
      </c>
      <c r="S384" s="92">
        <v>0</v>
      </c>
      <c r="T384" s="92">
        <v>0</v>
      </c>
      <c r="U384" s="92">
        <v>0</v>
      </c>
      <c r="V384" s="92">
        <v>0</v>
      </c>
      <c r="W384" s="92">
        <v>0</v>
      </c>
      <c r="X384" s="92">
        <v>0</v>
      </c>
      <c r="Y384" s="92">
        <v>0</v>
      </c>
      <c r="Z384" s="92">
        <v>0</v>
      </c>
      <c r="AA384" s="92">
        <v>0</v>
      </c>
      <c r="AB384" s="92">
        <v>31784</v>
      </c>
      <c r="AC384" s="92">
        <v>33109</v>
      </c>
      <c r="AD384" s="92">
        <v>34406</v>
      </c>
      <c r="AE384" s="92">
        <v>0</v>
      </c>
      <c r="AF384" s="92">
        <v>0</v>
      </c>
      <c r="AG384" s="92">
        <v>0</v>
      </c>
    </row>
    <row r="385" spans="1:35" x14ac:dyDescent="0.25">
      <c r="A385" t="str">
        <f t="shared" si="9"/>
        <v>25-9-12</v>
      </c>
      <c r="B385">
        <v>25</v>
      </c>
      <c r="C385" s="92" t="s">
        <v>1038</v>
      </c>
      <c r="D385" s="92">
        <v>9</v>
      </c>
      <c r="E385" s="92" t="s">
        <v>588</v>
      </c>
      <c r="F385" s="92">
        <v>12</v>
      </c>
      <c r="G385" s="92" t="s">
        <v>379</v>
      </c>
      <c r="H385" s="92"/>
      <c r="I385" s="92">
        <v>0</v>
      </c>
      <c r="J385" s="92">
        <v>4010084</v>
      </c>
      <c r="K385" s="92" t="s">
        <v>1061</v>
      </c>
      <c r="L385" s="92">
        <v>1368</v>
      </c>
      <c r="M385" s="92">
        <v>296</v>
      </c>
      <c r="N385" s="92">
        <v>171</v>
      </c>
      <c r="O385" s="92">
        <v>171</v>
      </c>
      <c r="P385" s="92">
        <v>0</v>
      </c>
      <c r="Q385" s="92">
        <v>0</v>
      </c>
      <c r="R385" s="92">
        <v>0</v>
      </c>
      <c r="S385" s="92">
        <v>0</v>
      </c>
      <c r="T385" s="92">
        <v>0</v>
      </c>
      <c r="U385" s="92">
        <v>0</v>
      </c>
      <c r="V385" s="92">
        <v>0</v>
      </c>
      <c r="W385" s="92">
        <v>0</v>
      </c>
      <c r="X385" s="92">
        <v>0</v>
      </c>
      <c r="Y385" s="92">
        <v>0</v>
      </c>
      <c r="Z385" s="92">
        <v>0</v>
      </c>
      <c r="AA385" s="92">
        <v>0</v>
      </c>
      <c r="AB385" s="92">
        <v>42742</v>
      </c>
      <c r="AC385" s="92">
        <v>44592</v>
      </c>
      <c r="AD385" s="92">
        <v>46624</v>
      </c>
      <c r="AE385" s="92">
        <v>0</v>
      </c>
      <c r="AF385" s="92">
        <v>0</v>
      </c>
      <c r="AG385" s="92">
        <v>0</v>
      </c>
      <c r="AI385" s="250">
        <v>3.0000099999999999E-4</v>
      </c>
    </row>
    <row r="386" spans="1:35" x14ac:dyDescent="0.25">
      <c r="A386" t="str">
        <f t="shared" si="9"/>
        <v>25-11-8</v>
      </c>
      <c r="B386">
        <v>25</v>
      </c>
      <c r="C386" s="92" t="s">
        <v>1038</v>
      </c>
      <c r="D386" s="92">
        <v>11</v>
      </c>
      <c r="E386" s="92" t="s">
        <v>1062</v>
      </c>
      <c r="F386" s="92">
        <v>8</v>
      </c>
      <c r="G386" s="92" t="s">
        <v>384</v>
      </c>
      <c r="H386" s="92"/>
      <c r="I386" s="92">
        <v>10759</v>
      </c>
      <c r="J386" s="92">
        <v>2893503</v>
      </c>
      <c r="K386" s="92" t="s">
        <v>1061</v>
      </c>
      <c r="L386" s="92">
        <v>898</v>
      </c>
      <c r="M386" s="92">
        <v>253</v>
      </c>
      <c r="N386" s="92">
        <v>106</v>
      </c>
      <c r="O386" s="92">
        <v>97</v>
      </c>
      <c r="P386" s="92">
        <v>0</v>
      </c>
      <c r="Q386" s="92">
        <v>0</v>
      </c>
      <c r="R386" s="92">
        <v>0</v>
      </c>
      <c r="S386" s="92">
        <v>0</v>
      </c>
      <c r="T386" s="92">
        <v>0</v>
      </c>
      <c r="U386" s="92">
        <v>0</v>
      </c>
      <c r="V386" s="92">
        <v>0</v>
      </c>
      <c r="W386" s="92">
        <v>0</v>
      </c>
      <c r="X386" s="92">
        <v>0</v>
      </c>
      <c r="Y386" s="92">
        <v>0</v>
      </c>
      <c r="Z386" s="92">
        <v>0</v>
      </c>
      <c r="AA386" s="92">
        <v>0</v>
      </c>
      <c r="AB386" s="92">
        <v>22201</v>
      </c>
      <c r="AC386" s="92">
        <v>23403</v>
      </c>
      <c r="AD386" s="92">
        <v>24636</v>
      </c>
      <c r="AE386" s="92">
        <v>0</v>
      </c>
      <c r="AF386" s="92">
        <v>0</v>
      </c>
      <c r="AG386" s="92">
        <v>0</v>
      </c>
    </row>
    <row r="387" spans="1:35" x14ac:dyDescent="0.25">
      <c r="A387" t="str">
        <f t="shared" si="9"/>
        <v>25-4-94</v>
      </c>
      <c r="B387">
        <v>25</v>
      </c>
      <c r="C387" s="92" t="s">
        <v>1038</v>
      </c>
      <c r="D387" s="92">
        <v>4</v>
      </c>
      <c r="E387" s="92" t="s">
        <v>66</v>
      </c>
      <c r="F387" s="92">
        <v>94</v>
      </c>
      <c r="G387" s="92" t="s">
        <v>860</v>
      </c>
      <c r="H387" s="92"/>
      <c r="I387" s="92">
        <v>0</v>
      </c>
      <c r="J387" s="92">
        <v>6295112</v>
      </c>
      <c r="K387" s="92">
        <v>1</v>
      </c>
      <c r="L387" s="92">
        <v>729</v>
      </c>
      <c r="M387" s="92">
        <v>7161</v>
      </c>
      <c r="N387" s="92">
        <v>998</v>
      </c>
      <c r="O387" s="92">
        <v>998</v>
      </c>
      <c r="P387" s="92">
        <v>0</v>
      </c>
      <c r="Q387" s="92">
        <v>0</v>
      </c>
      <c r="R387" s="92">
        <v>0</v>
      </c>
      <c r="S387" s="92">
        <v>0</v>
      </c>
      <c r="T387" s="92">
        <v>0</v>
      </c>
      <c r="U387" s="92">
        <v>0</v>
      </c>
      <c r="V387" s="92">
        <v>0</v>
      </c>
      <c r="W387" s="92">
        <v>0</v>
      </c>
      <c r="X387" s="92">
        <v>0</v>
      </c>
      <c r="Y387" s="92">
        <v>0</v>
      </c>
      <c r="Z387" s="92">
        <v>0</v>
      </c>
      <c r="AA387" s="92">
        <v>0</v>
      </c>
      <c r="AB387" s="92">
        <v>32527</v>
      </c>
      <c r="AC387" s="92">
        <v>33697</v>
      </c>
      <c r="AD387" s="92">
        <v>35065</v>
      </c>
      <c r="AE387" s="92">
        <v>0</v>
      </c>
      <c r="AF387" s="92">
        <v>0</v>
      </c>
      <c r="AG387" s="92">
        <v>0</v>
      </c>
    </row>
    <row r="388" spans="1:35" x14ac:dyDescent="0.25">
      <c r="A388" t="str">
        <f t="shared" si="9"/>
        <v>31-4-94</v>
      </c>
      <c r="B388">
        <v>31</v>
      </c>
      <c r="C388" s="92" t="s">
        <v>1044</v>
      </c>
      <c r="D388" s="92">
        <v>4</v>
      </c>
      <c r="E388" s="92" t="s">
        <v>66</v>
      </c>
      <c r="F388" s="92">
        <v>94</v>
      </c>
      <c r="G388" s="92" t="s">
        <v>860</v>
      </c>
      <c r="H388" s="92"/>
      <c r="I388" s="92">
        <v>0</v>
      </c>
      <c r="J388" s="92">
        <v>63</v>
      </c>
      <c r="K388" s="92">
        <v>1</v>
      </c>
      <c r="L388" s="92">
        <v>729</v>
      </c>
      <c r="M388" s="92">
        <v>7161</v>
      </c>
      <c r="N388" s="92">
        <v>998</v>
      </c>
      <c r="O388" s="92">
        <v>998</v>
      </c>
      <c r="P388" s="92">
        <v>0</v>
      </c>
      <c r="Q388" s="92">
        <v>0</v>
      </c>
      <c r="R388" s="92">
        <v>0</v>
      </c>
      <c r="S388" s="92">
        <v>0</v>
      </c>
      <c r="T388" s="92">
        <v>0</v>
      </c>
      <c r="U388" s="92">
        <v>0</v>
      </c>
      <c r="V388" s="92">
        <v>0</v>
      </c>
      <c r="W388" s="92">
        <v>0</v>
      </c>
      <c r="X388" s="92">
        <v>0</v>
      </c>
      <c r="Y388" s="92">
        <v>0</v>
      </c>
      <c r="Z388" s="92">
        <v>0</v>
      </c>
      <c r="AA388" s="92">
        <v>0</v>
      </c>
      <c r="AB388" s="92">
        <v>32527</v>
      </c>
      <c r="AC388" s="92">
        <v>33697</v>
      </c>
      <c r="AD388" s="92">
        <v>35065</v>
      </c>
      <c r="AE388" s="92">
        <v>0</v>
      </c>
      <c r="AF388" s="92">
        <v>0</v>
      </c>
      <c r="AG388" s="92">
        <v>0</v>
      </c>
    </row>
    <row r="389" spans="1:35" x14ac:dyDescent="0.25">
      <c r="A389" t="str">
        <f t="shared" si="9"/>
        <v>2-4-9</v>
      </c>
      <c r="B389">
        <v>2</v>
      </c>
      <c r="C389" s="92" t="s">
        <v>1017</v>
      </c>
      <c r="D389" s="92">
        <v>4</v>
      </c>
      <c r="E389" s="92" t="s">
        <v>66</v>
      </c>
      <c r="F389" s="92">
        <v>9</v>
      </c>
      <c r="G389" s="92" t="s">
        <v>625</v>
      </c>
      <c r="H389" s="92"/>
      <c r="I389" s="92">
        <v>0</v>
      </c>
      <c r="J389" s="92">
        <v>66805292</v>
      </c>
      <c r="K389" s="92" t="s">
        <v>1061</v>
      </c>
      <c r="L389" s="92">
        <v>0</v>
      </c>
      <c r="M389" s="92">
        <v>1879</v>
      </c>
      <c r="N389" s="92">
        <v>133</v>
      </c>
      <c r="O389" s="92">
        <v>133</v>
      </c>
      <c r="P389" s="92">
        <v>0</v>
      </c>
      <c r="Q389" s="92">
        <v>0</v>
      </c>
      <c r="R389" s="92">
        <v>0</v>
      </c>
      <c r="S389" s="92">
        <v>0</v>
      </c>
      <c r="T389" s="92">
        <v>0</v>
      </c>
      <c r="U389" s="92">
        <v>0</v>
      </c>
      <c r="V389" s="92">
        <v>0</v>
      </c>
      <c r="W389" s="92">
        <v>0</v>
      </c>
      <c r="X389" s="92">
        <v>0</v>
      </c>
      <c r="Y389" s="92">
        <v>0</v>
      </c>
      <c r="Z389" s="92">
        <v>0</v>
      </c>
      <c r="AA389" s="92">
        <v>0</v>
      </c>
      <c r="AB389" s="92">
        <v>19478</v>
      </c>
      <c r="AC389" s="92">
        <v>20189</v>
      </c>
      <c r="AD389" s="92">
        <v>20992</v>
      </c>
      <c r="AE389" s="92">
        <v>0</v>
      </c>
      <c r="AF389" s="92">
        <v>0</v>
      </c>
      <c r="AG389" s="92">
        <v>0</v>
      </c>
    </row>
    <row r="390" spans="1:35" x14ac:dyDescent="0.25">
      <c r="A390" t="str">
        <f t="shared" si="9"/>
        <v>2-5-19</v>
      </c>
      <c r="B390">
        <v>2</v>
      </c>
      <c r="C390" s="92" t="s">
        <v>1017</v>
      </c>
      <c r="D390" s="92">
        <v>5</v>
      </c>
      <c r="E390" s="92" t="s">
        <v>200</v>
      </c>
      <c r="F390" s="92">
        <v>19</v>
      </c>
      <c r="G390" s="92" t="s">
        <v>629</v>
      </c>
      <c r="H390" s="92"/>
      <c r="I390" s="92">
        <v>7595</v>
      </c>
      <c r="J390" s="92">
        <v>73539037</v>
      </c>
      <c r="K390" s="92" t="s">
        <v>1061</v>
      </c>
      <c r="L390" s="92">
        <v>1023</v>
      </c>
      <c r="M390" s="92">
        <v>923</v>
      </c>
      <c r="N390" s="92">
        <v>131</v>
      </c>
      <c r="O390" s="92">
        <v>131</v>
      </c>
      <c r="P390" s="92">
        <v>0</v>
      </c>
      <c r="Q390" s="92">
        <v>0</v>
      </c>
      <c r="R390" s="92">
        <v>0</v>
      </c>
      <c r="S390" s="92">
        <v>0</v>
      </c>
      <c r="T390" s="92">
        <v>0</v>
      </c>
      <c r="U390" s="92">
        <v>0</v>
      </c>
      <c r="V390" s="92">
        <v>0</v>
      </c>
      <c r="W390" s="92">
        <v>0</v>
      </c>
      <c r="X390" s="92">
        <v>0</v>
      </c>
      <c r="Y390" s="92">
        <v>0</v>
      </c>
      <c r="Z390" s="92">
        <v>0</v>
      </c>
      <c r="AA390" s="92">
        <v>0</v>
      </c>
      <c r="AB390" s="92">
        <v>109590</v>
      </c>
      <c r="AC390" s="92">
        <v>113730</v>
      </c>
      <c r="AD390" s="92">
        <v>118286</v>
      </c>
      <c r="AE390" s="92">
        <v>0</v>
      </c>
      <c r="AF390" s="92">
        <v>0</v>
      </c>
      <c r="AG390" s="92">
        <v>0</v>
      </c>
      <c r="AI390">
        <v>2.0907400000000001E-4</v>
      </c>
    </row>
    <row r="391" spans="1:35" x14ac:dyDescent="0.25">
      <c r="A391" t="str">
        <f t="shared" si="9"/>
        <v>2-7-26</v>
      </c>
      <c r="B391">
        <v>2</v>
      </c>
      <c r="C391" s="92" t="s">
        <v>1017</v>
      </c>
      <c r="D391" s="92">
        <v>7</v>
      </c>
      <c r="E391" s="92" t="s">
        <v>586</v>
      </c>
      <c r="F391" s="92">
        <v>26</v>
      </c>
      <c r="G391" s="92" t="s">
        <v>631</v>
      </c>
      <c r="H391" s="92"/>
      <c r="I391" s="92">
        <v>1646</v>
      </c>
      <c r="J391" s="92">
        <v>40336923</v>
      </c>
      <c r="K391" s="92" t="s">
        <v>1061</v>
      </c>
      <c r="L391" s="92">
        <v>259</v>
      </c>
      <c r="M391" s="92">
        <v>410</v>
      </c>
      <c r="N391" s="92">
        <v>37</v>
      </c>
      <c r="O391" s="92">
        <v>37</v>
      </c>
      <c r="P391" s="92">
        <v>0</v>
      </c>
      <c r="Q391" s="92">
        <v>0</v>
      </c>
      <c r="R391" s="92">
        <v>0</v>
      </c>
      <c r="S391" s="92">
        <v>0</v>
      </c>
      <c r="T391" s="92">
        <v>0</v>
      </c>
      <c r="U391" s="92">
        <v>0</v>
      </c>
      <c r="V391" s="92">
        <v>0</v>
      </c>
      <c r="W391" s="92">
        <v>0</v>
      </c>
      <c r="X391" s="92">
        <v>0</v>
      </c>
      <c r="Y391" s="92">
        <v>0</v>
      </c>
      <c r="Z391" s="92">
        <v>0</v>
      </c>
      <c r="AA391" s="92">
        <v>0</v>
      </c>
      <c r="AB391" s="92">
        <v>29500</v>
      </c>
      <c r="AC391" s="92">
        <v>30000</v>
      </c>
      <c r="AD391" s="92">
        <v>31228</v>
      </c>
      <c r="AE391" s="92">
        <v>0</v>
      </c>
      <c r="AF391" s="92">
        <v>0</v>
      </c>
      <c r="AG391" s="92">
        <v>0</v>
      </c>
    </row>
    <row r="392" spans="1:35" x14ac:dyDescent="0.25">
      <c r="A392" t="str">
        <f t="shared" si="9"/>
        <v>2-9-13</v>
      </c>
      <c r="B392">
        <v>2</v>
      </c>
      <c r="C392" s="92" t="s">
        <v>1017</v>
      </c>
      <c r="D392" s="92">
        <v>9</v>
      </c>
      <c r="E392" s="92" t="s">
        <v>588</v>
      </c>
      <c r="F392" s="92">
        <v>13</v>
      </c>
      <c r="G392" s="92" t="s">
        <v>634</v>
      </c>
      <c r="H392" s="92"/>
      <c r="I392" s="92">
        <v>4221</v>
      </c>
      <c r="J392" s="92">
        <v>0</v>
      </c>
      <c r="K392" s="92" t="s">
        <v>1061</v>
      </c>
      <c r="L392" s="92">
        <v>0</v>
      </c>
      <c r="M392" s="92">
        <v>0</v>
      </c>
      <c r="N392" s="92">
        <v>0</v>
      </c>
      <c r="O392" s="92">
        <v>0</v>
      </c>
      <c r="P392" s="92">
        <v>0</v>
      </c>
      <c r="Q392" s="92">
        <v>0</v>
      </c>
      <c r="R392" s="92">
        <v>0</v>
      </c>
      <c r="S392" s="92">
        <v>0</v>
      </c>
      <c r="T392" s="92">
        <v>0</v>
      </c>
      <c r="U392" s="92">
        <v>0</v>
      </c>
      <c r="V392" s="92">
        <v>0</v>
      </c>
      <c r="W392" s="92">
        <v>0</v>
      </c>
      <c r="X392" s="92">
        <v>0</v>
      </c>
      <c r="Y392" s="92">
        <v>0</v>
      </c>
      <c r="Z392" s="92">
        <v>0</v>
      </c>
      <c r="AA392" s="92">
        <v>0</v>
      </c>
      <c r="AB392" s="92">
        <v>91853</v>
      </c>
      <c r="AC392" s="92">
        <v>95336</v>
      </c>
      <c r="AD392" s="92">
        <v>98912</v>
      </c>
      <c r="AE392" s="92">
        <v>0</v>
      </c>
      <c r="AF392" s="92">
        <v>0</v>
      </c>
      <c r="AG392" s="92">
        <v>0</v>
      </c>
      <c r="AI392" s="250">
        <v>3.1097299999999998E-4</v>
      </c>
    </row>
    <row r="393" spans="1:35" x14ac:dyDescent="0.25">
      <c r="A393" t="str">
        <f t="shared" si="9"/>
        <v>2-14-12</v>
      </c>
      <c r="B393">
        <v>2</v>
      </c>
      <c r="C393" s="92" t="s">
        <v>1017</v>
      </c>
      <c r="D393" s="92">
        <v>14</v>
      </c>
      <c r="E393" s="92" t="s">
        <v>571</v>
      </c>
      <c r="F393" s="92">
        <v>12</v>
      </c>
      <c r="G393" s="92" t="s">
        <v>97</v>
      </c>
      <c r="H393" s="92"/>
      <c r="I393" s="92">
        <v>16807</v>
      </c>
      <c r="J393" s="92">
        <v>40336923</v>
      </c>
      <c r="K393" s="92" t="s">
        <v>1061</v>
      </c>
      <c r="L393" s="92">
        <v>714</v>
      </c>
      <c r="M393" s="92">
        <v>961</v>
      </c>
      <c r="N393" s="92">
        <v>65</v>
      </c>
      <c r="O393" s="92">
        <v>65</v>
      </c>
      <c r="P393" s="92">
        <v>0</v>
      </c>
      <c r="Q393" s="92">
        <v>0</v>
      </c>
      <c r="R393" s="92">
        <v>0</v>
      </c>
      <c r="S393" s="92">
        <v>0</v>
      </c>
      <c r="T393" s="92">
        <v>0</v>
      </c>
      <c r="U393" s="92">
        <v>0</v>
      </c>
      <c r="V393" s="92">
        <v>0</v>
      </c>
      <c r="W393" s="92">
        <v>0</v>
      </c>
      <c r="X393" s="92">
        <v>0</v>
      </c>
      <c r="Y393" s="92">
        <v>0</v>
      </c>
      <c r="Z393" s="92">
        <v>0</v>
      </c>
      <c r="AA393" s="92">
        <v>0</v>
      </c>
      <c r="AB393" s="92">
        <v>66292</v>
      </c>
      <c r="AC393" s="92">
        <v>66800</v>
      </c>
      <c r="AD393" s="92">
        <v>72282</v>
      </c>
      <c r="AE393" s="92">
        <v>1962</v>
      </c>
      <c r="AF393" s="92">
        <v>0</v>
      </c>
      <c r="AG393" s="92">
        <v>2027</v>
      </c>
      <c r="AI393" s="250">
        <v>1.66859E-4</v>
      </c>
    </row>
    <row r="394" spans="1:35" x14ac:dyDescent="0.25">
      <c r="A394" t="str">
        <f t="shared" si="9"/>
        <v>31-4-140</v>
      </c>
      <c r="B394">
        <v>31</v>
      </c>
      <c r="C394" s="92" t="s">
        <v>1044</v>
      </c>
      <c r="D394" s="92">
        <v>4</v>
      </c>
      <c r="E394" s="92" t="s">
        <v>66</v>
      </c>
      <c r="F394" s="92">
        <v>140</v>
      </c>
      <c r="G394" s="92" t="s">
        <v>922</v>
      </c>
      <c r="H394" s="92"/>
      <c r="I394" s="92">
        <v>0</v>
      </c>
      <c r="J394" s="92">
        <v>155149</v>
      </c>
      <c r="K394" s="92">
        <v>1</v>
      </c>
      <c r="L394" s="92">
        <v>8351</v>
      </c>
      <c r="M394" s="92">
        <v>894</v>
      </c>
      <c r="N394" s="92">
        <v>62</v>
      </c>
      <c r="O394" s="92">
        <v>62</v>
      </c>
      <c r="P394" s="92">
        <v>0</v>
      </c>
      <c r="Q394" s="92">
        <v>0</v>
      </c>
      <c r="R394" s="92">
        <v>0</v>
      </c>
      <c r="S394" s="92">
        <v>0</v>
      </c>
      <c r="T394" s="92">
        <v>0</v>
      </c>
      <c r="U394" s="92">
        <v>0</v>
      </c>
      <c r="V394" s="92">
        <v>0</v>
      </c>
      <c r="W394" s="92">
        <v>0</v>
      </c>
      <c r="X394" s="92">
        <v>0</v>
      </c>
      <c r="Y394" s="92">
        <v>0</v>
      </c>
      <c r="Z394" s="92">
        <v>0</v>
      </c>
      <c r="AA394" s="92">
        <v>0</v>
      </c>
      <c r="AB394" s="92">
        <v>13249</v>
      </c>
      <c r="AC394" s="92">
        <v>13711</v>
      </c>
      <c r="AD394" s="92">
        <v>14211</v>
      </c>
      <c r="AE394" s="92">
        <v>0</v>
      </c>
      <c r="AF394" s="92">
        <v>0</v>
      </c>
      <c r="AG394" s="92">
        <v>0</v>
      </c>
    </row>
    <row r="395" spans="1:35" x14ac:dyDescent="0.25">
      <c r="A395" t="str">
        <f t="shared" si="9"/>
        <v>35-4-140</v>
      </c>
      <c r="B395">
        <v>35</v>
      </c>
      <c r="C395" s="92" t="s">
        <v>1195</v>
      </c>
      <c r="D395" s="92">
        <v>4</v>
      </c>
      <c r="E395" s="92" t="s">
        <v>66</v>
      </c>
      <c r="F395" s="92">
        <v>140</v>
      </c>
      <c r="G395" s="92" t="s">
        <v>922</v>
      </c>
      <c r="H395" s="92"/>
      <c r="I395" s="92">
        <v>0</v>
      </c>
      <c r="J395" s="92">
        <v>3146770</v>
      </c>
      <c r="K395" s="92">
        <v>1</v>
      </c>
      <c r="L395" s="92">
        <v>8351</v>
      </c>
      <c r="M395" s="92">
        <v>894</v>
      </c>
      <c r="N395" s="92">
        <v>62</v>
      </c>
      <c r="O395" s="92">
        <v>62</v>
      </c>
      <c r="P395" s="92">
        <v>0</v>
      </c>
      <c r="Q395" s="92">
        <v>0</v>
      </c>
      <c r="R395" s="92">
        <v>0</v>
      </c>
      <c r="S395" s="92">
        <v>0</v>
      </c>
      <c r="T395" s="92">
        <v>0</v>
      </c>
      <c r="U395" s="92">
        <v>0</v>
      </c>
      <c r="V395" s="92">
        <v>0</v>
      </c>
      <c r="W395" s="92">
        <v>0</v>
      </c>
      <c r="X395" s="92">
        <v>0</v>
      </c>
      <c r="Y395" s="92">
        <v>0</v>
      </c>
      <c r="Z395" s="92">
        <v>0</v>
      </c>
      <c r="AA395" s="92">
        <v>0</v>
      </c>
      <c r="AB395" s="92">
        <v>13249</v>
      </c>
      <c r="AC395" s="92">
        <v>13711</v>
      </c>
      <c r="AD395" s="92">
        <v>14211</v>
      </c>
      <c r="AE395" s="92">
        <v>0</v>
      </c>
      <c r="AF395" s="92">
        <v>0</v>
      </c>
      <c r="AG395" s="92">
        <v>0</v>
      </c>
    </row>
    <row r="396" spans="1:35" x14ac:dyDescent="0.25">
      <c r="A396" t="str">
        <f t="shared" si="9"/>
        <v>19-2-19</v>
      </c>
      <c r="B396">
        <v>19</v>
      </c>
      <c r="C396" s="92" t="s">
        <v>1032</v>
      </c>
      <c r="D396" s="92">
        <v>2</v>
      </c>
      <c r="E396" s="92" t="s">
        <v>53</v>
      </c>
      <c r="F396" s="92">
        <v>19</v>
      </c>
      <c r="G396" s="92" t="s">
        <v>298</v>
      </c>
      <c r="H396" s="92"/>
      <c r="I396" s="92">
        <v>0</v>
      </c>
      <c r="J396" s="92">
        <v>19802948</v>
      </c>
      <c r="K396" s="92" t="s">
        <v>1061</v>
      </c>
      <c r="L396" s="92">
        <v>16407</v>
      </c>
      <c r="M396" s="92">
        <v>11562</v>
      </c>
      <c r="N396" s="92">
        <v>4449</v>
      </c>
      <c r="O396" s="92">
        <v>4449</v>
      </c>
      <c r="P396" s="92">
        <v>0</v>
      </c>
      <c r="Q396" s="92">
        <v>0</v>
      </c>
      <c r="R396" s="92">
        <v>0</v>
      </c>
      <c r="S396" s="92">
        <v>0</v>
      </c>
      <c r="T396" s="92">
        <v>0</v>
      </c>
      <c r="U396" s="92">
        <v>0</v>
      </c>
      <c r="V396" s="92">
        <v>0</v>
      </c>
      <c r="W396" s="92">
        <v>0</v>
      </c>
      <c r="X396" s="92">
        <v>0</v>
      </c>
      <c r="Y396" s="92">
        <v>0</v>
      </c>
      <c r="Z396" s="92">
        <v>0</v>
      </c>
      <c r="AA396" s="92">
        <v>0</v>
      </c>
      <c r="AB396" s="92">
        <v>1977104</v>
      </c>
      <c r="AC396" s="92">
        <v>2047068</v>
      </c>
      <c r="AD396" s="92">
        <v>2114768</v>
      </c>
      <c r="AE396" s="92">
        <v>0</v>
      </c>
      <c r="AF396" s="92">
        <v>0</v>
      </c>
      <c r="AG396" s="92">
        <v>0</v>
      </c>
    </row>
    <row r="397" spans="1:35" x14ac:dyDescent="0.25">
      <c r="A397" t="str">
        <f t="shared" si="9"/>
        <v>21-7-27</v>
      </c>
      <c r="B397">
        <v>21</v>
      </c>
      <c r="C397" s="92" t="s">
        <v>1034</v>
      </c>
      <c r="D397" s="92">
        <v>7</v>
      </c>
      <c r="E397" s="92" t="s">
        <v>586</v>
      </c>
      <c r="F397" s="92">
        <v>27</v>
      </c>
      <c r="G397" s="92" t="s">
        <v>321</v>
      </c>
      <c r="H397" s="92"/>
      <c r="I397" s="92">
        <v>10</v>
      </c>
      <c r="J397" s="92">
        <v>34487955</v>
      </c>
      <c r="K397" s="92" t="s">
        <v>1061</v>
      </c>
      <c r="L397" s="92">
        <v>438</v>
      </c>
      <c r="M397" s="92">
        <v>126</v>
      </c>
      <c r="N397" s="92">
        <v>60</v>
      </c>
      <c r="O397" s="92">
        <v>60</v>
      </c>
      <c r="P397" s="92">
        <v>0</v>
      </c>
      <c r="Q397" s="92">
        <v>0</v>
      </c>
      <c r="R397" s="92">
        <v>0</v>
      </c>
      <c r="S397" s="92">
        <v>0</v>
      </c>
      <c r="T397" s="92">
        <v>0</v>
      </c>
      <c r="U397" s="92">
        <v>0</v>
      </c>
      <c r="V397" s="92">
        <v>0</v>
      </c>
      <c r="W397" s="92">
        <v>0</v>
      </c>
      <c r="X397" s="92">
        <v>0</v>
      </c>
      <c r="Y397" s="92">
        <v>0</v>
      </c>
      <c r="Z397" s="92">
        <v>0</v>
      </c>
      <c r="AA397" s="92">
        <v>0</v>
      </c>
      <c r="AB397" s="92">
        <v>12691</v>
      </c>
      <c r="AC397" s="92">
        <v>13218</v>
      </c>
      <c r="AD397" s="92">
        <v>13218</v>
      </c>
      <c r="AE397" s="92">
        <v>0</v>
      </c>
      <c r="AF397" s="92">
        <v>0</v>
      </c>
      <c r="AG397" s="92">
        <v>0</v>
      </c>
    </row>
    <row r="398" spans="1:35" x14ac:dyDescent="0.25">
      <c r="A398" t="str">
        <f t="shared" si="9"/>
        <v>29-9-14</v>
      </c>
      <c r="B398">
        <v>29</v>
      </c>
      <c r="C398" s="92" t="s">
        <v>1042</v>
      </c>
      <c r="D398" s="92">
        <v>9</v>
      </c>
      <c r="E398" s="92" t="s">
        <v>588</v>
      </c>
      <c r="F398" s="92">
        <v>14</v>
      </c>
      <c r="G398" s="92" t="s">
        <v>905</v>
      </c>
      <c r="H398" s="92"/>
      <c r="I398" s="92">
        <v>1528</v>
      </c>
      <c r="J398" s="92">
        <v>5732098</v>
      </c>
      <c r="K398" s="92" t="s">
        <v>1061</v>
      </c>
      <c r="L398" s="92">
        <v>691</v>
      </c>
      <c r="M398" s="92">
        <v>915</v>
      </c>
      <c r="N398" s="92">
        <v>40</v>
      </c>
      <c r="O398" s="92">
        <v>40</v>
      </c>
      <c r="P398" s="92">
        <v>0</v>
      </c>
      <c r="Q398" s="92">
        <v>0</v>
      </c>
      <c r="R398" s="92">
        <v>0</v>
      </c>
      <c r="S398" s="92">
        <v>41.04</v>
      </c>
      <c r="T398" s="92">
        <v>23</v>
      </c>
      <c r="U398" s="92">
        <v>0</v>
      </c>
      <c r="V398" s="92">
        <v>0</v>
      </c>
      <c r="W398" s="92">
        <v>0</v>
      </c>
      <c r="X398" s="92">
        <v>0</v>
      </c>
      <c r="Y398" s="92">
        <v>0</v>
      </c>
      <c r="Z398" s="92">
        <v>0</v>
      </c>
      <c r="AA398" s="92">
        <v>0</v>
      </c>
      <c r="AB398" s="92">
        <v>59723</v>
      </c>
      <c r="AC398" s="92">
        <v>62420</v>
      </c>
      <c r="AD398" s="92">
        <v>65641</v>
      </c>
      <c r="AE398" s="92">
        <v>0</v>
      </c>
      <c r="AF398" s="92">
        <v>0</v>
      </c>
      <c r="AG398" s="92">
        <v>0</v>
      </c>
      <c r="AI398" s="250">
        <v>2.4678500000000002E-4</v>
      </c>
    </row>
    <row r="399" spans="1:35" x14ac:dyDescent="0.25">
      <c r="A399" t="str">
        <f t="shared" si="9"/>
        <v>29-17-32</v>
      </c>
      <c r="B399">
        <v>29</v>
      </c>
      <c r="C399" s="92" t="s">
        <v>1042</v>
      </c>
      <c r="D399" s="92">
        <v>17</v>
      </c>
      <c r="E399" s="92" t="s">
        <v>593</v>
      </c>
      <c r="F399" s="92">
        <v>32</v>
      </c>
      <c r="G399" s="92" t="s">
        <v>448</v>
      </c>
      <c r="H399" s="92"/>
      <c r="I399" s="92">
        <v>2609</v>
      </c>
      <c r="J399" s="92">
        <v>6232003</v>
      </c>
      <c r="K399" s="92" t="s">
        <v>1061</v>
      </c>
      <c r="L399" s="92">
        <v>0</v>
      </c>
      <c r="M399" s="92">
        <v>520</v>
      </c>
      <c r="N399" s="92">
        <v>33</v>
      </c>
      <c r="O399" s="92">
        <v>33</v>
      </c>
      <c r="P399" s="92">
        <v>0</v>
      </c>
      <c r="Q399" s="92">
        <v>0</v>
      </c>
      <c r="R399" s="92">
        <v>0</v>
      </c>
      <c r="S399" s="92">
        <v>34.18</v>
      </c>
      <c r="T399" s="92">
        <v>20</v>
      </c>
      <c r="U399" s="92">
        <v>0</v>
      </c>
      <c r="V399" s="92">
        <v>0</v>
      </c>
      <c r="W399" s="92">
        <v>0</v>
      </c>
      <c r="X399" s="92">
        <v>0</v>
      </c>
      <c r="Y399" s="92">
        <v>0</v>
      </c>
      <c r="Z399" s="92">
        <v>0</v>
      </c>
      <c r="AA399" s="92">
        <v>0</v>
      </c>
      <c r="AB399" s="92">
        <v>60179</v>
      </c>
      <c r="AC399" s="92">
        <v>63589</v>
      </c>
      <c r="AD399" s="92">
        <v>63609</v>
      </c>
      <c r="AE399" s="92">
        <v>0</v>
      </c>
      <c r="AF399" s="92">
        <v>0</v>
      </c>
      <c r="AG399" s="92">
        <v>0</v>
      </c>
    </row>
    <row r="400" spans="1:35" x14ac:dyDescent="0.25">
      <c r="A400" t="str">
        <f t="shared" si="9"/>
        <v>29-7-28</v>
      </c>
      <c r="B400">
        <v>29</v>
      </c>
      <c r="C400" s="92" t="s">
        <v>1042</v>
      </c>
      <c r="D400" s="92">
        <v>7</v>
      </c>
      <c r="E400" s="92" t="s">
        <v>586</v>
      </c>
      <c r="F400" s="92">
        <v>28</v>
      </c>
      <c r="G400" s="92" t="s">
        <v>902</v>
      </c>
      <c r="H400" s="92"/>
      <c r="I400" s="92">
        <v>707</v>
      </c>
      <c r="J400" s="92">
        <v>8182873</v>
      </c>
      <c r="K400" s="92" t="s">
        <v>1061</v>
      </c>
      <c r="L400" s="92">
        <v>75</v>
      </c>
      <c r="M400" s="92">
        <v>149</v>
      </c>
      <c r="N400" s="92">
        <v>6</v>
      </c>
      <c r="O400" s="92">
        <v>6</v>
      </c>
      <c r="P400" s="92">
        <v>0</v>
      </c>
      <c r="Q400" s="92">
        <v>0</v>
      </c>
      <c r="R400" s="92">
        <v>0</v>
      </c>
      <c r="S400" s="92">
        <v>1.88</v>
      </c>
      <c r="T400" s="92">
        <v>8</v>
      </c>
      <c r="U400" s="92">
        <v>0</v>
      </c>
      <c r="V400" s="92">
        <v>0</v>
      </c>
      <c r="W400" s="92">
        <v>0</v>
      </c>
      <c r="X400" s="92">
        <v>0</v>
      </c>
      <c r="Y400" s="92">
        <v>0</v>
      </c>
      <c r="Z400" s="92">
        <v>0</v>
      </c>
      <c r="AA400" s="92">
        <v>0</v>
      </c>
      <c r="AB400" s="92">
        <v>11778</v>
      </c>
      <c r="AC400" s="92">
        <v>11778</v>
      </c>
      <c r="AD400" s="92">
        <v>11778</v>
      </c>
      <c r="AE400" s="92">
        <v>0</v>
      </c>
      <c r="AF400" s="92">
        <v>0</v>
      </c>
      <c r="AG400" s="92">
        <v>0</v>
      </c>
    </row>
    <row r="401" spans="1:35" x14ac:dyDescent="0.25">
      <c r="A401" t="str">
        <f t="shared" si="9"/>
        <v>16-7-29</v>
      </c>
      <c r="B401">
        <v>16</v>
      </c>
      <c r="C401" s="92" t="s">
        <v>1029</v>
      </c>
      <c r="D401" s="92">
        <v>7</v>
      </c>
      <c r="E401" s="92" t="s">
        <v>586</v>
      </c>
      <c r="F401" s="92">
        <v>29</v>
      </c>
      <c r="G401" s="92" t="s">
        <v>271</v>
      </c>
      <c r="H401" s="92"/>
      <c r="I401" s="92">
        <v>0</v>
      </c>
      <c r="J401" s="92">
        <v>6019057</v>
      </c>
      <c r="K401" s="92" t="s">
        <v>1061</v>
      </c>
      <c r="L401" s="92">
        <v>770</v>
      </c>
      <c r="M401" s="92">
        <v>98</v>
      </c>
      <c r="N401" s="92">
        <v>10</v>
      </c>
      <c r="O401" s="92">
        <v>10</v>
      </c>
      <c r="P401" s="92">
        <v>0</v>
      </c>
      <c r="Q401" s="92">
        <v>0</v>
      </c>
      <c r="R401" s="92">
        <v>0</v>
      </c>
      <c r="S401" s="92">
        <v>0</v>
      </c>
      <c r="T401" s="92">
        <v>0</v>
      </c>
      <c r="U401" s="92">
        <v>0</v>
      </c>
      <c r="V401" s="92">
        <v>0</v>
      </c>
      <c r="W401" s="92">
        <v>0</v>
      </c>
      <c r="X401" s="92">
        <v>0</v>
      </c>
      <c r="Y401" s="92">
        <v>0</v>
      </c>
      <c r="Z401" s="92">
        <v>0</v>
      </c>
      <c r="AA401" s="92">
        <v>0</v>
      </c>
      <c r="AB401" s="92">
        <v>16590</v>
      </c>
      <c r="AC401" s="92">
        <v>17350</v>
      </c>
      <c r="AD401" s="92">
        <v>18004</v>
      </c>
      <c r="AE401" s="92">
        <v>0</v>
      </c>
      <c r="AF401" s="92">
        <v>0</v>
      </c>
      <c r="AG401" s="92">
        <v>0</v>
      </c>
    </row>
    <row r="402" spans="1:35" x14ac:dyDescent="0.25">
      <c r="A402" t="str">
        <f t="shared" si="9"/>
        <v>32-7-204</v>
      </c>
      <c r="B402">
        <v>32</v>
      </c>
      <c r="C402" s="92" t="s">
        <v>1045</v>
      </c>
      <c r="D402" s="92">
        <v>7</v>
      </c>
      <c r="E402" s="92" t="s">
        <v>586</v>
      </c>
      <c r="F402" s="92">
        <v>204</v>
      </c>
      <c r="G402" s="92" t="s">
        <v>470</v>
      </c>
      <c r="H402" s="92"/>
      <c r="I402" s="92">
        <v>0</v>
      </c>
      <c r="J402" s="92">
        <v>58022370</v>
      </c>
      <c r="K402" s="92" t="s">
        <v>1061</v>
      </c>
      <c r="L402" s="92">
        <v>0</v>
      </c>
      <c r="M402" s="92">
        <v>446</v>
      </c>
      <c r="N402" s="92">
        <v>224</v>
      </c>
      <c r="O402" s="92">
        <v>224</v>
      </c>
      <c r="P402" s="92">
        <v>0</v>
      </c>
      <c r="Q402" s="92">
        <v>0</v>
      </c>
      <c r="R402" s="92">
        <v>0</v>
      </c>
      <c r="S402" s="92">
        <v>1.88</v>
      </c>
      <c r="T402" s="92">
        <v>0</v>
      </c>
      <c r="U402" s="92">
        <v>0</v>
      </c>
      <c r="V402" s="92">
        <v>0</v>
      </c>
      <c r="W402" s="92">
        <v>0</v>
      </c>
      <c r="X402" s="92">
        <v>0</v>
      </c>
      <c r="Y402" s="92">
        <v>0</v>
      </c>
      <c r="Z402" s="92">
        <v>0</v>
      </c>
      <c r="AA402" s="92">
        <v>0</v>
      </c>
      <c r="AB402" s="92">
        <v>29270</v>
      </c>
      <c r="AC402" s="92">
        <v>30411</v>
      </c>
      <c r="AD402" s="92">
        <v>31438</v>
      </c>
      <c r="AE402" s="92">
        <v>0</v>
      </c>
      <c r="AF402" s="92">
        <v>0</v>
      </c>
      <c r="AG402" s="92">
        <v>0</v>
      </c>
    </row>
    <row r="403" spans="1:35" x14ac:dyDescent="0.25">
      <c r="A403" t="str">
        <f t="shared" si="9"/>
        <v>32-9-160</v>
      </c>
      <c r="B403">
        <v>32</v>
      </c>
      <c r="C403" s="92" t="s">
        <v>1045</v>
      </c>
      <c r="D403" s="92">
        <v>9</v>
      </c>
      <c r="E403" s="92" t="s">
        <v>588</v>
      </c>
      <c r="F403" s="92">
        <v>160</v>
      </c>
      <c r="G403" s="92" t="s">
        <v>936</v>
      </c>
      <c r="H403" s="92"/>
      <c r="I403" s="92">
        <v>0</v>
      </c>
      <c r="J403" s="92">
        <v>1411000</v>
      </c>
      <c r="K403" s="92" t="s">
        <v>1061</v>
      </c>
      <c r="L403" s="92">
        <v>0</v>
      </c>
      <c r="M403" s="92">
        <v>0</v>
      </c>
      <c r="N403" s="92">
        <v>0</v>
      </c>
      <c r="O403" s="92">
        <v>0</v>
      </c>
      <c r="P403" s="92">
        <v>0</v>
      </c>
      <c r="Q403" s="92">
        <v>0</v>
      </c>
      <c r="R403" s="92">
        <v>0</v>
      </c>
      <c r="S403" s="92">
        <v>5</v>
      </c>
      <c r="T403" s="92">
        <v>0</v>
      </c>
      <c r="U403" s="92">
        <v>0</v>
      </c>
      <c r="V403" s="92">
        <v>0</v>
      </c>
      <c r="W403" s="92">
        <v>0</v>
      </c>
      <c r="X403" s="92">
        <v>0</v>
      </c>
      <c r="Y403" s="92">
        <v>0</v>
      </c>
      <c r="Z403" s="92">
        <v>0</v>
      </c>
      <c r="AA403" s="92">
        <v>0</v>
      </c>
      <c r="AB403" s="92">
        <v>41712</v>
      </c>
      <c r="AC403" s="92">
        <v>43476</v>
      </c>
      <c r="AD403" s="92">
        <v>45278</v>
      </c>
      <c r="AE403" s="92">
        <v>0</v>
      </c>
      <c r="AF403" s="92">
        <v>0</v>
      </c>
      <c r="AG403" s="92">
        <v>0</v>
      </c>
      <c r="AI403" s="250">
        <v>1.268426E-3</v>
      </c>
    </row>
    <row r="404" spans="1:35" x14ac:dyDescent="0.25">
      <c r="A404" t="str">
        <f t="shared" ref="A404:A468" si="10">B404&amp;"-"&amp;D404&amp;"-"&amp;F404</f>
        <v>32-11-10</v>
      </c>
      <c r="B404">
        <v>32</v>
      </c>
      <c r="C404" s="92" t="s">
        <v>1045</v>
      </c>
      <c r="D404" s="92">
        <v>11</v>
      </c>
      <c r="E404" s="92" t="s">
        <v>1062</v>
      </c>
      <c r="F404" s="92">
        <v>10</v>
      </c>
      <c r="G404" s="92" t="s">
        <v>472</v>
      </c>
      <c r="H404" s="92"/>
      <c r="I404" s="92">
        <v>0</v>
      </c>
      <c r="J404" s="92">
        <v>49703803</v>
      </c>
      <c r="K404" s="92" t="s">
        <v>1061</v>
      </c>
      <c r="L404" s="92">
        <v>3545</v>
      </c>
      <c r="M404" s="92">
        <v>1744</v>
      </c>
      <c r="N404" s="92">
        <v>839</v>
      </c>
      <c r="O404" s="92">
        <v>834</v>
      </c>
      <c r="P404" s="92">
        <v>0</v>
      </c>
      <c r="Q404" s="92">
        <v>0</v>
      </c>
      <c r="R404" s="92">
        <v>0</v>
      </c>
      <c r="S404" s="92">
        <v>8.0399999999999991</v>
      </c>
      <c r="T404" s="92">
        <v>0</v>
      </c>
      <c r="U404" s="92">
        <v>0</v>
      </c>
      <c r="V404" s="92">
        <v>0</v>
      </c>
      <c r="W404" s="92">
        <v>0</v>
      </c>
      <c r="X404" s="92">
        <v>0</v>
      </c>
      <c r="Y404" s="92">
        <v>0</v>
      </c>
      <c r="Z404" s="92">
        <v>0</v>
      </c>
      <c r="AA404" s="92">
        <v>0</v>
      </c>
      <c r="AB404" s="92">
        <v>101834</v>
      </c>
      <c r="AC404" s="92">
        <v>105506</v>
      </c>
      <c r="AD404" s="92">
        <v>109278</v>
      </c>
      <c r="AE404" s="92">
        <v>0</v>
      </c>
      <c r="AF404" s="92">
        <v>0</v>
      </c>
      <c r="AG404" s="92">
        <v>0</v>
      </c>
    </row>
    <row r="405" spans="1:35" x14ac:dyDescent="0.25">
      <c r="A405" t="str">
        <f t="shared" si="10"/>
        <v>32-4-130</v>
      </c>
      <c r="B405">
        <v>32</v>
      </c>
      <c r="C405" s="92" t="s">
        <v>1045</v>
      </c>
      <c r="D405" s="92">
        <v>4</v>
      </c>
      <c r="E405" s="92" t="s">
        <v>66</v>
      </c>
      <c r="F405" s="92">
        <v>130</v>
      </c>
      <c r="G405" s="92" t="s">
        <v>931</v>
      </c>
      <c r="H405" s="92"/>
      <c r="I405" s="92">
        <v>0</v>
      </c>
      <c r="J405" s="92">
        <v>40177600</v>
      </c>
      <c r="K405" s="92" t="s">
        <v>1061</v>
      </c>
      <c r="L405" s="92">
        <v>0</v>
      </c>
      <c r="M405" s="92">
        <v>2893</v>
      </c>
      <c r="N405" s="92">
        <v>948</v>
      </c>
      <c r="O405" s="92">
        <v>948</v>
      </c>
      <c r="P405" s="92">
        <v>0</v>
      </c>
      <c r="Q405" s="92">
        <v>0</v>
      </c>
      <c r="R405" s="92">
        <v>0</v>
      </c>
      <c r="S405" s="92">
        <v>11</v>
      </c>
      <c r="T405" s="92">
        <v>0</v>
      </c>
      <c r="U405" s="92">
        <v>0</v>
      </c>
      <c r="V405" s="92">
        <v>0</v>
      </c>
      <c r="W405" s="92">
        <v>0</v>
      </c>
      <c r="X405" s="92">
        <v>0</v>
      </c>
      <c r="Y405" s="92">
        <v>0</v>
      </c>
      <c r="Z405" s="92">
        <v>0</v>
      </c>
      <c r="AA405" s="92">
        <v>0</v>
      </c>
      <c r="AB405" s="92">
        <v>3544</v>
      </c>
      <c r="AC405" s="92">
        <v>3683</v>
      </c>
      <c r="AD405" s="92">
        <v>3806</v>
      </c>
      <c r="AE405" s="92">
        <v>0</v>
      </c>
      <c r="AF405" s="92">
        <v>0</v>
      </c>
      <c r="AG405" s="92">
        <v>0</v>
      </c>
    </row>
    <row r="406" spans="1:35" x14ac:dyDescent="0.25">
      <c r="A406" t="str">
        <f t="shared" si="10"/>
        <v>4-7-31</v>
      </c>
      <c r="B406">
        <v>4</v>
      </c>
      <c r="C406" s="92" t="s">
        <v>1194</v>
      </c>
      <c r="D406" s="92">
        <v>7</v>
      </c>
      <c r="E406" s="92" t="s">
        <v>586</v>
      </c>
      <c r="F406" s="92">
        <v>31</v>
      </c>
      <c r="G406" s="92" t="s">
        <v>121</v>
      </c>
      <c r="H406" s="92"/>
      <c r="I406" s="92">
        <v>0</v>
      </c>
      <c r="J406" s="92">
        <v>22066796</v>
      </c>
      <c r="K406" s="92" t="s">
        <v>1061</v>
      </c>
      <c r="L406" s="92">
        <v>116</v>
      </c>
      <c r="M406" s="92">
        <v>65</v>
      </c>
      <c r="N406" s="92">
        <v>34</v>
      </c>
      <c r="O406" s="92">
        <v>34</v>
      </c>
      <c r="P406" s="92">
        <v>0</v>
      </c>
      <c r="Q406" s="92">
        <v>0</v>
      </c>
      <c r="R406" s="92">
        <v>0</v>
      </c>
      <c r="S406" s="92">
        <v>0</v>
      </c>
      <c r="T406" s="92">
        <v>0</v>
      </c>
      <c r="U406" s="92">
        <v>0</v>
      </c>
      <c r="V406" s="92">
        <v>0</v>
      </c>
      <c r="W406" s="92">
        <v>0</v>
      </c>
      <c r="X406" s="92">
        <v>0</v>
      </c>
      <c r="Y406" s="92">
        <v>0</v>
      </c>
      <c r="Z406" s="92">
        <v>0</v>
      </c>
      <c r="AA406" s="92">
        <v>0</v>
      </c>
      <c r="AB406" s="92">
        <v>6803</v>
      </c>
      <c r="AC406" s="92">
        <v>7071</v>
      </c>
      <c r="AD406" s="92">
        <v>7371</v>
      </c>
      <c r="AE406" s="92">
        <v>0</v>
      </c>
      <c r="AF406" s="92">
        <v>0</v>
      </c>
      <c r="AG406" s="92">
        <v>0</v>
      </c>
    </row>
    <row r="407" spans="1:35" x14ac:dyDescent="0.25">
      <c r="A407" t="str">
        <f t="shared" si="10"/>
        <v>43-9-177</v>
      </c>
      <c r="B407">
        <v>43</v>
      </c>
      <c r="C407" s="92" t="s">
        <v>1053</v>
      </c>
      <c r="D407" s="92">
        <v>9</v>
      </c>
      <c r="E407" s="92" t="s">
        <v>588</v>
      </c>
      <c r="F407" s="92">
        <v>177</v>
      </c>
      <c r="G407" s="92" t="s">
        <v>1003</v>
      </c>
      <c r="H407" s="92"/>
      <c r="I407" s="92">
        <v>0</v>
      </c>
      <c r="J407" s="92">
        <v>0</v>
      </c>
      <c r="K407" s="92" t="s">
        <v>1061</v>
      </c>
      <c r="L407" s="92">
        <v>0</v>
      </c>
      <c r="M407" s="92">
        <v>2117</v>
      </c>
      <c r="N407" s="92">
        <v>230</v>
      </c>
      <c r="O407" s="92">
        <v>230</v>
      </c>
      <c r="P407" s="92">
        <v>0</v>
      </c>
      <c r="Q407" s="92">
        <v>0</v>
      </c>
      <c r="R407" s="92">
        <v>0</v>
      </c>
      <c r="S407" s="92">
        <v>0</v>
      </c>
      <c r="T407" s="92">
        <v>0</v>
      </c>
      <c r="U407" s="92">
        <v>0</v>
      </c>
      <c r="V407" s="92">
        <v>0</v>
      </c>
      <c r="W407" s="92">
        <v>0</v>
      </c>
      <c r="X407" s="92">
        <v>0</v>
      </c>
      <c r="Y407" s="92">
        <v>0</v>
      </c>
      <c r="Z407" s="92">
        <v>0</v>
      </c>
      <c r="AA407" s="92">
        <v>0</v>
      </c>
      <c r="AB407" s="92">
        <v>1115014</v>
      </c>
      <c r="AC407" s="92">
        <v>1188638</v>
      </c>
      <c r="AD407" s="92">
        <v>1254026</v>
      </c>
      <c r="AE407" s="92">
        <v>0</v>
      </c>
      <c r="AF407" s="92">
        <v>0</v>
      </c>
      <c r="AG407" s="92">
        <v>0</v>
      </c>
      <c r="AI407" s="250">
        <v>3.7831300000000002E-4</v>
      </c>
    </row>
    <row r="408" spans="1:35" x14ac:dyDescent="0.25">
      <c r="A408" t="str">
        <f t="shared" si="10"/>
        <v>43-14-64</v>
      </c>
      <c r="B408">
        <v>43</v>
      </c>
      <c r="C408" s="92" t="s">
        <v>1053</v>
      </c>
      <c r="D408" s="92">
        <v>14</v>
      </c>
      <c r="E408" s="92" t="s">
        <v>571</v>
      </c>
      <c r="F408" s="92">
        <v>64</v>
      </c>
      <c r="G408" s="92" t="s">
        <v>572</v>
      </c>
      <c r="H408" s="92"/>
      <c r="I408" s="92">
        <v>0</v>
      </c>
      <c r="J408" s="92">
        <v>14590314</v>
      </c>
      <c r="K408" s="92" t="s">
        <v>1061</v>
      </c>
      <c r="L408" s="92">
        <v>0</v>
      </c>
      <c r="M408" s="92">
        <v>0</v>
      </c>
      <c r="N408" s="92">
        <v>15</v>
      </c>
      <c r="O408" s="92">
        <v>15</v>
      </c>
      <c r="P408" s="92">
        <v>0</v>
      </c>
      <c r="Q408" s="92">
        <v>0</v>
      </c>
      <c r="R408" s="92">
        <v>0</v>
      </c>
      <c r="S408" s="92">
        <v>0</v>
      </c>
      <c r="T408" s="92">
        <v>0</v>
      </c>
      <c r="U408" s="92">
        <v>0</v>
      </c>
      <c r="V408" s="92">
        <v>0</v>
      </c>
      <c r="W408" s="92">
        <v>0</v>
      </c>
      <c r="X408" s="92">
        <v>0</v>
      </c>
      <c r="Y408" s="92">
        <v>0</v>
      </c>
      <c r="Z408" s="92">
        <v>0</v>
      </c>
      <c r="AA408" s="92">
        <v>0</v>
      </c>
      <c r="AB408" s="92">
        <v>71079</v>
      </c>
      <c r="AC408" s="92">
        <v>75585</v>
      </c>
      <c r="AD408" s="92">
        <v>75585</v>
      </c>
      <c r="AE408" s="92">
        <v>0</v>
      </c>
      <c r="AF408" s="92">
        <v>0</v>
      </c>
      <c r="AG408" s="92">
        <v>0</v>
      </c>
      <c r="AI408" s="250">
        <v>2.2691999999999999E-5</v>
      </c>
    </row>
    <row r="409" spans="1:35" x14ac:dyDescent="0.25">
      <c r="A409" t="str">
        <f t="shared" si="10"/>
        <v>3-9-130</v>
      </c>
      <c r="B409">
        <v>3</v>
      </c>
      <c r="C409" s="92" t="s">
        <v>1018</v>
      </c>
      <c r="D409" s="92">
        <v>9</v>
      </c>
      <c r="E409" s="92" t="s">
        <v>588</v>
      </c>
      <c r="F409" s="92">
        <v>130</v>
      </c>
      <c r="G409" s="92" t="s">
        <v>647</v>
      </c>
      <c r="H409" s="92"/>
      <c r="I409" s="92">
        <v>1511</v>
      </c>
      <c r="J409" s="92">
        <v>0</v>
      </c>
      <c r="K409" s="92" t="s">
        <v>1061</v>
      </c>
      <c r="L409" s="92">
        <v>0</v>
      </c>
      <c r="M409" s="92">
        <v>0</v>
      </c>
      <c r="N409" s="92">
        <v>0</v>
      </c>
      <c r="O409" s="92">
        <v>0</v>
      </c>
      <c r="P409" s="92">
        <v>0</v>
      </c>
      <c r="Q409" s="92">
        <v>0</v>
      </c>
      <c r="R409" s="92">
        <v>0</v>
      </c>
      <c r="S409" s="92">
        <v>0</v>
      </c>
      <c r="T409" s="92">
        <v>0</v>
      </c>
      <c r="U409" s="92">
        <v>0</v>
      </c>
      <c r="V409" s="92">
        <v>0</v>
      </c>
      <c r="W409" s="92">
        <v>0</v>
      </c>
      <c r="X409" s="92">
        <v>0</v>
      </c>
      <c r="Y409" s="92">
        <v>0</v>
      </c>
      <c r="Z409" s="92">
        <v>0</v>
      </c>
      <c r="AA409" s="92">
        <v>0</v>
      </c>
      <c r="AB409" s="92">
        <v>63383</v>
      </c>
      <c r="AC409" s="92">
        <v>67016</v>
      </c>
      <c r="AD409" s="92">
        <v>70728</v>
      </c>
      <c r="AE409" s="92">
        <v>0</v>
      </c>
      <c r="AF409" s="92">
        <v>0</v>
      </c>
      <c r="AG409" s="92">
        <v>0</v>
      </c>
      <c r="AI409" s="250">
        <v>7.6282800000000001E-4</v>
      </c>
    </row>
    <row r="410" spans="1:35" x14ac:dyDescent="0.25">
      <c r="A410" t="str">
        <f t="shared" si="10"/>
        <v>3-11-12</v>
      </c>
      <c r="B410">
        <v>3</v>
      </c>
      <c r="C410" s="92" t="s">
        <v>1018</v>
      </c>
      <c r="D410" s="92">
        <v>11</v>
      </c>
      <c r="E410" s="92" t="s">
        <v>1062</v>
      </c>
      <c r="F410" s="92">
        <v>12</v>
      </c>
      <c r="G410" s="92" t="s">
        <v>651</v>
      </c>
      <c r="H410" s="92"/>
      <c r="I410" s="92">
        <v>0</v>
      </c>
      <c r="J410" s="92">
        <v>130698232</v>
      </c>
      <c r="K410" s="92">
        <v>1</v>
      </c>
      <c r="L410" s="92">
        <v>2212</v>
      </c>
      <c r="M410" s="92">
        <v>569</v>
      </c>
      <c r="N410" s="92">
        <v>412</v>
      </c>
      <c r="O410" s="92">
        <v>379</v>
      </c>
      <c r="P410" s="92">
        <v>0</v>
      </c>
      <c r="Q410" s="92">
        <v>0</v>
      </c>
      <c r="R410" s="92">
        <v>0</v>
      </c>
      <c r="S410" s="92">
        <v>0</v>
      </c>
      <c r="T410" s="92">
        <v>0</v>
      </c>
      <c r="U410" s="92">
        <v>0</v>
      </c>
      <c r="V410" s="92">
        <v>0</v>
      </c>
      <c r="W410" s="92">
        <v>0</v>
      </c>
      <c r="X410" s="92">
        <v>0</v>
      </c>
      <c r="Y410" s="92">
        <v>0</v>
      </c>
      <c r="Z410" s="92">
        <v>0</v>
      </c>
      <c r="AA410" s="92">
        <v>0</v>
      </c>
      <c r="AB410" s="92">
        <v>78070</v>
      </c>
      <c r="AC410" s="92">
        <v>80233</v>
      </c>
      <c r="AD410" s="92">
        <v>83505</v>
      </c>
      <c r="AE410" s="92">
        <v>700</v>
      </c>
      <c r="AF410" s="92">
        <v>0</v>
      </c>
      <c r="AG410" s="92">
        <v>0</v>
      </c>
    </row>
    <row r="411" spans="1:35" x14ac:dyDescent="0.25">
      <c r="A411" t="str">
        <f t="shared" si="10"/>
        <v>21-11-12</v>
      </c>
      <c r="B411">
        <v>21</v>
      </c>
      <c r="C411" s="92" t="s">
        <v>1034</v>
      </c>
      <c r="D411" s="92">
        <v>11</v>
      </c>
      <c r="E411" s="92" t="s">
        <v>1062</v>
      </c>
      <c r="F411" s="92">
        <v>12</v>
      </c>
      <c r="G411" s="92" t="s">
        <v>651</v>
      </c>
      <c r="H411" s="92"/>
      <c r="I411" s="92">
        <v>0</v>
      </c>
      <c r="J411" s="92">
        <v>545729</v>
      </c>
      <c r="K411" s="92">
        <v>1</v>
      </c>
      <c r="L411" s="92">
        <v>2212</v>
      </c>
      <c r="M411" s="92">
        <v>569</v>
      </c>
      <c r="N411" s="92">
        <v>412</v>
      </c>
      <c r="O411" s="92">
        <v>379</v>
      </c>
      <c r="P411" s="92">
        <v>0</v>
      </c>
      <c r="Q411" s="92">
        <v>0</v>
      </c>
      <c r="R411" s="92">
        <v>0</v>
      </c>
      <c r="S411" s="92">
        <v>0</v>
      </c>
      <c r="T411" s="92">
        <v>0</v>
      </c>
      <c r="U411" s="92">
        <v>0</v>
      </c>
      <c r="V411" s="92">
        <v>0</v>
      </c>
      <c r="W411" s="92">
        <v>0</v>
      </c>
      <c r="X411" s="92">
        <v>0</v>
      </c>
      <c r="Y411" s="92">
        <v>0</v>
      </c>
      <c r="Z411" s="92">
        <v>0</v>
      </c>
      <c r="AA411" s="92">
        <v>0</v>
      </c>
      <c r="AB411" s="92">
        <v>78070</v>
      </c>
      <c r="AC411" s="92">
        <v>80233</v>
      </c>
      <c r="AD411" s="92">
        <v>83505</v>
      </c>
      <c r="AE411" s="92">
        <v>700</v>
      </c>
      <c r="AF411" s="92">
        <v>0</v>
      </c>
      <c r="AG411" s="92">
        <v>0</v>
      </c>
    </row>
    <row r="412" spans="1:35" x14ac:dyDescent="0.25">
      <c r="A412" t="str">
        <f t="shared" si="10"/>
        <v>41-7-32</v>
      </c>
      <c r="B412">
        <v>41</v>
      </c>
      <c r="C412" s="92" t="s">
        <v>1052</v>
      </c>
      <c r="D412" s="92">
        <v>7</v>
      </c>
      <c r="E412" s="92" t="s">
        <v>586</v>
      </c>
      <c r="F412" s="92">
        <v>32</v>
      </c>
      <c r="G412" s="92" t="s">
        <v>982</v>
      </c>
      <c r="H412" s="92"/>
      <c r="I412" s="92">
        <v>3161</v>
      </c>
      <c r="J412" s="92">
        <v>3235631</v>
      </c>
      <c r="K412" s="92" t="s">
        <v>1061</v>
      </c>
      <c r="L412" s="92">
        <v>121</v>
      </c>
      <c r="M412" s="92">
        <v>313</v>
      </c>
      <c r="N412" s="92">
        <v>35</v>
      </c>
      <c r="O412" s="92">
        <v>35</v>
      </c>
      <c r="P412" s="92">
        <v>0</v>
      </c>
      <c r="Q412" s="92">
        <v>0</v>
      </c>
      <c r="R412" s="92">
        <v>0</v>
      </c>
      <c r="S412" s="92">
        <v>0</v>
      </c>
      <c r="T412" s="92">
        <v>0</v>
      </c>
      <c r="U412" s="92">
        <v>0</v>
      </c>
      <c r="V412" s="92">
        <v>0</v>
      </c>
      <c r="W412" s="92">
        <v>0</v>
      </c>
      <c r="X412" s="92">
        <v>0</v>
      </c>
      <c r="Y412" s="92">
        <v>0</v>
      </c>
      <c r="Z412" s="92">
        <v>0</v>
      </c>
      <c r="AA412" s="92">
        <v>0</v>
      </c>
      <c r="AB412" s="92">
        <v>41704</v>
      </c>
      <c r="AC412" s="92">
        <v>41235</v>
      </c>
      <c r="AD412" s="92">
        <v>44595</v>
      </c>
      <c r="AE412" s="92">
        <v>0</v>
      </c>
      <c r="AF412" s="92">
        <v>0</v>
      </c>
      <c r="AG412" s="92">
        <v>0</v>
      </c>
    </row>
    <row r="413" spans="1:35" x14ac:dyDescent="0.25">
      <c r="A413" t="str">
        <f t="shared" si="10"/>
        <v>1-7-33</v>
      </c>
      <c r="B413">
        <v>1</v>
      </c>
      <c r="C413" s="92" t="s">
        <v>1016</v>
      </c>
      <c r="D413" s="92">
        <v>7</v>
      </c>
      <c r="E413" s="92" t="s">
        <v>586</v>
      </c>
      <c r="F413" s="92">
        <v>33</v>
      </c>
      <c r="G413" s="92" t="s">
        <v>83</v>
      </c>
      <c r="H413" s="92"/>
      <c r="I413" s="92">
        <v>0</v>
      </c>
      <c r="J413" s="92">
        <v>108333156</v>
      </c>
      <c r="K413" s="92" t="s">
        <v>1061</v>
      </c>
      <c r="L413" s="92">
        <v>4</v>
      </c>
      <c r="M413" s="92">
        <v>636</v>
      </c>
      <c r="N413" s="92">
        <v>105</v>
      </c>
      <c r="O413" s="92">
        <v>105</v>
      </c>
      <c r="P413" s="92">
        <v>0</v>
      </c>
      <c r="Q413" s="92">
        <v>0</v>
      </c>
      <c r="R413" s="92">
        <v>0</v>
      </c>
      <c r="S413" s="92">
        <v>0</v>
      </c>
      <c r="T413" s="92">
        <v>3</v>
      </c>
      <c r="U413" s="92">
        <v>16</v>
      </c>
      <c r="V413" s="92">
        <v>0</v>
      </c>
      <c r="W413" s="92">
        <v>0</v>
      </c>
      <c r="X413" s="92">
        <v>0</v>
      </c>
      <c r="Y413" s="92">
        <v>0</v>
      </c>
      <c r="Z413" s="92">
        <v>0</v>
      </c>
      <c r="AA413" s="92">
        <v>0</v>
      </c>
      <c r="AB413" s="92">
        <v>231647</v>
      </c>
      <c r="AC413" s="92">
        <v>231647</v>
      </c>
      <c r="AD413" s="92">
        <v>241556</v>
      </c>
      <c r="AE413" s="92">
        <v>0</v>
      </c>
      <c r="AF413" s="92">
        <v>0</v>
      </c>
      <c r="AG413" s="92">
        <v>0</v>
      </c>
    </row>
    <row r="414" spans="1:35" x14ac:dyDescent="0.25">
      <c r="A414" t="str">
        <f t="shared" si="10"/>
        <v>18-17-2</v>
      </c>
      <c r="B414">
        <v>18</v>
      </c>
      <c r="C414" s="92" t="s">
        <v>1031</v>
      </c>
      <c r="D414" s="92">
        <v>17</v>
      </c>
      <c r="E414" s="92" t="s">
        <v>593</v>
      </c>
      <c r="F414" s="92">
        <v>2</v>
      </c>
      <c r="G414" s="92" t="s">
        <v>805</v>
      </c>
      <c r="H414" s="92"/>
      <c r="I414" s="92">
        <v>8694</v>
      </c>
      <c r="J414" s="92">
        <v>6834494</v>
      </c>
      <c r="K414" s="92" t="s">
        <v>1061</v>
      </c>
      <c r="L414" s="92">
        <v>274</v>
      </c>
      <c r="M414" s="92">
        <v>1990</v>
      </c>
      <c r="N414" s="92">
        <v>228</v>
      </c>
      <c r="O414" s="92">
        <v>228</v>
      </c>
      <c r="P414" s="92">
        <v>0</v>
      </c>
      <c r="Q414" s="92">
        <v>0</v>
      </c>
      <c r="R414" s="92">
        <v>0</v>
      </c>
      <c r="S414" s="92">
        <v>0</v>
      </c>
      <c r="T414" s="92">
        <v>0</v>
      </c>
      <c r="U414" s="92">
        <v>0</v>
      </c>
      <c r="V414" s="92">
        <v>0</v>
      </c>
      <c r="W414" s="92">
        <v>0</v>
      </c>
      <c r="X414" s="92">
        <v>0</v>
      </c>
      <c r="Y414" s="92">
        <v>0</v>
      </c>
      <c r="Z414" s="92">
        <v>0</v>
      </c>
      <c r="AA414" s="92">
        <v>0</v>
      </c>
      <c r="AB414" s="92">
        <v>74215</v>
      </c>
      <c r="AC414" s="92">
        <v>74137</v>
      </c>
      <c r="AD414" s="92">
        <v>74215</v>
      </c>
      <c r="AE414" s="92">
        <v>0</v>
      </c>
      <c r="AF414" s="92">
        <v>0</v>
      </c>
      <c r="AG414" s="92">
        <v>0</v>
      </c>
    </row>
    <row r="415" spans="1:35" x14ac:dyDescent="0.25">
      <c r="A415" t="str">
        <f t="shared" si="10"/>
        <v>18-4-201</v>
      </c>
      <c r="B415">
        <v>18</v>
      </c>
      <c r="C415" s="92" t="s">
        <v>1031</v>
      </c>
      <c r="D415" s="92">
        <v>4</v>
      </c>
      <c r="E415" s="92" t="s">
        <v>66</v>
      </c>
      <c r="F415" s="92">
        <v>201</v>
      </c>
      <c r="G415" s="92" t="s">
        <v>788</v>
      </c>
      <c r="H415" s="92"/>
      <c r="I415" s="92">
        <v>0</v>
      </c>
      <c r="J415" s="92">
        <v>1756499</v>
      </c>
      <c r="K415" s="92">
        <v>1</v>
      </c>
      <c r="L415" s="92">
        <v>2839</v>
      </c>
      <c r="M415" s="92">
        <v>15363</v>
      </c>
      <c r="N415" s="92">
        <v>372</v>
      </c>
      <c r="O415" s="92">
        <v>372</v>
      </c>
      <c r="P415" s="92">
        <v>0</v>
      </c>
      <c r="Q415" s="92">
        <v>0</v>
      </c>
      <c r="R415" s="92">
        <v>0</v>
      </c>
      <c r="S415" s="92">
        <v>180.34</v>
      </c>
      <c r="T415" s="92">
        <v>286</v>
      </c>
      <c r="U415" s="92">
        <v>0</v>
      </c>
      <c r="V415" s="92">
        <v>0</v>
      </c>
      <c r="W415" s="92">
        <v>0</v>
      </c>
      <c r="X415" s="92">
        <v>0</v>
      </c>
      <c r="Y415" s="92">
        <v>0</v>
      </c>
      <c r="Z415" s="92">
        <v>0</v>
      </c>
      <c r="AA415" s="92">
        <v>0</v>
      </c>
      <c r="AB415" s="92">
        <v>8774</v>
      </c>
      <c r="AC415" s="92">
        <v>9199</v>
      </c>
      <c r="AD415" s="92">
        <v>9616</v>
      </c>
      <c r="AE415" s="92">
        <v>0</v>
      </c>
      <c r="AF415" s="92">
        <v>0</v>
      </c>
      <c r="AG415" s="92">
        <v>0</v>
      </c>
    </row>
    <row r="416" spans="1:35" x14ac:dyDescent="0.25">
      <c r="A416" t="str">
        <f t="shared" si="10"/>
        <v>29-4-201</v>
      </c>
      <c r="B416">
        <v>29</v>
      </c>
      <c r="C416" s="92" t="s">
        <v>1042</v>
      </c>
      <c r="D416" s="92">
        <v>4</v>
      </c>
      <c r="E416" s="92" t="s">
        <v>66</v>
      </c>
      <c r="F416" s="92">
        <v>201</v>
      </c>
      <c r="G416" s="92" t="s">
        <v>788</v>
      </c>
      <c r="H416" s="92"/>
      <c r="I416" s="92">
        <v>0</v>
      </c>
      <c r="J416" s="92">
        <v>8315582</v>
      </c>
      <c r="K416" s="92">
        <v>1</v>
      </c>
      <c r="L416" s="92">
        <v>2839</v>
      </c>
      <c r="M416" s="92">
        <v>15363</v>
      </c>
      <c r="N416" s="92">
        <v>372</v>
      </c>
      <c r="O416" s="92">
        <v>372</v>
      </c>
      <c r="P416" s="92">
        <v>0</v>
      </c>
      <c r="Q416" s="92">
        <v>0</v>
      </c>
      <c r="R416" s="92">
        <v>0</v>
      </c>
      <c r="S416" s="92">
        <v>180.34</v>
      </c>
      <c r="T416" s="92">
        <v>286</v>
      </c>
      <c r="U416" s="92">
        <v>0</v>
      </c>
      <c r="V416" s="92">
        <v>0</v>
      </c>
      <c r="W416" s="92">
        <v>0</v>
      </c>
      <c r="X416" s="92">
        <v>0</v>
      </c>
      <c r="Y416" s="92">
        <v>0</v>
      </c>
      <c r="Z416" s="92">
        <v>0</v>
      </c>
      <c r="AA416" s="92">
        <v>0</v>
      </c>
      <c r="AB416" s="92">
        <v>8774</v>
      </c>
      <c r="AC416" s="92">
        <v>9199</v>
      </c>
      <c r="AD416" s="92">
        <v>9616</v>
      </c>
      <c r="AE416" s="92">
        <v>0</v>
      </c>
      <c r="AF416" s="92">
        <v>0</v>
      </c>
      <c r="AG416" s="92">
        <v>0</v>
      </c>
    </row>
    <row r="417" spans="1:35" x14ac:dyDescent="0.25">
      <c r="A417" t="str">
        <f t="shared" si="10"/>
        <v>1-9-15</v>
      </c>
      <c r="B417">
        <v>1</v>
      </c>
      <c r="C417" s="92" t="s">
        <v>1016</v>
      </c>
      <c r="D417" s="92">
        <v>9</v>
      </c>
      <c r="E417" s="92" t="s">
        <v>588</v>
      </c>
      <c r="F417" s="92">
        <v>15</v>
      </c>
      <c r="G417" s="92" t="s">
        <v>342</v>
      </c>
      <c r="H417" s="92"/>
      <c r="I417" s="92">
        <v>142</v>
      </c>
      <c r="J417" s="92">
        <v>0</v>
      </c>
      <c r="K417" s="92">
        <v>1</v>
      </c>
      <c r="L417" s="92">
        <v>1325</v>
      </c>
      <c r="M417" s="92">
        <v>23215</v>
      </c>
      <c r="N417" s="92">
        <v>3184</v>
      </c>
      <c r="O417" s="92">
        <v>3184</v>
      </c>
      <c r="P417" s="92">
        <v>0</v>
      </c>
      <c r="Q417" s="92">
        <v>0</v>
      </c>
      <c r="R417" s="92">
        <v>0</v>
      </c>
      <c r="S417" s="92">
        <v>0</v>
      </c>
      <c r="T417" s="92">
        <v>146</v>
      </c>
      <c r="U417" s="92">
        <v>789</v>
      </c>
      <c r="V417" s="92">
        <v>0</v>
      </c>
      <c r="W417" s="92">
        <v>0</v>
      </c>
      <c r="X417" s="92">
        <v>0</v>
      </c>
      <c r="Y417" s="92">
        <v>0</v>
      </c>
      <c r="Z417" s="92">
        <v>0</v>
      </c>
      <c r="AA417" s="92">
        <v>0</v>
      </c>
      <c r="AB417" s="92">
        <v>11464034</v>
      </c>
      <c r="AC417" s="92">
        <v>12086009</v>
      </c>
      <c r="AD417" s="92">
        <v>12673691</v>
      </c>
      <c r="AE417" s="92">
        <v>0</v>
      </c>
      <c r="AF417" s="92">
        <v>0</v>
      </c>
      <c r="AG417" s="92">
        <v>0</v>
      </c>
      <c r="AI417" s="250">
        <v>9.7125399999999995E-4</v>
      </c>
    </row>
    <row r="418" spans="1:35" x14ac:dyDescent="0.25">
      <c r="A418" t="str">
        <f t="shared" si="10"/>
        <v>8-9-15</v>
      </c>
      <c r="B418">
        <v>8</v>
      </c>
      <c r="C418" s="92" t="s">
        <v>1021</v>
      </c>
      <c r="D418" s="92">
        <v>9</v>
      </c>
      <c r="E418" s="92" t="s">
        <v>588</v>
      </c>
      <c r="F418" s="92">
        <v>15</v>
      </c>
      <c r="G418" s="92" t="s">
        <v>342</v>
      </c>
      <c r="H418" s="92"/>
      <c r="I418" s="92">
        <v>142</v>
      </c>
      <c r="J418" s="92">
        <v>0</v>
      </c>
      <c r="K418" s="92">
        <v>1</v>
      </c>
      <c r="L418" s="92">
        <v>1325</v>
      </c>
      <c r="M418" s="92">
        <v>23215</v>
      </c>
      <c r="N418" s="92">
        <v>3184</v>
      </c>
      <c r="O418" s="92">
        <v>3184</v>
      </c>
      <c r="P418" s="92">
        <v>0</v>
      </c>
      <c r="Q418" s="92">
        <v>0</v>
      </c>
      <c r="R418" s="92">
        <v>0</v>
      </c>
      <c r="S418" s="92">
        <v>0</v>
      </c>
      <c r="T418" s="92">
        <v>146</v>
      </c>
      <c r="U418" s="92">
        <v>789</v>
      </c>
      <c r="V418" s="92">
        <v>0</v>
      </c>
      <c r="W418" s="92">
        <v>0</v>
      </c>
      <c r="X418" s="92">
        <v>0</v>
      </c>
      <c r="Y418" s="92">
        <v>0</v>
      </c>
      <c r="Z418" s="92">
        <v>0</v>
      </c>
      <c r="AA418" s="92">
        <v>0</v>
      </c>
      <c r="AB418" s="92">
        <v>11464034</v>
      </c>
      <c r="AC418" s="92">
        <v>12086009</v>
      </c>
      <c r="AD418" s="92">
        <v>12673691</v>
      </c>
      <c r="AE418" s="92">
        <v>0</v>
      </c>
      <c r="AF418" s="92">
        <v>0</v>
      </c>
      <c r="AG418" s="92">
        <v>0</v>
      </c>
      <c r="AI418" s="250">
        <v>9.7125399999999995E-4</v>
      </c>
    </row>
    <row r="419" spans="1:35" x14ac:dyDescent="0.25">
      <c r="A419" t="str">
        <f t="shared" si="10"/>
        <v>23-9-15</v>
      </c>
      <c r="B419">
        <v>23</v>
      </c>
      <c r="C419" s="92" t="s">
        <v>1036</v>
      </c>
      <c r="D419" s="92">
        <v>9</v>
      </c>
      <c r="E419" s="92" t="s">
        <v>588</v>
      </c>
      <c r="F419" s="92">
        <v>15</v>
      </c>
      <c r="G419" s="92" t="s">
        <v>342</v>
      </c>
      <c r="H419" s="92"/>
      <c r="I419" s="92">
        <v>142</v>
      </c>
      <c r="J419" s="92">
        <v>0</v>
      </c>
      <c r="K419" s="92">
        <v>1</v>
      </c>
      <c r="L419" s="92">
        <v>1325</v>
      </c>
      <c r="M419" s="92">
        <v>23215</v>
      </c>
      <c r="N419" s="92">
        <v>3184</v>
      </c>
      <c r="O419" s="92">
        <v>3184</v>
      </c>
      <c r="P419" s="92">
        <v>0</v>
      </c>
      <c r="Q419" s="92">
        <v>0</v>
      </c>
      <c r="R419" s="92">
        <v>0</v>
      </c>
      <c r="S419" s="92">
        <v>0</v>
      </c>
      <c r="T419" s="92">
        <v>146</v>
      </c>
      <c r="U419" s="92">
        <v>789</v>
      </c>
      <c r="V419" s="92">
        <v>0</v>
      </c>
      <c r="W419" s="92">
        <v>0</v>
      </c>
      <c r="X419" s="92">
        <v>0</v>
      </c>
      <c r="Y419" s="92">
        <v>0</v>
      </c>
      <c r="Z419" s="92">
        <v>0</v>
      </c>
      <c r="AA419" s="92">
        <v>0</v>
      </c>
      <c r="AB419" s="92">
        <v>11464034</v>
      </c>
      <c r="AC419" s="92">
        <v>12086009</v>
      </c>
      <c r="AD419" s="92">
        <v>12673691</v>
      </c>
      <c r="AE419" s="92">
        <v>0</v>
      </c>
      <c r="AF419" s="92">
        <v>0</v>
      </c>
      <c r="AG419" s="92">
        <v>0</v>
      </c>
      <c r="AI419" s="250">
        <v>9.7125399999999995E-4</v>
      </c>
    </row>
    <row r="420" spans="1:35" x14ac:dyDescent="0.25">
      <c r="A420" t="str">
        <f t="shared" si="10"/>
        <v>1-20-6</v>
      </c>
      <c r="B420">
        <v>1</v>
      </c>
      <c r="C420" s="92" t="s">
        <v>1016</v>
      </c>
      <c r="D420" s="92">
        <v>20</v>
      </c>
      <c r="E420" s="92" t="s">
        <v>153</v>
      </c>
      <c r="F420" s="92">
        <v>6</v>
      </c>
      <c r="G420" s="92" t="s">
        <v>617</v>
      </c>
      <c r="H420" s="92"/>
      <c r="I420" s="92">
        <v>42110</v>
      </c>
      <c r="J420" s="92">
        <v>60460404</v>
      </c>
      <c r="K420" s="92" t="s">
        <v>1061</v>
      </c>
      <c r="L420" s="92">
        <v>1</v>
      </c>
      <c r="M420" s="92">
        <v>372</v>
      </c>
      <c r="N420" s="92">
        <v>51</v>
      </c>
      <c r="O420" s="92">
        <v>51</v>
      </c>
      <c r="P420" s="92">
        <v>0</v>
      </c>
      <c r="Q420" s="92">
        <v>0</v>
      </c>
      <c r="R420" s="92">
        <v>0</v>
      </c>
      <c r="S420" s="92">
        <v>0</v>
      </c>
      <c r="T420" s="92">
        <v>2</v>
      </c>
      <c r="U420" s="92">
        <v>12</v>
      </c>
      <c r="V420" s="92">
        <v>0</v>
      </c>
      <c r="W420" s="92">
        <v>0</v>
      </c>
      <c r="X420" s="92">
        <v>0</v>
      </c>
      <c r="Y420" s="92">
        <v>0</v>
      </c>
      <c r="Z420" s="92">
        <v>0</v>
      </c>
      <c r="AA420" s="92">
        <v>0</v>
      </c>
      <c r="AB420" s="92">
        <v>134414</v>
      </c>
      <c r="AC420" s="92">
        <v>140344</v>
      </c>
      <c r="AD420" s="92">
        <v>140334</v>
      </c>
      <c r="AE420" s="92">
        <v>0</v>
      </c>
      <c r="AF420" s="92">
        <v>0</v>
      </c>
      <c r="AG420" s="92">
        <v>0</v>
      </c>
    </row>
    <row r="421" spans="1:35" x14ac:dyDescent="0.25">
      <c r="A421" t="str">
        <f t="shared" si="10"/>
        <v>9-14-13</v>
      </c>
      <c r="B421">
        <v>9</v>
      </c>
      <c r="C421" s="92" t="s">
        <v>1022</v>
      </c>
      <c r="D421" s="92">
        <v>14</v>
      </c>
      <c r="E421" s="92" t="s">
        <v>571</v>
      </c>
      <c r="F421" s="92">
        <v>13</v>
      </c>
      <c r="G421" s="92" t="s">
        <v>189</v>
      </c>
      <c r="H421" s="92"/>
      <c r="I421" s="92">
        <v>487248</v>
      </c>
      <c r="J421" s="92">
        <v>459950852</v>
      </c>
      <c r="K421" s="92" t="s">
        <v>1061</v>
      </c>
      <c r="L421" s="92">
        <v>3336</v>
      </c>
      <c r="M421" s="92">
        <v>30497</v>
      </c>
      <c r="N421" s="92">
        <v>3968</v>
      </c>
      <c r="O421" s="92">
        <v>3968</v>
      </c>
      <c r="P421" s="92">
        <v>0</v>
      </c>
      <c r="Q421" s="92">
        <v>0</v>
      </c>
      <c r="R421" s="92">
        <v>0</v>
      </c>
      <c r="S421" s="92">
        <v>614</v>
      </c>
      <c r="T421" s="92">
        <v>223</v>
      </c>
      <c r="U421" s="92">
        <v>249</v>
      </c>
      <c r="V421" s="92">
        <v>0</v>
      </c>
      <c r="W421" s="92">
        <v>0</v>
      </c>
      <c r="X421" s="92">
        <v>0</v>
      </c>
      <c r="Y421" s="92">
        <v>0</v>
      </c>
      <c r="Z421" s="92">
        <v>0</v>
      </c>
      <c r="AA421" s="92">
        <v>0</v>
      </c>
      <c r="AB421" s="92">
        <v>3109007</v>
      </c>
      <c r="AC421" s="92">
        <v>3181590</v>
      </c>
      <c r="AD421" s="92">
        <v>3225991</v>
      </c>
      <c r="AE421" s="92">
        <v>0</v>
      </c>
      <c r="AF421" s="92">
        <v>0</v>
      </c>
      <c r="AG421" s="92">
        <v>0</v>
      </c>
      <c r="AI421" s="250">
        <v>2.31189E-4</v>
      </c>
    </row>
    <row r="422" spans="1:35" x14ac:dyDescent="0.25">
      <c r="A422" t="str">
        <f t="shared" si="10"/>
        <v>8-5-35</v>
      </c>
      <c r="B422">
        <v>8</v>
      </c>
      <c r="C422" s="92" t="s">
        <v>1021</v>
      </c>
      <c r="D422" s="92">
        <v>5</v>
      </c>
      <c r="E422" s="92" t="s">
        <v>200</v>
      </c>
      <c r="F422" s="92">
        <v>35</v>
      </c>
      <c r="G422" s="92" t="s">
        <v>1343</v>
      </c>
      <c r="H422" s="92"/>
      <c r="I422" s="92">
        <v>0</v>
      </c>
      <c r="J422" s="92">
        <v>9923369</v>
      </c>
      <c r="K422" s="92" t="s">
        <v>1061</v>
      </c>
      <c r="L422" s="92">
        <v>0</v>
      </c>
      <c r="M422" s="92">
        <v>0</v>
      </c>
      <c r="N422" s="92">
        <v>0</v>
      </c>
      <c r="O422" s="92">
        <v>0</v>
      </c>
      <c r="P422" s="92">
        <v>0</v>
      </c>
      <c r="Q422" s="92">
        <v>0</v>
      </c>
      <c r="R422" s="92">
        <v>0</v>
      </c>
      <c r="S422" s="92">
        <v>0</v>
      </c>
      <c r="T422" s="92">
        <v>0</v>
      </c>
      <c r="U422" s="92">
        <v>0</v>
      </c>
      <c r="V422" s="92">
        <v>0</v>
      </c>
      <c r="W422" s="92">
        <v>0</v>
      </c>
      <c r="X422" s="92">
        <v>0</v>
      </c>
      <c r="Y422" s="92">
        <v>0</v>
      </c>
      <c r="Z422" s="92">
        <v>0</v>
      </c>
      <c r="AA422" s="92">
        <v>0</v>
      </c>
      <c r="AB422" s="92">
        <v>0</v>
      </c>
      <c r="AC422" s="92">
        <v>0</v>
      </c>
      <c r="AD422" s="92">
        <v>484382</v>
      </c>
      <c r="AE422" s="92">
        <v>0</v>
      </c>
      <c r="AF422" s="92">
        <v>0</v>
      </c>
      <c r="AG422" s="92">
        <v>0</v>
      </c>
      <c r="AI422">
        <v>3.9674799999999999E-4</v>
      </c>
    </row>
    <row r="423" spans="1:35" x14ac:dyDescent="0.25">
      <c r="A423" t="str">
        <f t="shared" si="10"/>
        <v>9-9-191</v>
      </c>
      <c r="B423">
        <v>9</v>
      </c>
      <c r="C423" s="92" t="s">
        <v>1022</v>
      </c>
      <c r="D423" s="92">
        <v>9</v>
      </c>
      <c r="E423" s="92" t="s">
        <v>588</v>
      </c>
      <c r="F423" s="92">
        <v>191</v>
      </c>
      <c r="G423" s="92" t="s">
        <v>719</v>
      </c>
      <c r="H423" s="92"/>
      <c r="I423" s="92">
        <v>0</v>
      </c>
      <c r="J423" s="92">
        <v>0</v>
      </c>
      <c r="K423" s="92" t="s">
        <v>1061</v>
      </c>
      <c r="L423" s="92">
        <v>0</v>
      </c>
      <c r="M423" s="92">
        <v>0</v>
      </c>
      <c r="N423" s="92">
        <v>0</v>
      </c>
      <c r="O423" s="92">
        <v>0</v>
      </c>
      <c r="P423" s="92">
        <v>0</v>
      </c>
      <c r="Q423" s="92">
        <v>0</v>
      </c>
      <c r="R423" s="92">
        <v>0</v>
      </c>
      <c r="S423" s="92">
        <v>0</v>
      </c>
      <c r="T423" s="92">
        <v>0</v>
      </c>
      <c r="U423" s="92">
        <v>0</v>
      </c>
      <c r="V423" s="92">
        <v>0</v>
      </c>
      <c r="W423" s="92">
        <v>0</v>
      </c>
      <c r="X423" s="92">
        <v>0</v>
      </c>
      <c r="Y423" s="92">
        <v>0</v>
      </c>
      <c r="Z423" s="92">
        <v>0</v>
      </c>
      <c r="AA423" s="92">
        <v>0</v>
      </c>
      <c r="AB423" s="92">
        <v>339300</v>
      </c>
      <c r="AC423" s="92">
        <v>351575</v>
      </c>
      <c r="AD423" s="92">
        <v>365496</v>
      </c>
      <c r="AE423" s="92">
        <v>0</v>
      </c>
      <c r="AF423" s="92">
        <v>0</v>
      </c>
      <c r="AG423" s="92">
        <v>0</v>
      </c>
      <c r="AI423" s="250">
        <v>1.0892580000000001E-3</v>
      </c>
    </row>
    <row r="424" spans="1:35" x14ac:dyDescent="0.25">
      <c r="A424" t="str">
        <f t="shared" si="10"/>
        <v>28-11-14</v>
      </c>
      <c r="B424">
        <v>28</v>
      </c>
      <c r="C424" s="92" t="s">
        <v>1041</v>
      </c>
      <c r="D424" s="92">
        <v>11</v>
      </c>
      <c r="E424" s="92" t="s">
        <v>1062</v>
      </c>
      <c r="F424" s="92">
        <v>14</v>
      </c>
      <c r="G424" s="92" t="s">
        <v>894</v>
      </c>
      <c r="H424" s="92"/>
      <c r="I424" s="92">
        <v>48219</v>
      </c>
      <c r="J424" s="92">
        <v>103865761</v>
      </c>
      <c r="K424" s="92" t="s">
        <v>1061</v>
      </c>
      <c r="L424" s="92">
        <v>424</v>
      </c>
      <c r="M424" s="92">
        <v>4485</v>
      </c>
      <c r="N424" s="92">
        <v>516</v>
      </c>
      <c r="O424" s="92">
        <v>500</v>
      </c>
      <c r="P424" s="92">
        <v>0</v>
      </c>
      <c r="Q424" s="92">
        <v>0</v>
      </c>
      <c r="R424" s="92">
        <v>0</v>
      </c>
      <c r="S424" s="92">
        <v>0</v>
      </c>
      <c r="T424" s="92">
        <v>0</v>
      </c>
      <c r="U424" s="92">
        <v>0</v>
      </c>
      <c r="V424" s="92">
        <v>0</v>
      </c>
      <c r="W424" s="92">
        <v>0</v>
      </c>
      <c r="X424" s="92">
        <v>0</v>
      </c>
      <c r="Y424" s="92">
        <v>0</v>
      </c>
      <c r="Z424" s="92">
        <v>0</v>
      </c>
      <c r="AA424" s="92">
        <v>0</v>
      </c>
      <c r="AB424" s="92">
        <v>1706109</v>
      </c>
      <c r="AC424" s="92">
        <v>1784024</v>
      </c>
      <c r="AD424" s="92">
        <v>1874074</v>
      </c>
      <c r="AE424" s="92">
        <v>0</v>
      </c>
      <c r="AF424" s="92">
        <v>0</v>
      </c>
      <c r="AG424" s="92">
        <v>0</v>
      </c>
    </row>
    <row r="425" spans="1:35" x14ac:dyDescent="0.25">
      <c r="A425" t="str">
        <f t="shared" si="10"/>
        <v>20-17-18</v>
      </c>
      <c r="B425">
        <v>20</v>
      </c>
      <c r="C425" s="92" t="s">
        <v>1033</v>
      </c>
      <c r="D425" s="92">
        <v>17</v>
      </c>
      <c r="E425" s="92" t="s">
        <v>593</v>
      </c>
      <c r="F425" s="92">
        <v>18</v>
      </c>
      <c r="G425" s="92" t="s">
        <v>831</v>
      </c>
      <c r="H425" s="92"/>
      <c r="I425" s="92">
        <v>3103</v>
      </c>
      <c r="J425" s="92">
        <v>269663975</v>
      </c>
      <c r="K425" s="92" t="s">
        <v>1061</v>
      </c>
      <c r="L425" s="92">
        <v>4248</v>
      </c>
      <c r="M425" s="92">
        <v>2264</v>
      </c>
      <c r="N425" s="92">
        <v>1129</v>
      </c>
      <c r="O425" s="92">
        <v>1129</v>
      </c>
      <c r="P425" s="92">
        <v>0</v>
      </c>
      <c r="Q425" s="92">
        <v>4163</v>
      </c>
      <c r="R425" s="92">
        <v>5894</v>
      </c>
      <c r="S425" s="92">
        <v>0</v>
      </c>
      <c r="T425" s="92">
        <v>0</v>
      </c>
      <c r="U425" s="92">
        <v>0</v>
      </c>
      <c r="V425" s="92">
        <v>0</v>
      </c>
      <c r="W425" s="92">
        <v>0</v>
      </c>
      <c r="X425" s="92">
        <v>0</v>
      </c>
      <c r="Y425" s="92">
        <v>0</v>
      </c>
      <c r="Z425" s="92">
        <v>0</v>
      </c>
      <c r="AA425" s="92">
        <v>0</v>
      </c>
      <c r="AB425" s="92">
        <v>156249</v>
      </c>
      <c r="AC425" s="92">
        <v>158616</v>
      </c>
      <c r="AD425" s="92">
        <v>162660</v>
      </c>
      <c r="AE425" s="92">
        <v>0</v>
      </c>
      <c r="AF425" s="92">
        <v>0</v>
      </c>
      <c r="AG425" s="92">
        <v>0</v>
      </c>
    </row>
    <row r="426" spans="1:35" x14ac:dyDescent="0.25">
      <c r="A426" t="str">
        <f t="shared" si="10"/>
        <v>37-14-14</v>
      </c>
      <c r="B426">
        <v>37</v>
      </c>
      <c r="C426" s="92" t="s">
        <v>1049</v>
      </c>
      <c r="D426" s="92">
        <v>14</v>
      </c>
      <c r="E426" s="92" t="s">
        <v>571</v>
      </c>
      <c r="F426" s="92">
        <v>14</v>
      </c>
      <c r="G426" s="92" t="s">
        <v>517</v>
      </c>
      <c r="H426" s="92"/>
      <c r="I426" s="92">
        <v>0</v>
      </c>
      <c r="J426" s="92">
        <v>46555787</v>
      </c>
      <c r="K426" s="92" t="s">
        <v>1061</v>
      </c>
      <c r="L426" s="92">
        <v>2616</v>
      </c>
      <c r="M426" s="92">
        <v>350</v>
      </c>
      <c r="N426" s="92">
        <v>97</v>
      </c>
      <c r="O426" s="92">
        <v>97</v>
      </c>
      <c r="P426" s="92">
        <v>0</v>
      </c>
      <c r="Q426" s="92">
        <v>0</v>
      </c>
      <c r="R426" s="92">
        <v>0</v>
      </c>
      <c r="S426" s="92">
        <v>0</v>
      </c>
      <c r="T426" s="92">
        <v>0</v>
      </c>
      <c r="U426" s="92">
        <v>0</v>
      </c>
      <c r="V426" s="92">
        <v>0</v>
      </c>
      <c r="W426" s="92">
        <v>0</v>
      </c>
      <c r="X426" s="92">
        <v>0</v>
      </c>
      <c r="Y426" s="92">
        <v>0</v>
      </c>
      <c r="Z426" s="92">
        <v>0</v>
      </c>
      <c r="AA426" s="92">
        <v>0</v>
      </c>
      <c r="AB426" s="92">
        <v>49876</v>
      </c>
      <c r="AC426" s="92">
        <v>51820</v>
      </c>
      <c r="AD426" s="92">
        <v>55093</v>
      </c>
      <c r="AE426" s="92">
        <v>0</v>
      </c>
      <c r="AF426" s="92">
        <v>0</v>
      </c>
      <c r="AG426" s="92">
        <v>928</v>
      </c>
      <c r="AI426" s="250">
        <v>2.4475000000000001E-4</v>
      </c>
    </row>
    <row r="427" spans="1:35" x14ac:dyDescent="0.25">
      <c r="A427" t="str">
        <f t="shared" si="10"/>
        <v>39-9-16</v>
      </c>
      <c r="B427">
        <v>39</v>
      </c>
      <c r="C427" s="92" t="s">
        <v>79</v>
      </c>
      <c r="D427" s="92">
        <v>9</v>
      </c>
      <c r="E427" s="92" t="s">
        <v>588</v>
      </c>
      <c r="F427" s="92">
        <v>16</v>
      </c>
      <c r="G427" s="92" t="s">
        <v>969</v>
      </c>
      <c r="H427" s="92"/>
      <c r="I427" s="92">
        <v>9630</v>
      </c>
      <c r="J427" s="92">
        <v>0</v>
      </c>
      <c r="K427" s="92" t="s">
        <v>1061</v>
      </c>
      <c r="L427" s="92">
        <v>119</v>
      </c>
      <c r="M427" s="92">
        <v>690</v>
      </c>
      <c r="N427" s="92">
        <v>284</v>
      </c>
      <c r="O427" s="92">
        <v>284</v>
      </c>
      <c r="P427" s="92">
        <v>0</v>
      </c>
      <c r="Q427" s="92">
        <v>0</v>
      </c>
      <c r="R427" s="92">
        <v>0</v>
      </c>
      <c r="S427" s="92">
        <v>0</v>
      </c>
      <c r="T427" s="92">
        <v>0</v>
      </c>
      <c r="U427" s="92">
        <v>0</v>
      </c>
      <c r="V427" s="92">
        <v>0</v>
      </c>
      <c r="W427" s="92">
        <v>0</v>
      </c>
      <c r="X427" s="92">
        <v>0</v>
      </c>
      <c r="Y427" s="92">
        <v>0</v>
      </c>
      <c r="Z427" s="92">
        <v>0</v>
      </c>
      <c r="AA427" s="92">
        <v>0</v>
      </c>
      <c r="AB427" s="92">
        <v>164294</v>
      </c>
      <c r="AC427" s="92">
        <v>169256</v>
      </c>
      <c r="AD427" s="92">
        <v>174366</v>
      </c>
      <c r="AE427" s="92">
        <v>0</v>
      </c>
      <c r="AF427" s="92">
        <v>0</v>
      </c>
      <c r="AG427" s="92">
        <v>0</v>
      </c>
      <c r="AI427" s="250">
        <v>4.13392E-4</v>
      </c>
    </row>
    <row r="428" spans="1:35" x14ac:dyDescent="0.25">
      <c r="A428" t="str">
        <f t="shared" si="10"/>
        <v>28-9-153</v>
      </c>
      <c r="B428">
        <v>28</v>
      </c>
      <c r="C428" s="92" t="s">
        <v>1041</v>
      </c>
      <c r="D428" s="92">
        <v>9</v>
      </c>
      <c r="E428" s="92" t="s">
        <v>588</v>
      </c>
      <c r="F428" s="92">
        <v>153</v>
      </c>
      <c r="G428" s="92" t="s">
        <v>418</v>
      </c>
      <c r="H428" s="92"/>
      <c r="I428" s="92">
        <v>65153</v>
      </c>
      <c r="J428" s="92">
        <v>9549455</v>
      </c>
      <c r="K428" s="92" t="s">
        <v>1061</v>
      </c>
      <c r="L428" s="92">
        <v>0</v>
      </c>
      <c r="M428" s="92">
        <v>1062</v>
      </c>
      <c r="N428" s="92">
        <v>66</v>
      </c>
      <c r="O428" s="92">
        <v>66</v>
      </c>
      <c r="P428" s="92">
        <v>0</v>
      </c>
      <c r="Q428" s="92">
        <v>0</v>
      </c>
      <c r="R428" s="92">
        <v>0</v>
      </c>
      <c r="S428" s="92">
        <v>0</v>
      </c>
      <c r="T428" s="92">
        <v>0</v>
      </c>
      <c r="U428" s="92">
        <v>0</v>
      </c>
      <c r="V428" s="92">
        <v>0</v>
      </c>
      <c r="W428" s="92">
        <v>0</v>
      </c>
      <c r="X428" s="92">
        <v>0</v>
      </c>
      <c r="Y428" s="92">
        <v>0</v>
      </c>
      <c r="Z428" s="92">
        <v>0</v>
      </c>
      <c r="AA428" s="92">
        <v>0</v>
      </c>
      <c r="AB428" s="92">
        <v>701026</v>
      </c>
      <c r="AC428" s="92">
        <v>774812</v>
      </c>
      <c r="AD428" s="92">
        <v>842258</v>
      </c>
      <c r="AE428" s="92">
        <v>0</v>
      </c>
      <c r="AF428" s="92">
        <v>21688</v>
      </c>
      <c r="AG428" s="92">
        <v>24082</v>
      </c>
      <c r="AI428" s="250">
        <v>3.8284700000000002E-4</v>
      </c>
    </row>
    <row r="429" spans="1:35" x14ac:dyDescent="0.25">
      <c r="A429" t="str">
        <f t="shared" si="10"/>
        <v>43-15-10</v>
      </c>
      <c r="B429">
        <v>43</v>
      </c>
      <c r="C429" s="92" t="s">
        <v>1053</v>
      </c>
      <c r="D429" s="92">
        <v>15</v>
      </c>
      <c r="E429" s="92" t="s">
        <v>152</v>
      </c>
      <c r="F429" s="92">
        <v>10</v>
      </c>
      <c r="G429" s="92" t="s">
        <v>573</v>
      </c>
      <c r="H429" s="92"/>
      <c r="I429" s="92">
        <v>18569</v>
      </c>
      <c r="J429" s="92">
        <v>5927802</v>
      </c>
      <c r="K429" s="92" t="s">
        <v>1061</v>
      </c>
      <c r="L429" s="92">
        <v>0</v>
      </c>
      <c r="M429" s="92">
        <v>216</v>
      </c>
      <c r="N429" s="92">
        <v>53</v>
      </c>
      <c r="O429" s="92">
        <v>53</v>
      </c>
      <c r="P429" s="92">
        <v>0</v>
      </c>
      <c r="Q429" s="92">
        <v>0</v>
      </c>
      <c r="R429" s="92">
        <v>0</v>
      </c>
      <c r="S429" s="92">
        <v>0</v>
      </c>
      <c r="T429" s="92">
        <v>0</v>
      </c>
      <c r="U429" s="92">
        <v>0</v>
      </c>
      <c r="V429" s="92">
        <v>0</v>
      </c>
      <c r="W429" s="92">
        <v>0</v>
      </c>
      <c r="X429" s="92">
        <v>0</v>
      </c>
      <c r="Y429" s="92">
        <v>0</v>
      </c>
      <c r="Z429" s="92">
        <v>0</v>
      </c>
      <c r="AA429" s="92">
        <v>0</v>
      </c>
      <c r="AB429" s="92">
        <v>272945</v>
      </c>
      <c r="AC429" s="92">
        <v>290511</v>
      </c>
      <c r="AD429" s="92">
        <v>307130</v>
      </c>
      <c r="AE429" s="92">
        <v>0</v>
      </c>
      <c r="AF429" s="92">
        <v>0</v>
      </c>
      <c r="AG429" s="92">
        <v>0</v>
      </c>
    </row>
    <row r="430" spans="1:35" x14ac:dyDescent="0.25">
      <c r="A430" t="str">
        <f t="shared" si="10"/>
        <v>16-11-15</v>
      </c>
      <c r="B430">
        <v>16</v>
      </c>
      <c r="C430" s="92" t="s">
        <v>1029</v>
      </c>
      <c r="D430" s="92">
        <v>11</v>
      </c>
      <c r="E430" s="92" t="s">
        <v>1062</v>
      </c>
      <c r="F430" s="92">
        <v>15</v>
      </c>
      <c r="G430" s="92" t="s">
        <v>779</v>
      </c>
      <c r="H430" s="92">
        <v>1</v>
      </c>
      <c r="I430" s="92">
        <v>0</v>
      </c>
      <c r="J430" s="92">
        <v>1777774</v>
      </c>
      <c r="K430" s="92"/>
      <c r="L430" s="92">
        <v>0</v>
      </c>
      <c r="M430" s="92">
        <v>0</v>
      </c>
      <c r="N430" s="92">
        <v>0</v>
      </c>
      <c r="O430" s="92">
        <v>0</v>
      </c>
      <c r="P430" s="92">
        <v>0</v>
      </c>
      <c r="Q430" s="92">
        <v>0</v>
      </c>
      <c r="R430" s="92">
        <v>0</v>
      </c>
      <c r="S430" s="92">
        <v>0</v>
      </c>
      <c r="T430" s="92">
        <v>0</v>
      </c>
      <c r="U430" s="92">
        <v>0</v>
      </c>
      <c r="V430" s="92">
        <v>0</v>
      </c>
      <c r="W430" s="92">
        <v>0</v>
      </c>
      <c r="X430" s="92">
        <v>0</v>
      </c>
      <c r="Y430" s="92">
        <v>0</v>
      </c>
      <c r="Z430" s="92">
        <v>0</v>
      </c>
      <c r="AA430" s="92">
        <v>0</v>
      </c>
      <c r="AB430" s="92">
        <v>64003</v>
      </c>
      <c r="AC430" s="92">
        <v>65920</v>
      </c>
      <c r="AD430" s="92">
        <v>69104</v>
      </c>
      <c r="AE430" s="92">
        <v>0</v>
      </c>
      <c r="AF430" s="92">
        <v>0</v>
      </c>
      <c r="AG430" s="92">
        <v>0</v>
      </c>
    </row>
    <row r="431" spans="1:35" x14ac:dyDescent="0.25">
      <c r="A431" t="str">
        <f t="shared" si="10"/>
        <v>30-9-105</v>
      </c>
      <c r="B431">
        <v>30</v>
      </c>
      <c r="C431" s="92" t="s">
        <v>1043</v>
      </c>
      <c r="D431" s="92">
        <v>9</v>
      </c>
      <c r="E431" s="92" t="s">
        <v>588</v>
      </c>
      <c r="F431" s="92">
        <v>105</v>
      </c>
      <c r="G431" s="92" t="s">
        <v>917</v>
      </c>
      <c r="H431" s="92"/>
      <c r="I431" s="92">
        <v>34</v>
      </c>
      <c r="J431" s="92">
        <v>0</v>
      </c>
      <c r="K431" s="92" t="s">
        <v>1061</v>
      </c>
      <c r="L431" s="92">
        <v>0</v>
      </c>
      <c r="M431" s="92">
        <v>34</v>
      </c>
      <c r="N431" s="92">
        <v>40</v>
      </c>
      <c r="O431" s="92">
        <v>40</v>
      </c>
      <c r="P431" s="92">
        <v>0</v>
      </c>
      <c r="Q431" s="92">
        <v>0</v>
      </c>
      <c r="R431" s="92">
        <v>0</v>
      </c>
      <c r="S431" s="92">
        <v>0</v>
      </c>
      <c r="T431" s="92">
        <v>0</v>
      </c>
      <c r="U431" s="92">
        <v>0</v>
      </c>
      <c r="V431" s="92">
        <v>0</v>
      </c>
      <c r="W431" s="92">
        <v>0</v>
      </c>
      <c r="X431" s="92">
        <v>0</v>
      </c>
      <c r="Y431" s="92">
        <v>0</v>
      </c>
      <c r="Z431" s="92">
        <v>0</v>
      </c>
      <c r="AA431" s="92">
        <v>0</v>
      </c>
      <c r="AB431" s="92">
        <v>36462</v>
      </c>
      <c r="AC431" s="92">
        <v>38683</v>
      </c>
      <c r="AD431" s="92">
        <v>40388</v>
      </c>
      <c r="AE431" s="92">
        <v>0</v>
      </c>
      <c r="AF431" s="92">
        <v>0</v>
      </c>
      <c r="AG431" s="92">
        <v>0</v>
      </c>
      <c r="AI431" s="250">
        <v>5.5794899999999997E-4</v>
      </c>
    </row>
    <row r="432" spans="1:35" x14ac:dyDescent="0.25">
      <c r="A432" t="str">
        <f t="shared" si="10"/>
        <v>30-19-24</v>
      </c>
      <c r="B432">
        <v>30</v>
      </c>
      <c r="C432" s="92" t="s">
        <v>1043</v>
      </c>
      <c r="D432" s="92">
        <v>19</v>
      </c>
      <c r="E432" s="92" t="s">
        <v>1063</v>
      </c>
      <c r="F432" s="92">
        <v>24</v>
      </c>
      <c r="G432" s="92" t="s">
        <v>455</v>
      </c>
      <c r="H432" s="92"/>
      <c r="I432" s="92">
        <v>1</v>
      </c>
      <c r="J432" s="92">
        <v>215953</v>
      </c>
      <c r="K432" s="92" t="s">
        <v>1061</v>
      </c>
      <c r="L432" s="92">
        <v>0</v>
      </c>
      <c r="M432" s="92">
        <v>50</v>
      </c>
      <c r="N432" s="92">
        <v>30</v>
      </c>
      <c r="O432" s="92">
        <v>30</v>
      </c>
      <c r="P432" s="92">
        <v>0</v>
      </c>
      <c r="Q432" s="92">
        <v>0</v>
      </c>
      <c r="R432" s="92">
        <v>0</v>
      </c>
      <c r="S432" s="92">
        <v>0</v>
      </c>
      <c r="T432" s="92">
        <v>0</v>
      </c>
      <c r="U432" s="92">
        <v>0</v>
      </c>
      <c r="V432" s="92">
        <v>0</v>
      </c>
      <c r="W432" s="92">
        <v>0</v>
      </c>
      <c r="X432" s="92">
        <v>0</v>
      </c>
      <c r="Y432" s="92">
        <v>0</v>
      </c>
      <c r="Z432" s="92">
        <v>0</v>
      </c>
      <c r="AA432" s="92">
        <v>0</v>
      </c>
      <c r="AB432" s="92">
        <v>37334</v>
      </c>
      <c r="AC432" s="92">
        <v>34560</v>
      </c>
      <c r="AD432" s="92">
        <v>35695</v>
      </c>
      <c r="AE432" s="92">
        <v>0</v>
      </c>
      <c r="AF432" s="92">
        <v>0</v>
      </c>
      <c r="AG432" s="92">
        <v>0</v>
      </c>
    </row>
    <row r="433" spans="1:35" x14ac:dyDescent="0.25">
      <c r="A433" t="str">
        <f t="shared" si="10"/>
        <v>18-7-34</v>
      </c>
      <c r="B433">
        <v>18</v>
      </c>
      <c r="C433" s="92" t="s">
        <v>1031</v>
      </c>
      <c r="D433" s="92">
        <v>7</v>
      </c>
      <c r="E433" s="92" t="s">
        <v>586</v>
      </c>
      <c r="F433" s="92">
        <v>34</v>
      </c>
      <c r="G433" s="92" t="s">
        <v>790</v>
      </c>
      <c r="H433" s="92"/>
      <c r="I433" s="92">
        <v>6</v>
      </c>
      <c r="J433" s="92">
        <v>1756499</v>
      </c>
      <c r="K433" s="92" t="s">
        <v>1061</v>
      </c>
      <c r="L433" s="92">
        <v>0</v>
      </c>
      <c r="M433" s="92">
        <v>95</v>
      </c>
      <c r="N433" s="92">
        <v>0</v>
      </c>
      <c r="O433" s="92">
        <v>0</v>
      </c>
      <c r="P433" s="92">
        <v>0</v>
      </c>
      <c r="Q433" s="92">
        <v>0</v>
      </c>
      <c r="R433" s="92">
        <v>0</v>
      </c>
      <c r="S433" s="92">
        <v>0</v>
      </c>
      <c r="T433" s="92">
        <v>0</v>
      </c>
      <c r="U433" s="92">
        <v>0</v>
      </c>
      <c r="V433" s="92">
        <v>0</v>
      </c>
      <c r="W433" s="92">
        <v>0</v>
      </c>
      <c r="X433" s="92">
        <v>0</v>
      </c>
      <c r="Y433" s="92">
        <v>0</v>
      </c>
      <c r="Z433" s="92">
        <v>0</v>
      </c>
      <c r="AA433" s="92">
        <v>0</v>
      </c>
      <c r="AB433" s="92">
        <v>7910</v>
      </c>
      <c r="AC433" s="92">
        <v>8163</v>
      </c>
      <c r="AD433" s="92">
        <v>8412</v>
      </c>
      <c r="AE433" s="92">
        <v>0</v>
      </c>
      <c r="AF433" s="92">
        <v>0</v>
      </c>
      <c r="AG433" s="92">
        <v>0</v>
      </c>
    </row>
    <row r="434" spans="1:35" x14ac:dyDescent="0.25">
      <c r="A434" t="str">
        <f t="shared" si="10"/>
        <v>18-14-46</v>
      </c>
      <c r="B434">
        <v>18</v>
      </c>
      <c r="C434" s="92" t="s">
        <v>1031</v>
      </c>
      <c r="D434" s="92">
        <v>14</v>
      </c>
      <c r="E434" s="92" t="s">
        <v>571</v>
      </c>
      <c r="F434" s="92">
        <v>46</v>
      </c>
      <c r="G434" s="92" t="s">
        <v>296</v>
      </c>
      <c r="H434" s="92"/>
      <c r="I434" s="92">
        <v>12445</v>
      </c>
      <c r="J434" s="92">
        <v>1756499</v>
      </c>
      <c r="K434" s="92" t="s">
        <v>1061</v>
      </c>
      <c r="L434" s="92">
        <v>0</v>
      </c>
      <c r="M434" s="92">
        <v>635</v>
      </c>
      <c r="N434" s="92">
        <v>2</v>
      </c>
      <c r="O434" s="92">
        <v>2</v>
      </c>
      <c r="P434" s="92">
        <v>0</v>
      </c>
      <c r="Q434" s="92">
        <v>0</v>
      </c>
      <c r="R434" s="92">
        <v>0</v>
      </c>
      <c r="S434" s="92">
        <v>0</v>
      </c>
      <c r="T434" s="92">
        <v>0</v>
      </c>
      <c r="U434" s="92">
        <v>0</v>
      </c>
      <c r="V434" s="92">
        <v>0</v>
      </c>
      <c r="W434" s="92">
        <v>0</v>
      </c>
      <c r="X434" s="92">
        <v>0</v>
      </c>
      <c r="Y434" s="92">
        <v>0</v>
      </c>
      <c r="Z434" s="92">
        <v>0</v>
      </c>
      <c r="AA434" s="92">
        <v>0</v>
      </c>
      <c r="AB434" s="92">
        <v>52659</v>
      </c>
      <c r="AC434" s="92">
        <v>54340</v>
      </c>
      <c r="AD434" s="92">
        <v>54282</v>
      </c>
      <c r="AE434" s="92">
        <v>0</v>
      </c>
      <c r="AF434" s="92">
        <v>0</v>
      </c>
      <c r="AG434" s="92">
        <v>0</v>
      </c>
      <c r="AI434" s="250">
        <v>6.6086200000000002E-4</v>
      </c>
    </row>
    <row r="435" spans="1:35" x14ac:dyDescent="0.25">
      <c r="A435" t="str">
        <f t="shared" si="10"/>
        <v>18-17-4</v>
      </c>
      <c r="B435">
        <v>18</v>
      </c>
      <c r="C435" s="92" t="s">
        <v>1031</v>
      </c>
      <c r="D435" s="92">
        <v>17</v>
      </c>
      <c r="E435" s="92" t="s">
        <v>593</v>
      </c>
      <c r="F435" s="92">
        <v>4</v>
      </c>
      <c r="G435" s="92" t="s">
        <v>807</v>
      </c>
      <c r="H435" s="92"/>
      <c r="I435" s="92">
        <v>0</v>
      </c>
      <c r="J435" s="92">
        <v>1756499</v>
      </c>
      <c r="K435" s="92" t="s">
        <v>1061</v>
      </c>
      <c r="L435" s="92">
        <v>0</v>
      </c>
      <c r="M435" s="92">
        <v>375</v>
      </c>
      <c r="N435" s="92">
        <v>1</v>
      </c>
      <c r="O435" s="92">
        <v>1</v>
      </c>
      <c r="P435" s="92">
        <v>0</v>
      </c>
      <c r="Q435" s="92">
        <v>0</v>
      </c>
      <c r="R435" s="92">
        <v>0</v>
      </c>
      <c r="S435" s="92">
        <v>0</v>
      </c>
      <c r="T435" s="92">
        <v>0</v>
      </c>
      <c r="U435" s="92">
        <v>0</v>
      </c>
      <c r="V435" s="92">
        <v>0</v>
      </c>
      <c r="W435" s="92">
        <v>0</v>
      </c>
      <c r="X435" s="92">
        <v>0</v>
      </c>
      <c r="Y435" s="92">
        <v>0</v>
      </c>
      <c r="Z435" s="92">
        <v>0</v>
      </c>
      <c r="AA435" s="92">
        <v>0</v>
      </c>
      <c r="AB435" s="92">
        <v>31914</v>
      </c>
      <c r="AC435" s="92">
        <v>32932</v>
      </c>
      <c r="AD435" s="92">
        <v>30974</v>
      </c>
      <c r="AE435" s="92">
        <v>0</v>
      </c>
      <c r="AF435" s="92">
        <v>0</v>
      </c>
      <c r="AG435" s="92">
        <v>0</v>
      </c>
    </row>
    <row r="436" spans="1:35" x14ac:dyDescent="0.25">
      <c r="A436" t="str">
        <f t="shared" si="10"/>
        <v>9-19-33</v>
      </c>
      <c r="B436">
        <v>9</v>
      </c>
      <c r="C436" s="92" t="s">
        <v>1022</v>
      </c>
      <c r="D436" s="92">
        <v>19</v>
      </c>
      <c r="E436" s="92" t="s">
        <v>1063</v>
      </c>
      <c r="F436" s="92">
        <v>33</v>
      </c>
      <c r="G436" s="92" t="s">
        <v>1101</v>
      </c>
      <c r="H436" s="92"/>
      <c r="I436" s="92">
        <v>1726</v>
      </c>
      <c r="J436" s="92">
        <v>6107772</v>
      </c>
      <c r="K436" s="92"/>
      <c r="L436" s="92">
        <v>0</v>
      </c>
      <c r="M436" s="92">
        <v>0</v>
      </c>
      <c r="N436" s="92">
        <v>0</v>
      </c>
      <c r="O436" s="92">
        <v>0</v>
      </c>
      <c r="P436" s="92">
        <v>0</v>
      </c>
      <c r="Q436" s="92">
        <v>0</v>
      </c>
      <c r="R436" s="92">
        <v>0</v>
      </c>
      <c r="S436" s="92">
        <v>0</v>
      </c>
      <c r="T436" s="92">
        <v>0</v>
      </c>
      <c r="U436" s="92">
        <v>0</v>
      </c>
      <c r="V436" s="92">
        <v>0</v>
      </c>
      <c r="W436" s="92">
        <v>0</v>
      </c>
      <c r="X436" s="92">
        <v>0</v>
      </c>
      <c r="Y436" s="92">
        <v>0</v>
      </c>
      <c r="Z436" s="92">
        <v>0</v>
      </c>
      <c r="AA436" s="92">
        <v>0</v>
      </c>
      <c r="AB436" s="92">
        <v>0</v>
      </c>
      <c r="AC436" s="92">
        <v>0</v>
      </c>
      <c r="AD436" s="92">
        <v>0</v>
      </c>
      <c r="AE436" s="92">
        <v>0</v>
      </c>
      <c r="AF436" s="92">
        <v>0</v>
      </c>
      <c r="AG436" s="92">
        <v>0</v>
      </c>
    </row>
    <row r="437" spans="1:35" x14ac:dyDescent="0.25">
      <c r="A437" t="str">
        <f t="shared" si="10"/>
        <v>20-2-20</v>
      </c>
      <c r="B437">
        <v>20</v>
      </c>
      <c r="C437" s="92" t="s">
        <v>1033</v>
      </c>
      <c r="D437" s="92">
        <v>2</v>
      </c>
      <c r="E437" s="92" t="s">
        <v>53</v>
      </c>
      <c r="F437" s="92">
        <v>20</v>
      </c>
      <c r="G437" s="92" t="s">
        <v>306</v>
      </c>
      <c r="H437" s="92"/>
      <c r="I437" s="92">
        <v>0</v>
      </c>
      <c r="J437" s="92">
        <v>583514064</v>
      </c>
      <c r="K437" s="92" t="s">
        <v>1061</v>
      </c>
      <c r="L437" s="92">
        <v>82685</v>
      </c>
      <c r="M437" s="92">
        <v>87310</v>
      </c>
      <c r="N437" s="92">
        <v>21905</v>
      </c>
      <c r="O437" s="92">
        <v>21905</v>
      </c>
      <c r="P437" s="92">
        <v>315312</v>
      </c>
      <c r="Q437" s="92">
        <v>260770</v>
      </c>
      <c r="R437" s="92">
        <v>280434</v>
      </c>
      <c r="S437" s="92">
        <v>1584</v>
      </c>
      <c r="T437" s="92">
        <v>0</v>
      </c>
      <c r="U437" s="92">
        <v>0</v>
      </c>
      <c r="V437" s="92">
        <v>0</v>
      </c>
      <c r="W437" s="92">
        <v>0</v>
      </c>
      <c r="X437" s="92">
        <v>0</v>
      </c>
      <c r="Y437" s="92">
        <v>0</v>
      </c>
      <c r="Z437" s="92">
        <v>0</v>
      </c>
      <c r="AA437" s="92">
        <v>0</v>
      </c>
      <c r="AB437" s="92">
        <v>7468084</v>
      </c>
      <c r="AC437" s="92">
        <v>7887662</v>
      </c>
      <c r="AD437" s="92">
        <v>8231891</v>
      </c>
      <c r="AE437" s="92">
        <v>0</v>
      </c>
      <c r="AF437" s="92">
        <v>0</v>
      </c>
      <c r="AG437" s="92">
        <v>0</v>
      </c>
    </row>
    <row r="438" spans="1:35" x14ac:dyDescent="0.25">
      <c r="A438" t="str">
        <f t="shared" si="10"/>
        <v>20-15-24</v>
      </c>
      <c r="B438">
        <v>20</v>
      </c>
      <c r="C438" s="92" t="s">
        <v>1033</v>
      </c>
      <c r="D438" s="92">
        <v>15</v>
      </c>
      <c r="E438" s="92" t="s">
        <v>152</v>
      </c>
      <c r="F438" s="92">
        <v>24</v>
      </c>
      <c r="G438" s="92" t="s">
        <v>1231</v>
      </c>
      <c r="H438" s="92"/>
      <c r="I438" s="92">
        <v>0</v>
      </c>
      <c r="J438" s="92">
        <v>583514064</v>
      </c>
      <c r="K438" s="92" t="s">
        <v>1061</v>
      </c>
      <c r="L438" s="92">
        <v>0</v>
      </c>
      <c r="M438" s="92">
        <v>1904</v>
      </c>
      <c r="N438" s="92">
        <v>483</v>
      </c>
      <c r="O438" s="92">
        <v>483</v>
      </c>
      <c r="P438" s="92">
        <v>6955</v>
      </c>
      <c r="Q438" s="92">
        <v>5864</v>
      </c>
      <c r="R438" s="92">
        <v>6297</v>
      </c>
      <c r="S438" s="92">
        <v>32</v>
      </c>
      <c r="T438" s="92">
        <v>0</v>
      </c>
      <c r="U438" s="92">
        <v>0</v>
      </c>
      <c r="V438" s="92">
        <v>0</v>
      </c>
      <c r="W438" s="92">
        <v>0</v>
      </c>
      <c r="X438" s="92">
        <v>0</v>
      </c>
      <c r="Y438" s="92">
        <v>0</v>
      </c>
      <c r="Z438" s="92">
        <v>0</v>
      </c>
      <c r="AA438" s="92">
        <v>0</v>
      </c>
      <c r="AB438" s="92">
        <v>167898</v>
      </c>
      <c r="AC438" s="92">
        <v>177101</v>
      </c>
      <c r="AD438" s="92">
        <v>184752</v>
      </c>
      <c r="AE438" s="92">
        <v>0</v>
      </c>
      <c r="AF438" s="92">
        <v>0</v>
      </c>
      <c r="AG438" s="92">
        <v>0</v>
      </c>
    </row>
    <row r="439" spans="1:35" x14ac:dyDescent="0.25">
      <c r="A439" t="str">
        <f t="shared" si="10"/>
        <v>20-5-25</v>
      </c>
      <c r="B439">
        <v>20</v>
      </c>
      <c r="C439" s="92" t="s">
        <v>1033</v>
      </c>
      <c r="D439" s="92">
        <v>5</v>
      </c>
      <c r="E439" s="92" t="s">
        <v>200</v>
      </c>
      <c r="F439" s="92">
        <v>25</v>
      </c>
      <c r="G439" s="92" t="s">
        <v>309</v>
      </c>
      <c r="H439" s="92"/>
      <c r="I439" s="92">
        <v>0</v>
      </c>
      <c r="J439" s="92">
        <v>583514064</v>
      </c>
      <c r="K439" s="92" t="s">
        <v>1061</v>
      </c>
      <c r="L439" s="92">
        <v>0</v>
      </c>
      <c r="M439" s="92">
        <v>6253</v>
      </c>
      <c r="N439" s="92">
        <v>1699</v>
      </c>
      <c r="O439" s="92">
        <v>1699</v>
      </c>
      <c r="P439" s="92">
        <v>24461</v>
      </c>
      <c r="Q439" s="92">
        <v>20611</v>
      </c>
      <c r="R439" s="92">
        <v>22135</v>
      </c>
      <c r="S439" s="92">
        <v>117</v>
      </c>
      <c r="T439" s="92">
        <v>0</v>
      </c>
      <c r="U439" s="92">
        <v>0</v>
      </c>
      <c r="V439" s="92">
        <v>0</v>
      </c>
      <c r="W439" s="92">
        <v>0</v>
      </c>
      <c r="X439" s="92">
        <v>0</v>
      </c>
      <c r="Y439" s="92">
        <v>0</v>
      </c>
      <c r="Z439" s="92">
        <v>0</v>
      </c>
      <c r="AA439" s="92">
        <v>0</v>
      </c>
      <c r="AB439" s="92">
        <v>590295</v>
      </c>
      <c r="AC439" s="92">
        <v>622647</v>
      </c>
      <c r="AD439" s="92">
        <v>649524</v>
      </c>
      <c r="AE439" s="92">
        <v>0</v>
      </c>
      <c r="AF439" s="92">
        <v>0</v>
      </c>
      <c r="AG439" s="92">
        <v>0</v>
      </c>
      <c r="AI439">
        <v>1.6737100000000001E-4</v>
      </c>
    </row>
    <row r="440" spans="1:35" x14ac:dyDescent="0.25">
      <c r="A440" t="str">
        <f t="shared" si="10"/>
        <v>20-12-19</v>
      </c>
      <c r="B440">
        <v>20</v>
      </c>
      <c r="C440" s="92" t="s">
        <v>1033</v>
      </c>
      <c r="D440" s="92">
        <v>12</v>
      </c>
      <c r="E440" s="92" t="s">
        <v>71</v>
      </c>
      <c r="F440" s="92">
        <v>19</v>
      </c>
      <c r="G440" s="92" t="s">
        <v>311</v>
      </c>
      <c r="H440" s="92"/>
      <c r="I440" s="92">
        <v>60494</v>
      </c>
      <c r="J440" s="92">
        <v>583514064</v>
      </c>
      <c r="K440" s="92" t="s">
        <v>1061</v>
      </c>
      <c r="L440" s="92">
        <v>26837</v>
      </c>
      <c r="M440" s="92">
        <v>17229</v>
      </c>
      <c r="N440" s="92">
        <v>4230</v>
      </c>
      <c r="O440" s="92">
        <v>4230</v>
      </c>
      <c r="P440" s="92">
        <v>60350</v>
      </c>
      <c r="Q440" s="92">
        <v>49776</v>
      </c>
      <c r="R440" s="92">
        <v>53554</v>
      </c>
      <c r="S440" s="92">
        <v>278</v>
      </c>
      <c r="T440" s="92">
        <v>0</v>
      </c>
      <c r="U440" s="92">
        <v>0</v>
      </c>
      <c r="V440" s="92">
        <v>0</v>
      </c>
      <c r="W440" s="92">
        <v>0</v>
      </c>
      <c r="X440" s="92">
        <v>0</v>
      </c>
      <c r="Y440" s="92">
        <v>0</v>
      </c>
      <c r="Z440" s="92">
        <v>0</v>
      </c>
      <c r="AA440" s="92">
        <v>0</v>
      </c>
      <c r="AB440" s="92">
        <v>1425518</v>
      </c>
      <c r="AC440" s="92">
        <v>1506299</v>
      </c>
      <c r="AD440" s="92">
        <v>1502521</v>
      </c>
      <c r="AE440" s="92">
        <v>0</v>
      </c>
      <c r="AF440" s="92">
        <v>0</v>
      </c>
      <c r="AG440" s="92">
        <v>0</v>
      </c>
    </row>
    <row r="441" spans="1:35" x14ac:dyDescent="0.25">
      <c r="A441" t="str">
        <f t="shared" si="10"/>
        <v>5-9-184</v>
      </c>
      <c r="B441">
        <v>5</v>
      </c>
      <c r="C441" s="92" t="s">
        <v>1019</v>
      </c>
      <c r="D441" s="92">
        <v>9</v>
      </c>
      <c r="E441" s="92" t="s">
        <v>588</v>
      </c>
      <c r="F441" s="92">
        <v>184</v>
      </c>
      <c r="G441" s="92" t="s">
        <v>670</v>
      </c>
      <c r="H441" s="92"/>
      <c r="I441" s="92">
        <v>8152</v>
      </c>
      <c r="J441" s="92">
        <v>0</v>
      </c>
      <c r="K441" s="92" t="s">
        <v>1061</v>
      </c>
      <c r="L441" s="92">
        <v>0</v>
      </c>
      <c r="M441" s="92">
        <v>245</v>
      </c>
      <c r="N441" s="92">
        <v>0</v>
      </c>
      <c r="O441" s="92">
        <v>0</v>
      </c>
      <c r="P441" s="92">
        <v>0</v>
      </c>
      <c r="Q441" s="92">
        <v>0</v>
      </c>
      <c r="R441" s="92">
        <v>0</v>
      </c>
      <c r="S441" s="92">
        <v>0</v>
      </c>
      <c r="T441" s="92">
        <v>0</v>
      </c>
      <c r="U441" s="92">
        <v>0</v>
      </c>
      <c r="V441" s="92">
        <v>0</v>
      </c>
      <c r="W441" s="92">
        <v>0</v>
      </c>
      <c r="X441" s="92">
        <v>0</v>
      </c>
      <c r="Y441" s="92">
        <v>0</v>
      </c>
      <c r="Z441" s="92">
        <v>0</v>
      </c>
      <c r="AA441" s="92">
        <v>0</v>
      </c>
      <c r="AB441" s="92">
        <v>35451</v>
      </c>
      <c r="AC441" s="92">
        <v>36506</v>
      </c>
      <c r="AD441" s="92">
        <v>37355</v>
      </c>
      <c r="AE441" s="92">
        <v>0</v>
      </c>
      <c r="AF441" s="92">
        <v>0</v>
      </c>
      <c r="AG441" s="92">
        <v>0</v>
      </c>
      <c r="AI441" s="250">
        <v>6.8212500000000001E-4</v>
      </c>
    </row>
    <row r="442" spans="1:35" x14ac:dyDescent="0.25">
      <c r="A442" t="str">
        <f t="shared" si="10"/>
        <v>8-4-82</v>
      </c>
      <c r="B442">
        <v>8</v>
      </c>
      <c r="C442" s="92" t="s">
        <v>1021</v>
      </c>
      <c r="D442" s="92">
        <v>4</v>
      </c>
      <c r="E442" s="92" t="s">
        <v>66</v>
      </c>
      <c r="F442" s="92">
        <v>82</v>
      </c>
      <c r="G442" s="92" t="s">
        <v>701</v>
      </c>
      <c r="H442" s="92"/>
      <c r="I442" s="92">
        <v>0</v>
      </c>
      <c r="J442" s="92">
        <v>19980</v>
      </c>
      <c r="K442" s="92">
        <v>1</v>
      </c>
      <c r="L442" s="92">
        <v>21763</v>
      </c>
      <c r="M442" s="92">
        <v>37802</v>
      </c>
      <c r="N442" s="92">
        <v>1128</v>
      </c>
      <c r="O442" s="92">
        <v>1128</v>
      </c>
      <c r="P442" s="92">
        <v>0</v>
      </c>
      <c r="Q442" s="92">
        <v>0</v>
      </c>
      <c r="R442" s="92">
        <v>0</v>
      </c>
      <c r="S442" s="92">
        <v>0</v>
      </c>
      <c r="T442" s="92">
        <v>0</v>
      </c>
      <c r="U442" s="92">
        <v>0</v>
      </c>
      <c r="V442" s="92">
        <v>0</v>
      </c>
      <c r="W442" s="92">
        <v>0</v>
      </c>
      <c r="X442" s="92">
        <v>0</v>
      </c>
      <c r="Y442" s="92">
        <v>0</v>
      </c>
      <c r="Z442" s="92">
        <v>0</v>
      </c>
      <c r="AA442" s="92">
        <v>0</v>
      </c>
      <c r="AB442" s="92">
        <v>67000</v>
      </c>
      <c r="AC442" s="92">
        <v>105721</v>
      </c>
      <c r="AD442" s="92">
        <v>110821</v>
      </c>
      <c r="AE442" s="92">
        <v>0</v>
      </c>
      <c r="AF442" s="92">
        <v>0</v>
      </c>
      <c r="AG442" s="92">
        <v>0</v>
      </c>
    </row>
    <row r="443" spans="1:35" x14ac:dyDescent="0.25">
      <c r="A443" t="str">
        <f t="shared" si="10"/>
        <v>23-4-82</v>
      </c>
      <c r="B443">
        <v>23</v>
      </c>
      <c r="C443" s="92" t="s">
        <v>1036</v>
      </c>
      <c r="D443" s="92">
        <v>4</v>
      </c>
      <c r="E443" s="92" t="s">
        <v>66</v>
      </c>
      <c r="F443" s="92">
        <v>82</v>
      </c>
      <c r="G443" s="92" t="s">
        <v>701</v>
      </c>
      <c r="H443" s="92"/>
      <c r="I443" s="92">
        <v>0</v>
      </c>
      <c r="J443" s="92">
        <v>39151760</v>
      </c>
      <c r="K443" s="92">
        <v>1</v>
      </c>
      <c r="L443" s="92">
        <v>21763</v>
      </c>
      <c r="M443" s="92">
        <v>37802</v>
      </c>
      <c r="N443" s="92">
        <v>1128</v>
      </c>
      <c r="O443" s="92">
        <v>1128</v>
      </c>
      <c r="P443" s="92">
        <v>0</v>
      </c>
      <c r="Q443" s="92">
        <v>0</v>
      </c>
      <c r="R443" s="92">
        <v>0</v>
      </c>
      <c r="S443" s="92">
        <v>0</v>
      </c>
      <c r="T443" s="92">
        <v>0</v>
      </c>
      <c r="U443" s="92">
        <v>0</v>
      </c>
      <c r="V443" s="92">
        <v>0</v>
      </c>
      <c r="W443" s="92">
        <v>0</v>
      </c>
      <c r="X443" s="92">
        <v>0</v>
      </c>
      <c r="Y443" s="92">
        <v>0</v>
      </c>
      <c r="Z443" s="92">
        <v>0</v>
      </c>
      <c r="AA443" s="92">
        <v>0</v>
      </c>
      <c r="AB443" s="92">
        <v>67000</v>
      </c>
      <c r="AC443" s="92">
        <v>105721</v>
      </c>
      <c r="AD443" s="92">
        <v>110821</v>
      </c>
      <c r="AE443" s="92">
        <v>0</v>
      </c>
      <c r="AF443" s="92">
        <v>0</v>
      </c>
      <c r="AG443" s="92">
        <v>0</v>
      </c>
    </row>
    <row r="444" spans="1:35" x14ac:dyDescent="0.25">
      <c r="A444" t="str">
        <f t="shared" si="10"/>
        <v>18-9-118</v>
      </c>
      <c r="B444">
        <v>18</v>
      </c>
      <c r="C444" s="92" t="s">
        <v>1031</v>
      </c>
      <c r="D444" s="92">
        <v>9</v>
      </c>
      <c r="E444" s="92" t="s">
        <v>588</v>
      </c>
      <c r="F444" s="92">
        <v>118</v>
      </c>
      <c r="G444" s="92" t="s">
        <v>795</v>
      </c>
      <c r="H444" s="92"/>
      <c r="I444" s="92">
        <v>1239</v>
      </c>
      <c r="J444" s="92">
        <v>0</v>
      </c>
      <c r="K444" s="92" t="s">
        <v>1061</v>
      </c>
      <c r="L444" s="92">
        <v>0</v>
      </c>
      <c r="M444" s="92">
        <v>0</v>
      </c>
      <c r="N444" s="92">
        <v>0</v>
      </c>
      <c r="O444" s="92">
        <v>0</v>
      </c>
      <c r="P444" s="92">
        <v>0</v>
      </c>
      <c r="Q444" s="92">
        <v>0</v>
      </c>
      <c r="R444" s="92">
        <v>0</v>
      </c>
      <c r="S444" s="92">
        <v>0</v>
      </c>
      <c r="T444" s="92">
        <v>0</v>
      </c>
      <c r="U444" s="92">
        <v>158</v>
      </c>
      <c r="V444" s="92">
        <v>0</v>
      </c>
      <c r="W444" s="92">
        <v>0</v>
      </c>
      <c r="X444" s="92">
        <v>0</v>
      </c>
      <c r="Y444" s="92">
        <v>0</v>
      </c>
      <c r="Z444" s="92">
        <v>0</v>
      </c>
      <c r="AA444" s="92">
        <v>0</v>
      </c>
      <c r="AB444" s="92">
        <v>14453</v>
      </c>
      <c r="AC444" s="92">
        <v>14451</v>
      </c>
      <c r="AD444" s="92">
        <v>15215</v>
      </c>
      <c r="AE444" s="92">
        <v>0</v>
      </c>
      <c r="AF444" s="92">
        <v>0</v>
      </c>
      <c r="AG444" s="92">
        <v>0</v>
      </c>
      <c r="AI444" s="250">
        <v>4.1459E-4</v>
      </c>
    </row>
    <row r="445" spans="1:35" x14ac:dyDescent="0.25">
      <c r="A445" t="str">
        <f t="shared" si="10"/>
        <v>31-11-16</v>
      </c>
      <c r="B445">
        <v>31</v>
      </c>
      <c r="C445" s="92" t="s">
        <v>1044</v>
      </c>
      <c r="D445" s="92">
        <v>11</v>
      </c>
      <c r="E445" s="92" t="s">
        <v>1062</v>
      </c>
      <c r="F445" s="92">
        <v>16</v>
      </c>
      <c r="G445" s="92" t="s">
        <v>927</v>
      </c>
      <c r="H445" s="92"/>
      <c r="I445" s="92">
        <v>27937</v>
      </c>
      <c r="J445" s="92">
        <v>1574839</v>
      </c>
      <c r="K445" s="92" t="s">
        <v>1061</v>
      </c>
      <c r="L445" s="92">
        <v>4240</v>
      </c>
      <c r="M445" s="92">
        <v>744</v>
      </c>
      <c r="N445" s="92">
        <v>328</v>
      </c>
      <c r="O445" s="92">
        <v>327</v>
      </c>
      <c r="P445" s="92">
        <v>0</v>
      </c>
      <c r="Q445" s="92">
        <v>0</v>
      </c>
      <c r="R445" s="92">
        <v>0</v>
      </c>
      <c r="S445" s="92">
        <v>0</v>
      </c>
      <c r="T445" s="92">
        <v>0</v>
      </c>
      <c r="U445" s="92">
        <v>0</v>
      </c>
      <c r="V445" s="92">
        <v>0</v>
      </c>
      <c r="W445" s="92">
        <v>0</v>
      </c>
      <c r="X445" s="92">
        <v>0</v>
      </c>
      <c r="Y445" s="92">
        <v>0</v>
      </c>
      <c r="Z445" s="92">
        <v>0</v>
      </c>
      <c r="AA445" s="92">
        <v>0</v>
      </c>
      <c r="AB445" s="92">
        <v>94103</v>
      </c>
      <c r="AC445" s="92">
        <v>99077</v>
      </c>
      <c r="AD445" s="92">
        <v>104389</v>
      </c>
      <c r="AE445" s="92">
        <v>0</v>
      </c>
      <c r="AF445" s="92">
        <v>0</v>
      </c>
      <c r="AG445" s="92">
        <v>0</v>
      </c>
    </row>
    <row r="446" spans="1:35" x14ac:dyDescent="0.25">
      <c r="A446" t="str">
        <f t="shared" si="10"/>
        <v>1-7-35</v>
      </c>
      <c r="B446">
        <v>1</v>
      </c>
      <c r="C446" s="92" t="s">
        <v>1016</v>
      </c>
      <c r="D446" s="92">
        <v>7</v>
      </c>
      <c r="E446" s="92" t="s">
        <v>586</v>
      </c>
      <c r="F446" s="92">
        <v>35</v>
      </c>
      <c r="G446" s="92" t="s">
        <v>607</v>
      </c>
      <c r="H446" s="92"/>
      <c r="I446" s="92">
        <v>0</v>
      </c>
      <c r="J446" s="92">
        <v>4902381</v>
      </c>
      <c r="K446" s="92">
        <v>1</v>
      </c>
      <c r="L446" s="92">
        <v>343</v>
      </c>
      <c r="M446" s="92">
        <v>466</v>
      </c>
      <c r="N446" s="92">
        <v>150</v>
      </c>
      <c r="O446" s="92">
        <v>150</v>
      </c>
      <c r="P446" s="92">
        <v>0</v>
      </c>
      <c r="Q446" s="92">
        <v>0</v>
      </c>
      <c r="R446" s="92">
        <v>0</v>
      </c>
      <c r="S446" s="92">
        <v>0</v>
      </c>
      <c r="T446" s="92">
        <v>0</v>
      </c>
      <c r="U446" s="92">
        <v>0</v>
      </c>
      <c r="V446" s="92">
        <v>0</v>
      </c>
      <c r="W446" s="92">
        <v>0</v>
      </c>
      <c r="X446" s="92">
        <v>0</v>
      </c>
      <c r="Y446" s="92">
        <v>0</v>
      </c>
      <c r="Z446" s="92">
        <v>0</v>
      </c>
      <c r="AA446" s="92">
        <v>0</v>
      </c>
      <c r="AB446" s="92">
        <v>95317</v>
      </c>
      <c r="AC446" s="92">
        <v>103019</v>
      </c>
      <c r="AD446" s="92">
        <v>110319</v>
      </c>
      <c r="AE446" s="92">
        <v>0</v>
      </c>
      <c r="AF446" s="92">
        <v>0</v>
      </c>
      <c r="AG446" s="92">
        <v>0</v>
      </c>
    </row>
    <row r="447" spans="1:35" x14ac:dyDescent="0.25">
      <c r="A447" t="str">
        <f t="shared" si="10"/>
        <v>14-7-35</v>
      </c>
      <c r="B447">
        <v>14</v>
      </c>
      <c r="C447" s="92" t="s">
        <v>1027</v>
      </c>
      <c r="D447" s="92">
        <v>7</v>
      </c>
      <c r="E447" s="92" t="s">
        <v>586</v>
      </c>
      <c r="F447" s="92">
        <v>35</v>
      </c>
      <c r="G447" s="92" t="s">
        <v>607</v>
      </c>
      <c r="H447" s="92"/>
      <c r="I447" s="92">
        <v>0</v>
      </c>
      <c r="J447" s="92">
        <v>23021781</v>
      </c>
      <c r="K447" s="92">
        <v>1</v>
      </c>
      <c r="L447" s="92">
        <v>343</v>
      </c>
      <c r="M447" s="92">
        <v>466</v>
      </c>
      <c r="N447" s="92">
        <v>150</v>
      </c>
      <c r="O447" s="92">
        <v>150</v>
      </c>
      <c r="P447" s="92">
        <v>0</v>
      </c>
      <c r="Q447" s="92">
        <v>0</v>
      </c>
      <c r="R447" s="92">
        <v>0</v>
      </c>
      <c r="S447" s="92">
        <v>0</v>
      </c>
      <c r="T447" s="92">
        <v>0</v>
      </c>
      <c r="U447" s="92">
        <v>0</v>
      </c>
      <c r="V447" s="92">
        <v>0</v>
      </c>
      <c r="W447" s="92">
        <v>0</v>
      </c>
      <c r="X447" s="92">
        <v>0</v>
      </c>
      <c r="Y447" s="92">
        <v>0</v>
      </c>
      <c r="Z447" s="92">
        <v>0</v>
      </c>
      <c r="AA447" s="92">
        <v>0</v>
      </c>
      <c r="AB447" s="92">
        <v>95317</v>
      </c>
      <c r="AC447" s="92">
        <v>103019</v>
      </c>
      <c r="AD447" s="92">
        <v>110319</v>
      </c>
      <c r="AE447" s="92">
        <v>0</v>
      </c>
      <c r="AF447" s="92">
        <v>0</v>
      </c>
      <c r="AG447" s="92">
        <v>0</v>
      </c>
    </row>
    <row r="448" spans="1:35" x14ac:dyDescent="0.25">
      <c r="A448" t="str">
        <f t="shared" si="10"/>
        <v>15-7-37</v>
      </c>
      <c r="B448">
        <v>15</v>
      </c>
      <c r="C448" s="92" t="s">
        <v>1028</v>
      </c>
      <c r="D448" s="92">
        <v>7</v>
      </c>
      <c r="E448" s="92" t="s">
        <v>586</v>
      </c>
      <c r="F448" s="92">
        <v>37</v>
      </c>
      <c r="G448" s="92" t="s">
        <v>763</v>
      </c>
      <c r="H448" s="92"/>
      <c r="I448" s="92">
        <v>4533</v>
      </c>
      <c r="J448" s="92">
        <v>109393018</v>
      </c>
      <c r="K448" s="92" t="s">
        <v>1061</v>
      </c>
      <c r="L448" s="92">
        <v>763</v>
      </c>
      <c r="M448" s="92">
        <v>1250</v>
      </c>
      <c r="N448" s="92">
        <v>484</v>
      </c>
      <c r="O448" s="92">
        <v>484</v>
      </c>
      <c r="P448" s="92">
        <v>0</v>
      </c>
      <c r="Q448" s="92">
        <v>0</v>
      </c>
      <c r="R448" s="92">
        <v>0</v>
      </c>
      <c r="S448" s="92">
        <v>0</v>
      </c>
      <c r="T448" s="92">
        <v>0</v>
      </c>
      <c r="U448" s="92">
        <v>0</v>
      </c>
      <c r="V448" s="92">
        <v>0</v>
      </c>
      <c r="W448" s="92">
        <v>0</v>
      </c>
      <c r="X448" s="92">
        <v>0</v>
      </c>
      <c r="Y448" s="92">
        <v>0</v>
      </c>
      <c r="Z448" s="92">
        <v>0</v>
      </c>
      <c r="AA448" s="92">
        <v>0</v>
      </c>
      <c r="AB448" s="92">
        <v>101220</v>
      </c>
      <c r="AC448" s="92">
        <v>101601</v>
      </c>
      <c r="AD448" s="92">
        <v>96251</v>
      </c>
      <c r="AE448" s="92">
        <v>0</v>
      </c>
      <c r="AF448" s="92">
        <v>0</v>
      </c>
      <c r="AG448" s="92">
        <v>0</v>
      </c>
    </row>
    <row r="449" spans="1:35" x14ac:dyDescent="0.25">
      <c r="A449" t="str">
        <f t="shared" si="10"/>
        <v>21-7-198</v>
      </c>
      <c r="B449">
        <v>21</v>
      </c>
      <c r="C449" s="92" t="s">
        <v>1034</v>
      </c>
      <c r="D449" s="92">
        <v>7</v>
      </c>
      <c r="E449" s="92" t="s">
        <v>586</v>
      </c>
      <c r="F449" s="92">
        <v>198</v>
      </c>
      <c r="G449" s="92" t="s">
        <v>832</v>
      </c>
      <c r="H449" s="92"/>
      <c r="I449" s="92">
        <v>0</v>
      </c>
      <c r="J449" s="92">
        <v>2587252</v>
      </c>
      <c r="K449" s="92" t="s">
        <v>1061</v>
      </c>
      <c r="L449" s="92">
        <v>697</v>
      </c>
      <c r="M449" s="92">
        <v>9</v>
      </c>
      <c r="N449" s="92">
        <v>1</v>
      </c>
      <c r="O449" s="92">
        <v>1</v>
      </c>
      <c r="P449" s="92">
        <v>0</v>
      </c>
      <c r="Q449" s="92">
        <v>0</v>
      </c>
      <c r="R449" s="92">
        <v>0</v>
      </c>
      <c r="S449" s="92">
        <v>0</v>
      </c>
      <c r="T449" s="92">
        <v>0</v>
      </c>
      <c r="U449" s="92">
        <v>0</v>
      </c>
      <c r="V449" s="92">
        <v>0</v>
      </c>
      <c r="W449" s="92">
        <v>0</v>
      </c>
      <c r="X449" s="92">
        <v>0</v>
      </c>
      <c r="Y449" s="92">
        <v>0</v>
      </c>
      <c r="Z449" s="92">
        <v>0</v>
      </c>
      <c r="AA449" s="92">
        <v>0</v>
      </c>
      <c r="AB449" s="92">
        <v>3680</v>
      </c>
      <c r="AC449" s="92">
        <v>3879</v>
      </c>
      <c r="AD449" s="92">
        <v>4101</v>
      </c>
      <c r="AE449" s="92">
        <v>0</v>
      </c>
      <c r="AF449" s="92">
        <v>0</v>
      </c>
      <c r="AG449" s="92">
        <v>0</v>
      </c>
    </row>
    <row r="450" spans="1:35" x14ac:dyDescent="0.25">
      <c r="A450" t="str">
        <f t="shared" si="10"/>
        <v>39-7-39</v>
      </c>
      <c r="B450">
        <v>39</v>
      </c>
      <c r="C450" s="92" t="s">
        <v>79</v>
      </c>
      <c r="D450" s="92">
        <v>7</v>
      </c>
      <c r="E450" s="92" t="s">
        <v>586</v>
      </c>
      <c r="F450" s="92">
        <v>39</v>
      </c>
      <c r="G450" s="92" t="s">
        <v>528</v>
      </c>
      <c r="H450" s="92"/>
      <c r="I450" s="92">
        <v>0</v>
      </c>
      <c r="J450" s="92">
        <v>106354099</v>
      </c>
      <c r="K450" s="92" t="s">
        <v>1061</v>
      </c>
      <c r="L450" s="92">
        <v>3654</v>
      </c>
      <c r="M450" s="92">
        <v>1426</v>
      </c>
      <c r="N450" s="92">
        <v>1264</v>
      </c>
      <c r="O450" s="92">
        <v>1264</v>
      </c>
      <c r="P450" s="92">
        <v>4719.145958023606</v>
      </c>
      <c r="Q450" s="92">
        <v>4808</v>
      </c>
      <c r="R450" s="92">
        <v>5220</v>
      </c>
      <c r="S450" s="92">
        <v>0</v>
      </c>
      <c r="T450" s="92">
        <v>0</v>
      </c>
      <c r="U450" s="92">
        <v>0</v>
      </c>
      <c r="V450" s="92">
        <v>0</v>
      </c>
      <c r="W450" s="92">
        <v>0</v>
      </c>
      <c r="X450" s="92">
        <v>0</v>
      </c>
      <c r="Y450" s="92">
        <v>0</v>
      </c>
      <c r="Z450" s="92">
        <v>0</v>
      </c>
      <c r="AA450" s="92">
        <v>0</v>
      </c>
      <c r="AB450" s="92">
        <v>185709</v>
      </c>
      <c r="AC450" s="92">
        <v>192856</v>
      </c>
      <c r="AD450" s="92">
        <v>202091</v>
      </c>
      <c r="AE450" s="92">
        <v>0</v>
      </c>
      <c r="AF450" s="92">
        <v>0</v>
      </c>
      <c r="AG450" s="92">
        <v>0</v>
      </c>
    </row>
    <row r="451" spans="1:35" x14ac:dyDescent="0.25">
      <c r="A451" t="str">
        <f t="shared" si="10"/>
        <v>25-7-41</v>
      </c>
      <c r="B451">
        <v>25</v>
      </c>
      <c r="C451" s="92" t="s">
        <v>1038</v>
      </c>
      <c r="D451" s="92">
        <v>7</v>
      </c>
      <c r="E451" s="92" t="s">
        <v>586</v>
      </c>
      <c r="F451" s="92">
        <v>41</v>
      </c>
      <c r="G451" s="92" t="s">
        <v>370</v>
      </c>
      <c r="H451" s="92"/>
      <c r="I451" s="92">
        <v>234</v>
      </c>
      <c r="J451" s="92">
        <v>1146024</v>
      </c>
      <c r="K451" s="92" t="s">
        <v>1061</v>
      </c>
      <c r="L451" s="92">
        <v>157</v>
      </c>
      <c r="M451" s="92">
        <v>27</v>
      </c>
      <c r="N451" s="92">
        <v>8</v>
      </c>
      <c r="O451" s="92">
        <v>8</v>
      </c>
      <c r="P451" s="92">
        <v>0</v>
      </c>
      <c r="Q451" s="92">
        <v>0</v>
      </c>
      <c r="R451" s="92">
        <v>0</v>
      </c>
      <c r="S451" s="92">
        <v>0</v>
      </c>
      <c r="T451" s="92">
        <v>0</v>
      </c>
      <c r="U451" s="92">
        <v>0</v>
      </c>
      <c r="V451" s="92">
        <v>0</v>
      </c>
      <c r="W451" s="92">
        <v>0</v>
      </c>
      <c r="X451" s="92">
        <v>0</v>
      </c>
      <c r="Y451" s="92">
        <v>0</v>
      </c>
      <c r="Z451" s="92">
        <v>0</v>
      </c>
      <c r="AA451" s="92">
        <v>0</v>
      </c>
      <c r="AB451" s="92">
        <v>2159</v>
      </c>
      <c r="AC451" s="92">
        <v>2236</v>
      </c>
      <c r="AD451" s="92">
        <v>2323</v>
      </c>
      <c r="AE451" s="92">
        <v>0</v>
      </c>
      <c r="AF451" s="92">
        <v>0</v>
      </c>
      <c r="AG451" s="92">
        <v>0</v>
      </c>
    </row>
    <row r="452" spans="1:35" x14ac:dyDescent="0.25">
      <c r="A452" t="str">
        <f t="shared" si="10"/>
        <v>25-11-18</v>
      </c>
      <c r="B452">
        <v>25</v>
      </c>
      <c r="C452" s="92" t="s">
        <v>1038</v>
      </c>
      <c r="D452" s="92">
        <v>11</v>
      </c>
      <c r="E452" s="92" t="s">
        <v>1062</v>
      </c>
      <c r="F452" s="92">
        <v>18</v>
      </c>
      <c r="G452" s="92" t="s">
        <v>385</v>
      </c>
      <c r="H452" s="92"/>
      <c r="I452" s="92">
        <v>1944</v>
      </c>
      <c r="J452" s="92">
        <v>1136302</v>
      </c>
      <c r="K452" s="92" t="s">
        <v>1061</v>
      </c>
      <c r="L452" s="92">
        <v>2601</v>
      </c>
      <c r="M452" s="92">
        <v>384</v>
      </c>
      <c r="N452" s="92">
        <v>111</v>
      </c>
      <c r="O452" s="92">
        <v>111</v>
      </c>
      <c r="P452" s="92">
        <v>0</v>
      </c>
      <c r="Q452" s="92">
        <v>0</v>
      </c>
      <c r="R452" s="92">
        <v>0</v>
      </c>
      <c r="S452" s="92">
        <v>0</v>
      </c>
      <c r="T452" s="92">
        <v>0</v>
      </c>
      <c r="U452" s="92">
        <v>0</v>
      </c>
      <c r="V452" s="92">
        <v>0</v>
      </c>
      <c r="W452" s="92">
        <v>0</v>
      </c>
      <c r="X452" s="92">
        <v>0</v>
      </c>
      <c r="Y452" s="92">
        <v>0</v>
      </c>
      <c r="Z452" s="92">
        <v>0</v>
      </c>
      <c r="AA452" s="92">
        <v>0</v>
      </c>
      <c r="AB452" s="92">
        <v>35455</v>
      </c>
      <c r="AC452" s="92">
        <v>36690</v>
      </c>
      <c r="AD452" s="92">
        <v>37167</v>
      </c>
      <c r="AE452" s="92">
        <v>0</v>
      </c>
      <c r="AF452" s="92">
        <v>0</v>
      </c>
      <c r="AG452" s="92">
        <v>0</v>
      </c>
    </row>
    <row r="453" spans="1:35" x14ac:dyDescent="0.25">
      <c r="A453" t="str">
        <f t="shared" si="10"/>
        <v>5-9-152</v>
      </c>
      <c r="B453">
        <v>5</v>
      </c>
      <c r="C453" s="92" t="s">
        <v>1019</v>
      </c>
      <c r="D453" s="92">
        <v>9</v>
      </c>
      <c r="E453" s="92" t="s">
        <v>588</v>
      </c>
      <c r="F453" s="92">
        <v>152</v>
      </c>
      <c r="G453" s="92" t="s">
        <v>539</v>
      </c>
      <c r="H453" s="92"/>
      <c r="I453" s="92">
        <v>3872</v>
      </c>
      <c r="J453" s="92">
        <v>0</v>
      </c>
      <c r="K453" s="92">
        <v>1</v>
      </c>
      <c r="L453" s="92">
        <v>25</v>
      </c>
      <c r="M453" s="92">
        <v>465</v>
      </c>
      <c r="N453" s="92">
        <v>210</v>
      </c>
      <c r="O453" s="92">
        <v>210</v>
      </c>
      <c r="P453" s="92">
        <v>0</v>
      </c>
      <c r="Q453" s="92">
        <v>0</v>
      </c>
      <c r="R453" s="92">
        <v>0</v>
      </c>
      <c r="S453" s="92">
        <v>0</v>
      </c>
      <c r="T453" s="92">
        <v>0</v>
      </c>
      <c r="U453" s="92">
        <v>0</v>
      </c>
      <c r="V453" s="92">
        <v>0</v>
      </c>
      <c r="W453" s="92">
        <v>0</v>
      </c>
      <c r="X453" s="92">
        <v>0</v>
      </c>
      <c r="Y453" s="92">
        <v>0</v>
      </c>
      <c r="Z453" s="92">
        <v>0</v>
      </c>
      <c r="AA453" s="92">
        <v>0</v>
      </c>
      <c r="AB453" s="92">
        <v>37817</v>
      </c>
      <c r="AC453" s="92">
        <v>37996</v>
      </c>
      <c r="AD453" s="92">
        <v>39072</v>
      </c>
      <c r="AE453" s="92">
        <v>0</v>
      </c>
      <c r="AF453" s="92">
        <v>0</v>
      </c>
      <c r="AG453" s="92">
        <v>0</v>
      </c>
      <c r="AI453" s="250">
        <v>3.2874999999999999E-4</v>
      </c>
    </row>
    <row r="454" spans="1:35" x14ac:dyDescent="0.25">
      <c r="A454" t="str">
        <f t="shared" si="10"/>
        <v>40-9-152</v>
      </c>
      <c r="B454">
        <v>40</v>
      </c>
      <c r="C454" s="92" t="s">
        <v>1051</v>
      </c>
      <c r="D454" s="92">
        <v>9</v>
      </c>
      <c r="E454" s="92" t="s">
        <v>588</v>
      </c>
      <c r="F454" s="92">
        <v>152</v>
      </c>
      <c r="G454" s="92" t="s">
        <v>539</v>
      </c>
      <c r="H454" s="92"/>
      <c r="I454" s="92">
        <v>3872</v>
      </c>
      <c r="J454" s="92">
        <v>0</v>
      </c>
      <c r="K454" s="92">
        <v>1</v>
      </c>
      <c r="L454" s="92">
        <v>25</v>
      </c>
      <c r="M454" s="92">
        <v>465</v>
      </c>
      <c r="N454" s="92">
        <v>210</v>
      </c>
      <c r="O454" s="92">
        <v>210</v>
      </c>
      <c r="P454" s="92">
        <v>0</v>
      </c>
      <c r="Q454" s="92">
        <v>0</v>
      </c>
      <c r="R454" s="92">
        <v>0</v>
      </c>
      <c r="S454" s="92">
        <v>0</v>
      </c>
      <c r="T454" s="92">
        <v>0</v>
      </c>
      <c r="U454" s="92">
        <v>0</v>
      </c>
      <c r="V454" s="92">
        <v>0</v>
      </c>
      <c r="W454" s="92">
        <v>0</v>
      </c>
      <c r="X454" s="92">
        <v>0</v>
      </c>
      <c r="Y454" s="92">
        <v>0</v>
      </c>
      <c r="Z454" s="92">
        <v>0</v>
      </c>
      <c r="AA454" s="92">
        <v>0</v>
      </c>
      <c r="AB454" s="92">
        <v>37817</v>
      </c>
      <c r="AC454" s="92">
        <v>37996</v>
      </c>
      <c r="AD454" s="92">
        <v>39072</v>
      </c>
      <c r="AE454" s="92">
        <v>0</v>
      </c>
      <c r="AF454" s="92">
        <v>0</v>
      </c>
      <c r="AG454" s="92">
        <v>0</v>
      </c>
      <c r="AI454" s="250">
        <v>3.2874999999999999E-4</v>
      </c>
    </row>
    <row r="455" spans="1:35" x14ac:dyDescent="0.25">
      <c r="A455" t="str">
        <f t="shared" si="10"/>
        <v>5-20-66</v>
      </c>
      <c r="B455">
        <v>5</v>
      </c>
      <c r="C455" s="92" t="s">
        <v>1019</v>
      </c>
      <c r="D455" s="92">
        <v>20</v>
      </c>
      <c r="E455" s="92" t="s">
        <v>153</v>
      </c>
      <c r="F455" s="92">
        <v>66</v>
      </c>
      <c r="G455" s="92" t="s">
        <v>674</v>
      </c>
      <c r="H455" s="92"/>
      <c r="I455" s="92">
        <v>2281</v>
      </c>
      <c r="J455" s="92">
        <v>52969</v>
      </c>
      <c r="K455" s="92" t="s">
        <v>1061</v>
      </c>
      <c r="L455" s="92">
        <v>0</v>
      </c>
      <c r="M455" s="92">
        <v>0</v>
      </c>
      <c r="N455" s="92">
        <v>0</v>
      </c>
      <c r="O455" s="92">
        <v>0</v>
      </c>
      <c r="P455" s="92">
        <v>0</v>
      </c>
      <c r="Q455" s="92">
        <v>0</v>
      </c>
      <c r="R455" s="92">
        <v>0</v>
      </c>
      <c r="S455" s="92">
        <v>0</v>
      </c>
      <c r="T455" s="92">
        <v>0</v>
      </c>
      <c r="U455" s="92">
        <v>0</v>
      </c>
      <c r="V455" s="92">
        <v>0</v>
      </c>
      <c r="W455" s="92">
        <v>0</v>
      </c>
      <c r="X455" s="92">
        <v>0</v>
      </c>
      <c r="Y455" s="92">
        <v>0</v>
      </c>
      <c r="Z455" s="92">
        <v>0</v>
      </c>
      <c r="AA455" s="92">
        <v>0</v>
      </c>
      <c r="AB455" s="92">
        <v>16973</v>
      </c>
      <c r="AC455" s="92">
        <v>16973</v>
      </c>
      <c r="AD455" s="92">
        <v>16973</v>
      </c>
      <c r="AE455" s="92">
        <v>0</v>
      </c>
      <c r="AF455" s="92">
        <v>0</v>
      </c>
      <c r="AG455" s="92">
        <v>0</v>
      </c>
    </row>
    <row r="456" spans="1:35" x14ac:dyDescent="0.25">
      <c r="A456" t="str">
        <f t="shared" si="10"/>
        <v>42-7-206</v>
      </c>
      <c r="B456">
        <v>42</v>
      </c>
      <c r="C456" s="92" t="s">
        <v>1196</v>
      </c>
      <c r="D456" s="92">
        <v>7</v>
      </c>
      <c r="E456" s="92" t="s">
        <v>586</v>
      </c>
      <c r="F456" s="92">
        <v>206</v>
      </c>
      <c r="G456" s="92" t="s">
        <v>991</v>
      </c>
      <c r="H456" s="92"/>
      <c r="I456" s="92">
        <v>4004</v>
      </c>
      <c r="J456" s="92">
        <v>72483682</v>
      </c>
      <c r="K456" s="92" t="s">
        <v>1061</v>
      </c>
      <c r="L456" s="92">
        <v>0</v>
      </c>
      <c r="M456" s="92">
        <v>0</v>
      </c>
      <c r="N456" s="92">
        <v>169</v>
      </c>
      <c r="O456" s="92">
        <v>169</v>
      </c>
      <c r="P456" s="92">
        <v>44</v>
      </c>
      <c r="Q456" s="92">
        <v>2872</v>
      </c>
      <c r="R456" s="92">
        <v>5906</v>
      </c>
      <c r="S456" s="92">
        <v>18</v>
      </c>
      <c r="T456" s="92">
        <v>0</v>
      </c>
      <c r="U456" s="92">
        <v>1</v>
      </c>
      <c r="V456" s="92">
        <v>0</v>
      </c>
      <c r="W456" s="92">
        <v>0</v>
      </c>
      <c r="X456" s="92">
        <v>0</v>
      </c>
      <c r="Y456" s="92">
        <v>0</v>
      </c>
      <c r="Z456" s="92">
        <v>0</v>
      </c>
      <c r="AA456" s="92">
        <v>0</v>
      </c>
      <c r="AB456" s="92">
        <v>91101</v>
      </c>
      <c r="AC456" s="92">
        <v>93081</v>
      </c>
      <c r="AD456" s="92">
        <v>94108</v>
      </c>
      <c r="AE456" s="92">
        <v>0</v>
      </c>
      <c r="AF456" s="92">
        <v>0</v>
      </c>
      <c r="AG456" s="92">
        <v>0</v>
      </c>
    </row>
    <row r="457" spans="1:35" x14ac:dyDescent="0.25">
      <c r="A457" t="str">
        <f t="shared" si="10"/>
        <v>42-11-19</v>
      </c>
      <c r="B457">
        <v>42</v>
      </c>
      <c r="C457" s="92" t="s">
        <v>1196</v>
      </c>
      <c r="D457" s="92">
        <v>11</v>
      </c>
      <c r="E457" s="92" t="s">
        <v>1062</v>
      </c>
      <c r="F457" s="92">
        <v>19</v>
      </c>
      <c r="G457" s="92" t="s">
        <v>998</v>
      </c>
      <c r="H457" s="92"/>
      <c r="I457" s="92">
        <v>9546</v>
      </c>
      <c r="J457" s="92">
        <v>37870046</v>
      </c>
      <c r="K457" s="92" t="s">
        <v>1061</v>
      </c>
      <c r="L457" s="92">
        <v>7973</v>
      </c>
      <c r="M457" s="92">
        <v>2670</v>
      </c>
      <c r="N457" s="92">
        <v>1436</v>
      </c>
      <c r="O457" s="92">
        <v>1022</v>
      </c>
      <c r="P457" s="92">
        <v>0</v>
      </c>
      <c r="Q457" s="92">
        <v>0</v>
      </c>
      <c r="R457" s="92">
        <v>0</v>
      </c>
      <c r="S457" s="92">
        <v>165</v>
      </c>
      <c r="T457" s="92">
        <v>51</v>
      </c>
      <c r="U457" s="92">
        <v>110</v>
      </c>
      <c r="V457" s="92">
        <v>0</v>
      </c>
      <c r="W457" s="92">
        <v>0</v>
      </c>
      <c r="X457" s="92">
        <v>0</v>
      </c>
      <c r="Y457" s="92">
        <v>0</v>
      </c>
      <c r="Z457" s="92">
        <v>0</v>
      </c>
      <c r="AA457" s="92">
        <v>0</v>
      </c>
      <c r="AB457" s="92">
        <v>600667</v>
      </c>
      <c r="AC457" s="92">
        <v>630272</v>
      </c>
      <c r="AD457" s="92">
        <v>649578</v>
      </c>
      <c r="AE457" s="92">
        <v>0</v>
      </c>
      <c r="AF457" s="92">
        <v>0</v>
      </c>
      <c r="AG457" s="92">
        <v>0</v>
      </c>
    </row>
    <row r="458" spans="1:35" x14ac:dyDescent="0.25">
      <c r="A458" t="str">
        <f t="shared" si="10"/>
        <v>42-17-10</v>
      </c>
      <c r="B458">
        <v>42</v>
      </c>
      <c r="C458" s="92" t="s">
        <v>1196</v>
      </c>
      <c r="D458" s="92">
        <v>17</v>
      </c>
      <c r="E458" s="92" t="s">
        <v>593</v>
      </c>
      <c r="F458" s="92">
        <v>10</v>
      </c>
      <c r="G458" s="92" t="s">
        <v>562</v>
      </c>
      <c r="H458" s="92"/>
      <c r="I458" s="92">
        <v>0</v>
      </c>
      <c r="J458" s="92">
        <v>37870046</v>
      </c>
      <c r="K458" s="92" t="s">
        <v>1061</v>
      </c>
      <c r="L458" s="92">
        <v>2243</v>
      </c>
      <c r="M458" s="92">
        <v>943</v>
      </c>
      <c r="N458" s="92">
        <v>411</v>
      </c>
      <c r="O458" s="92">
        <v>411</v>
      </c>
      <c r="P458" s="92">
        <v>0</v>
      </c>
      <c r="Q458" s="92">
        <v>0</v>
      </c>
      <c r="R458" s="92">
        <v>0</v>
      </c>
      <c r="S458" s="92">
        <v>47</v>
      </c>
      <c r="T458" s="92">
        <v>0</v>
      </c>
      <c r="U458" s="92">
        <v>31</v>
      </c>
      <c r="V458" s="92">
        <v>0</v>
      </c>
      <c r="W458" s="92">
        <v>0</v>
      </c>
      <c r="X458" s="92">
        <v>0</v>
      </c>
      <c r="Y458" s="92">
        <v>0</v>
      </c>
      <c r="Z458" s="92">
        <v>0</v>
      </c>
      <c r="AA458" s="92">
        <v>0</v>
      </c>
      <c r="AB458" s="92">
        <v>171813</v>
      </c>
      <c r="AC458" s="92">
        <v>180303</v>
      </c>
      <c r="AD458" s="92">
        <v>180303</v>
      </c>
      <c r="AE458" s="92">
        <v>0</v>
      </c>
      <c r="AF458" s="92">
        <v>0</v>
      </c>
      <c r="AG458" s="92">
        <v>0</v>
      </c>
    </row>
    <row r="459" spans="1:35" x14ac:dyDescent="0.25">
      <c r="A459" t="str">
        <f t="shared" si="10"/>
        <v>42-9-147</v>
      </c>
      <c r="B459">
        <v>42</v>
      </c>
      <c r="C459" s="92" t="s">
        <v>1196</v>
      </c>
      <c r="D459" s="92">
        <v>9</v>
      </c>
      <c r="E459" s="92" t="s">
        <v>588</v>
      </c>
      <c r="F459" s="92">
        <v>147</v>
      </c>
      <c r="G459" s="92" t="s">
        <v>996</v>
      </c>
      <c r="H459" s="92"/>
      <c r="I459" s="92">
        <v>0</v>
      </c>
      <c r="J459" s="92">
        <v>2644805</v>
      </c>
      <c r="K459" s="92" t="s">
        <v>1061</v>
      </c>
      <c r="L459" s="92">
        <v>12268</v>
      </c>
      <c r="M459" s="92">
        <v>1108</v>
      </c>
      <c r="N459" s="92">
        <v>457</v>
      </c>
      <c r="O459" s="92">
        <v>457</v>
      </c>
      <c r="P459" s="92">
        <v>0</v>
      </c>
      <c r="Q459" s="92">
        <v>0</v>
      </c>
      <c r="R459" s="92">
        <v>0</v>
      </c>
      <c r="S459" s="92">
        <v>132</v>
      </c>
      <c r="T459" s="92">
        <v>0</v>
      </c>
      <c r="U459" s="92">
        <v>72</v>
      </c>
      <c r="V459" s="92">
        <v>0</v>
      </c>
      <c r="W459" s="92">
        <v>0</v>
      </c>
      <c r="X459" s="92">
        <v>0</v>
      </c>
      <c r="Y459" s="92">
        <v>0</v>
      </c>
      <c r="Z459" s="92">
        <v>0</v>
      </c>
      <c r="AA459" s="92">
        <v>0</v>
      </c>
      <c r="AB459" s="92">
        <v>558495</v>
      </c>
      <c r="AC459" s="92">
        <v>587994</v>
      </c>
      <c r="AD459" s="92">
        <v>615907</v>
      </c>
      <c r="AE459" s="92">
        <v>0</v>
      </c>
      <c r="AF459" s="92">
        <v>0</v>
      </c>
      <c r="AG459" s="92">
        <v>0</v>
      </c>
      <c r="AI459" s="250">
        <v>5.9143100000000001E-4</v>
      </c>
    </row>
    <row r="460" spans="1:35" x14ac:dyDescent="0.25">
      <c r="A460" t="str">
        <f t="shared" si="10"/>
        <v>42-4-168</v>
      </c>
      <c r="B460">
        <v>42</v>
      </c>
      <c r="C460" s="92" t="s">
        <v>1196</v>
      </c>
      <c r="D460" s="92">
        <v>4</v>
      </c>
      <c r="E460" s="92" t="s">
        <v>66</v>
      </c>
      <c r="F460" s="92">
        <v>168</v>
      </c>
      <c r="G460" s="92" t="s">
        <v>987</v>
      </c>
      <c r="H460" s="92"/>
      <c r="I460" s="92">
        <v>0</v>
      </c>
      <c r="J460" s="92">
        <v>72483682</v>
      </c>
      <c r="K460" s="92" t="s">
        <v>1061</v>
      </c>
      <c r="L460" s="92">
        <v>12953</v>
      </c>
      <c r="M460" s="92">
        <v>11702</v>
      </c>
      <c r="N460" s="92">
        <v>3601</v>
      </c>
      <c r="O460" s="92">
        <v>3601</v>
      </c>
      <c r="P460" s="92">
        <v>936</v>
      </c>
      <c r="Q460" s="92">
        <v>40102</v>
      </c>
      <c r="R460" s="92">
        <v>29322</v>
      </c>
      <c r="S460" s="92">
        <v>382</v>
      </c>
      <c r="T460" s="92">
        <v>0</v>
      </c>
      <c r="U460" s="92">
        <v>6</v>
      </c>
      <c r="V460" s="92">
        <v>0</v>
      </c>
      <c r="W460" s="92">
        <v>0</v>
      </c>
      <c r="X460" s="92">
        <v>0</v>
      </c>
      <c r="Y460" s="92">
        <v>0</v>
      </c>
      <c r="Z460" s="92">
        <v>0</v>
      </c>
      <c r="AA460" s="92">
        <v>0</v>
      </c>
      <c r="AB460" s="92">
        <v>28935</v>
      </c>
      <c r="AC460" s="92">
        <v>28256</v>
      </c>
      <c r="AD460" s="92">
        <v>28262</v>
      </c>
      <c r="AE460" s="92">
        <v>0</v>
      </c>
      <c r="AF460" s="92">
        <v>0</v>
      </c>
      <c r="AG460" s="92">
        <v>0</v>
      </c>
    </row>
    <row r="461" spans="1:35" x14ac:dyDescent="0.25">
      <c r="A461" t="str">
        <f t="shared" si="10"/>
        <v>27-9-24</v>
      </c>
      <c r="B461">
        <v>27</v>
      </c>
      <c r="C461" s="92" t="s">
        <v>1040</v>
      </c>
      <c r="D461" s="92">
        <v>9</v>
      </c>
      <c r="E461" s="92" t="s">
        <v>588</v>
      </c>
      <c r="F461" s="92">
        <v>24</v>
      </c>
      <c r="G461" s="92" t="s">
        <v>1091</v>
      </c>
      <c r="H461" s="92"/>
      <c r="I461" s="92">
        <v>3556</v>
      </c>
      <c r="J461" s="92">
        <v>15755695</v>
      </c>
      <c r="K461" s="92" t="s">
        <v>1061</v>
      </c>
      <c r="L461" s="92">
        <v>16194</v>
      </c>
      <c r="M461" s="92">
        <v>2123</v>
      </c>
      <c r="N461" s="92">
        <v>933</v>
      </c>
      <c r="O461" s="92">
        <v>933</v>
      </c>
      <c r="P461" s="92">
        <v>0</v>
      </c>
      <c r="Q461" s="92">
        <v>0</v>
      </c>
      <c r="R461" s="92">
        <v>0</v>
      </c>
      <c r="S461" s="92">
        <v>0</v>
      </c>
      <c r="T461" s="92">
        <v>0</v>
      </c>
      <c r="U461" s="92">
        <v>0</v>
      </c>
      <c r="V461" s="92">
        <v>0</v>
      </c>
      <c r="W461" s="92">
        <v>0</v>
      </c>
      <c r="X461" s="92">
        <v>0</v>
      </c>
      <c r="Y461" s="92">
        <v>0</v>
      </c>
      <c r="Z461" s="92">
        <v>0</v>
      </c>
      <c r="AA461" s="92">
        <v>0</v>
      </c>
      <c r="AB461" s="92">
        <v>278119</v>
      </c>
      <c r="AC461" s="92">
        <v>287039</v>
      </c>
      <c r="AD461" s="92">
        <v>295959</v>
      </c>
      <c r="AE461" s="92">
        <v>0</v>
      </c>
      <c r="AF461" s="92">
        <v>0</v>
      </c>
      <c r="AG461" s="92">
        <v>0</v>
      </c>
      <c r="AI461" s="250">
        <v>8.19994E-4</v>
      </c>
    </row>
    <row r="462" spans="1:35" x14ac:dyDescent="0.25">
      <c r="A462" t="str">
        <f t="shared" si="10"/>
        <v>6-4-21</v>
      </c>
      <c r="B462">
        <v>6</v>
      </c>
      <c r="C462" s="92" t="s">
        <v>1020</v>
      </c>
      <c r="D462" s="92">
        <v>4</v>
      </c>
      <c r="E462" s="92" t="s">
        <v>66</v>
      </c>
      <c r="F462" s="92">
        <v>21</v>
      </c>
      <c r="G462" s="92" t="s">
        <v>678</v>
      </c>
      <c r="H462" s="92"/>
      <c r="I462" s="92">
        <v>0</v>
      </c>
      <c r="J462" s="92">
        <v>36353320</v>
      </c>
      <c r="K462" s="92" t="s">
        <v>1061</v>
      </c>
      <c r="L462" s="92">
        <v>17535</v>
      </c>
      <c r="M462" s="92">
        <v>2943</v>
      </c>
      <c r="N462" s="92">
        <v>971</v>
      </c>
      <c r="O462" s="92">
        <v>971</v>
      </c>
      <c r="P462" s="92">
        <v>0</v>
      </c>
      <c r="Q462" s="92">
        <v>0</v>
      </c>
      <c r="R462" s="92">
        <v>0</v>
      </c>
      <c r="S462" s="92">
        <v>0</v>
      </c>
      <c r="T462" s="92">
        <v>0</v>
      </c>
      <c r="U462" s="92">
        <v>0</v>
      </c>
      <c r="V462" s="92">
        <v>0</v>
      </c>
      <c r="W462" s="92">
        <v>0</v>
      </c>
      <c r="X462" s="92">
        <v>0</v>
      </c>
      <c r="Y462" s="92">
        <v>0</v>
      </c>
      <c r="Z462" s="92">
        <v>0</v>
      </c>
      <c r="AA462" s="92">
        <v>0</v>
      </c>
      <c r="AB462" s="92">
        <v>45765</v>
      </c>
      <c r="AC462" s="92">
        <v>47680</v>
      </c>
      <c r="AD462" s="92">
        <v>50102</v>
      </c>
      <c r="AE462" s="92">
        <v>0</v>
      </c>
      <c r="AF462" s="92">
        <v>0</v>
      </c>
      <c r="AG462" s="92">
        <v>0</v>
      </c>
    </row>
    <row r="463" spans="1:35" x14ac:dyDescent="0.25">
      <c r="A463" t="str">
        <f t="shared" si="10"/>
        <v>4-15-14</v>
      </c>
      <c r="B463">
        <v>4</v>
      </c>
      <c r="C463" s="92" t="s">
        <v>1194</v>
      </c>
      <c r="D463" s="92">
        <v>15</v>
      </c>
      <c r="E463" s="92" t="s">
        <v>152</v>
      </c>
      <c r="F463" s="92">
        <v>14</v>
      </c>
      <c r="G463" s="92" t="s">
        <v>662</v>
      </c>
      <c r="H463" s="92"/>
      <c r="I463" s="92">
        <v>68670</v>
      </c>
      <c r="J463" s="92">
        <v>2872983</v>
      </c>
      <c r="K463" s="92" t="s">
        <v>1061</v>
      </c>
      <c r="L463" s="92">
        <v>0</v>
      </c>
      <c r="M463" s="92">
        <v>144</v>
      </c>
      <c r="N463" s="92">
        <v>6</v>
      </c>
      <c r="O463" s="92">
        <v>6</v>
      </c>
      <c r="P463" s="92">
        <v>0</v>
      </c>
      <c r="Q463" s="92">
        <v>0</v>
      </c>
      <c r="R463" s="92">
        <v>0</v>
      </c>
      <c r="S463" s="92">
        <v>0</v>
      </c>
      <c r="T463" s="92">
        <v>0</v>
      </c>
      <c r="U463" s="92">
        <v>0</v>
      </c>
      <c r="V463" s="92">
        <v>0</v>
      </c>
      <c r="W463" s="92">
        <v>0</v>
      </c>
      <c r="X463" s="92">
        <v>0</v>
      </c>
      <c r="Y463" s="92">
        <v>0</v>
      </c>
      <c r="Z463" s="92">
        <v>0</v>
      </c>
      <c r="AA463" s="92">
        <v>0</v>
      </c>
      <c r="AB463" s="92">
        <v>94137</v>
      </c>
      <c r="AC463" s="92">
        <v>99903</v>
      </c>
      <c r="AD463" s="92">
        <v>91850</v>
      </c>
      <c r="AE463" s="92">
        <v>0</v>
      </c>
      <c r="AF463" s="92">
        <v>0</v>
      </c>
      <c r="AG463" s="92">
        <v>0</v>
      </c>
    </row>
    <row r="464" spans="1:35" x14ac:dyDescent="0.25">
      <c r="A464" t="str">
        <f t="shared" si="10"/>
        <v>4-7-42</v>
      </c>
      <c r="B464">
        <v>4</v>
      </c>
      <c r="C464" s="92" t="s">
        <v>1194</v>
      </c>
      <c r="D464" s="92">
        <v>7</v>
      </c>
      <c r="E464" s="92" t="s">
        <v>586</v>
      </c>
      <c r="F464" s="92">
        <v>42</v>
      </c>
      <c r="G464" s="92" t="s">
        <v>122</v>
      </c>
      <c r="H464" s="92"/>
      <c r="I464" s="92">
        <v>0</v>
      </c>
      <c r="J464" s="92">
        <v>3426019</v>
      </c>
      <c r="K464" s="92" t="s">
        <v>1061</v>
      </c>
      <c r="L464" s="92">
        <v>1</v>
      </c>
      <c r="M464" s="92">
        <v>12</v>
      </c>
      <c r="N464" s="92">
        <v>1</v>
      </c>
      <c r="O464" s="92">
        <v>1</v>
      </c>
      <c r="P464" s="92">
        <v>0</v>
      </c>
      <c r="Q464" s="92">
        <v>0</v>
      </c>
      <c r="R464" s="92">
        <v>0</v>
      </c>
      <c r="S464" s="92">
        <v>0</v>
      </c>
      <c r="T464" s="92">
        <v>0</v>
      </c>
      <c r="U464" s="92">
        <v>0</v>
      </c>
      <c r="V464" s="92">
        <v>0</v>
      </c>
      <c r="W464" s="92">
        <v>0</v>
      </c>
      <c r="X464" s="92">
        <v>0</v>
      </c>
      <c r="Y464" s="92">
        <v>0</v>
      </c>
      <c r="Z464" s="92">
        <v>0</v>
      </c>
      <c r="AA464" s="92">
        <v>0</v>
      </c>
      <c r="AB464" s="92">
        <v>15377</v>
      </c>
      <c r="AC464" s="92">
        <v>15377</v>
      </c>
      <c r="AD464" s="92">
        <v>15391</v>
      </c>
      <c r="AE464" s="92">
        <v>0</v>
      </c>
      <c r="AF464" s="92">
        <v>0</v>
      </c>
      <c r="AG464" s="92">
        <v>0</v>
      </c>
    </row>
    <row r="465" spans="1:33" x14ac:dyDescent="0.25">
      <c r="A465" t="str">
        <f t="shared" si="10"/>
        <v>4-19-28</v>
      </c>
      <c r="B465">
        <v>4</v>
      </c>
      <c r="C465" s="92" t="s">
        <v>1194</v>
      </c>
      <c r="D465" s="92">
        <v>19</v>
      </c>
      <c r="E465" s="92" t="s">
        <v>1063</v>
      </c>
      <c r="F465" s="92">
        <v>28</v>
      </c>
      <c r="G465" s="92" t="s">
        <v>663</v>
      </c>
      <c r="H465" s="92"/>
      <c r="I465" s="92">
        <v>108</v>
      </c>
      <c r="J465" s="92">
        <v>2989250</v>
      </c>
      <c r="K465" s="92" t="s">
        <v>1061</v>
      </c>
      <c r="L465" s="92">
        <v>0</v>
      </c>
      <c r="M465" s="92">
        <v>34</v>
      </c>
      <c r="N465" s="92">
        <v>3</v>
      </c>
      <c r="O465" s="92">
        <v>3</v>
      </c>
      <c r="P465" s="92">
        <v>0</v>
      </c>
      <c r="Q465" s="92">
        <v>0</v>
      </c>
      <c r="R465" s="92">
        <v>0</v>
      </c>
      <c r="S465" s="92">
        <v>0</v>
      </c>
      <c r="T465" s="92">
        <v>0</v>
      </c>
      <c r="U465" s="92">
        <v>0</v>
      </c>
      <c r="V465" s="92">
        <v>0</v>
      </c>
      <c r="W465" s="92">
        <v>0</v>
      </c>
      <c r="X465" s="92">
        <v>0</v>
      </c>
      <c r="Y465" s="92">
        <v>0</v>
      </c>
      <c r="Z465" s="92">
        <v>0</v>
      </c>
      <c r="AA465" s="92">
        <v>0</v>
      </c>
      <c r="AB465" s="92">
        <v>46012</v>
      </c>
      <c r="AC465" s="92">
        <v>48811</v>
      </c>
      <c r="AD465" s="92">
        <v>51994</v>
      </c>
      <c r="AE465" s="92">
        <v>0</v>
      </c>
      <c r="AF465" s="92">
        <v>0</v>
      </c>
      <c r="AG465" s="92">
        <v>0</v>
      </c>
    </row>
    <row r="466" spans="1:33" x14ac:dyDescent="0.25">
      <c r="A466" t="str">
        <f t="shared" si="10"/>
        <v>6-10-1</v>
      </c>
      <c r="B466">
        <v>6</v>
      </c>
      <c r="C466" s="92" t="s">
        <v>1020</v>
      </c>
      <c r="D466" s="92">
        <v>10</v>
      </c>
      <c r="E466" s="92" t="s">
        <v>589</v>
      </c>
      <c r="F466" s="92">
        <v>1</v>
      </c>
      <c r="G466" s="92" t="s">
        <v>148</v>
      </c>
      <c r="H466" s="92"/>
      <c r="I466" s="92">
        <v>12</v>
      </c>
      <c r="J466" s="92">
        <v>0</v>
      </c>
      <c r="K466" s="92">
        <v>1</v>
      </c>
      <c r="L466" s="92">
        <v>0</v>
      </c>
      <c r="M466" s="92">
        <v>0</v>
      </c>
      <c r="N466" s="92">
        <v>0</v>
      </c>
      <c r="O466" s="92">
        <v>0</v>
      </c>
      <c r="P466" s="92">
        <v>0</v>
      </c>
      <c r="Q466" s="92">
        <v>0</v>
      </c>
      <c r="R466" s="92">
        <v>0</v>
      </c>
      <c r="S466" s="92">
        <v>10</v>
      </c>
      <c r="T466" s="92">
        <v>1</v>
      </c>
      <c r="U466" s="92">
        <v>6</v>
      </c>
      <c r="V466" s="92">
        <v>0</v>
      </c>
      <c r="W466" s="92">
        <v>0</v>
      </c>
      <c r="X466" s="92">
        <v>0</v>
      </c>
      <c r="Y466" s="92">
        <v>0</v>
      </c>
      <c r="Z466" s="92">
        <v>0</v>
      </c>
      <c r="AA466" s="92">
        <v>0</v>
      </c>
      <c r="AB466" s="92">
        <v>70025</v>
      </c>
      <c r="AC466" s="92">
        <v>73699</v>
      </c>
      <c r="AD466" s="92">
        <v>77898</v>
      </c>
      <c r="AE466" s="92">
        <v>0</v>
      </c>
      <c r="AF466" s="92">
        <v>0</v>
      </c>
      <c r="AG466" s="92">
        <v>0</v>
      </c>
    </row>
    <row r="467" spans="1:33" x14ac:dyDescent="0.25">
      <c r="A467" t="str">
        <f t="shared" si="10"/>
        <v>10-10-1</v>
      </c>
      <c r="B467">
        <v>10</v>
      </c>
      <c r="C467" s="92" t="s">
        <v>1023</v>
      </c>
      <c r="D467" s="92">
        <v>10</v>
      </c>
      <c r="E467" s="92" t="s">
        <v>589</v>
      </c>
      <c r="F467" s="92">
        <v>1</v>
      </c>
      <c r="G467" s="92" t="s">
        <v>148</v>
      </c>
      <c r="H467" s="92"/>
      <c r="I467" s="92">
        <v>12</v>
      </c>
      <c r="J467" s="92">
        <v>0</v>
      </c>
      <c r="K467" s="92">
        <v>1</v>
      </c>
      <c r="L467" s="92">
        <v>0</v>
      </c>
      <c r="M467" s="92">
        <v>0</v>
      </c>
      <c r="N467" s="92">
        <v>0</v>
      </c>
      <c r="O467" s="92">
        <v>0</v>
      </c>
      <c r="P467" s="92">
        <v>0</v>
      </c>
      <c r="Q467" s="92">
        <v>0</v>
      </c>
      <c r="R467" s="92">
        <v>0</v>
      </c>
      <c r="S467" s="92">
        <v>10</v>
      </c>
      <c r="T467" s="92">
        <v>1</v>
      </c>
      <c r="U467" s="92">
        <v>6</v>
      </c>
      <c r="V467" s="92">
        <v>0</v>
      </c>
      <c r="W467" s="92">
        <v>0</v>
      </c>
      <c r="X467" s="92">
        <v>0</v>
      </c>
      <c r="Y467" s="92">
        <v>0</v>
      </c>
      <c r="Z467" s="92">
        <v>0</v>
      </c>
      <c r="AA467" s="92">
        <v>0</v>
      </c>
      <c r="AB467" s="92">
        <v>70025</v>
      </c>
      <c r="AC467" s="92">
        <v>73699</v>
      </c>
      <c r="AD467" s="92">
        <v>77898</v>
      </c>
      <c r="AE467" s="92">
        <v>0</v>
      </c>
      <c r="AF467" s="92">
        <v>0</v>
      </c>
      <c r="AG467" s="92">
        <v>0</v>
      </c>
    </row>
    <row r="468" spans="1:33" x14ac:dyDescent="0.25">
      <c r="A468" t="str">
        <f t="shared" si="10"/>
        <v>26-10-1</v>
      </c>
      <c r="B468">
        <v>26</v>
      </c>
      <c r="C468" s="92" t="s">
        <v>1039</v>
      </c>
      <c r="D468" s="92">
        <v>10</v>
      </c>
      <c r="E468" s="92" t="s">
        <v>589</v>
      </c>
      <c r="F468" s="92">
        <v>1</v>
      </c>
      <c r="G468" s="92" t="s">
        <v>148</v>
      </c>
      <c r="H468" s="92"/>
      <c r="I468" s="92">
        <v>12</v>
      </c>
      <c r="J468" s="92">
        <v>0</v>
      </c>
      <c r="K468" s="92">
        <v>1</v>
      </c>
      <c r="L468" s="92">
        <v>0</v>
      </c>
      <c r="M468" s="92">
        <v>0</v>
      </c>
      <c r="N468" s="92">
        <v>0</v>
      </c>
      <c r="O468" s="92">
        <v>0</v>
      </c>
      <c r="P468" s="92">
        <v>0</v>
      </c>
      <c r="Q468" s="92">
        <v>0</v>
      </c>
      <c r="R468" s="92">
        <v>0</v>
      </c>
      <c r="S468" s="92">
        <v>10</v>
      </c>
      <c r="T468" s="92">
        <v>1</v>
      </c>
      <c r="U468" s="92">
        <v>6</v>
      </c>
      <c r="V468" s="92">
        <v>0</v>
      </c>
      <c r="W468" s="92">
        <v>0</v>
      </c>
      <c r="X468" s="92">
        <v>0</v>
      </c>
      <c r="Y468" s="92">
        <v>0</v>
      </c>
      <c r="Z468" s="92">
        <v>0</v>
      </c>
      <c r="AA468" s="92">
        <v>0</v>
      </c>
      <c r="AB468" s="92">
        <v>70025</v>
      </c>
      <c r="AC468" s="92">
        <v>73699</v>
      </c>
      <c r="AD468" s="92">
        <v>77898</v>
      </c>
      <c r="AE468" s="92">
        <v>0</v>
      </c>
      <c r="AF468" s="92">
        <v>0</v>
      </c>
      <c r="AG468" s="92">
        <v>0</v>
      </c>
    </row>
    <row r="469" spans="1:33" x14ac:dyDescent="0.25">
      <c r="A469" t="str">
        <f t="shared" ref="A469:A532" si="11">B469&amp;"-"&amp;D469&amp;"-"&amp;F469</f>
        <v>33-10-1</v>
      </c>
      <c r="B469">
        <v>33</v>
      </c>
      <c r="C469" s="92" t="s">
        <v>1046</v>
      </c>
      <c r="D469" s="92">
        <v>10</v>
      </c>
      <c r="E469" s="92" t="s">
        <v>589</v>
      </c>
      <c r="F469" s="92">
        <v>1</v>
      </c>
      <c r="G469" s="92" t="s">
        <v>148</v>
      </c>
      <c r="H469" s="92"/>
      <c r="I469" s="92">
        <v>12</v>
      </c>
      <c r="J469" s="92">
        <v>0</v>
      </c>
      <c r="K469" s="92">
        <v>1</v>
      </c>
      <c r="L469" s="92">
        <v>0</v>
      </c>
      <c r="M469" s="92">
        <v>0</v>
      </c>
      <c r="N469" s="92">
        <v>0</v>
      </c>
      <c r="O469" s="92">
        <v>0</v>
      </c>
      <c r="P469" s="92">
        <v>0</v>
      </c>
      <c r="Q469" s="92">
        <v>0</v>
      </c>
      <c r="R469" s="92">
        <v>0</v>
      </c>
      <c r="S469" s="92">
        <v>10</v>
      </c>
      <c r="T469" s="92">
        <v>1</v>
      </c>
      <c r="U469" s="92">
        <v>6</v>
      </c>
      <c r="V469" s="92">
        <v>0</v>
      </c>
      <c r="W469" s="92">
        <v>0</v>
      </c>
      <c r="X469" s="92">
        <v>0</v>
      </c>
      <c r="Y469" s="92">
        <v>0</v>
      </c>
      <c r="Z469" s="92">
        <v>0</v>
      </c>
      <c r="AA469" s="92">
        <v>0</v>
      </c>
      <c r="AB469" s="92">
        <v>70025</v>
      </c>
      <c r="AC469" s="92">
        <v>73699</v>
      </c>
      <c r="AD469" s="92">
        <v>77898</v>
      </c>
      <c r="AE469" s="92">
        <v>0</v>
      </c>
      <c r="AF469" s="92">
        <v>0</v>
      </c>
      <c r="AG469" s="92">
        <v>0</v>
      </c>
    </row>
    <row r="470" spans="1:33" x14ac:dyDescent="0.25">
      <c r="A470" t="str">
        <f t="shared" si="11"/>
        <v>1-10-13</v>
      </c>
      <c r="B470">
        <v>1</v>
      </c>
      <c r="C470" s="92" t="s">
        <v>1016</v>
      </c>
      <c r="D470" s="92">
        <v>10</v>
      </c>
      <c r="E470" s="92" t="s">
        <v>589</v>
      </c>
      <c r="F470" s="92">
        <v>13</v>
      </c>
      <c r="G470" s="92" t="s">
        <v>89</v>
      </c>
      <c r="H470" s="92"/>
      <c r="I470" s="92">
        <v>0</v>
      </c>
      <c r="J470" s="92">
        <v>0</v>
      </c>
      <c r="K470" s="92">
        <v>1</v>
      </c>
      <c r="L470" s="92">
        <v>0</v>
      </c>
      <c r="M470" s="92">
        <v>0</v>
      </c>
      <c r="N470" s="92">
        <v>0</v>
      </c>
      <c r="O470" s="92">
        <v>0</v>
      </c>
      <c r="P470" s="92">
        <v>0</v>
      </c>
      <c r="Q470" s="92">
        <v>0</v>
      </c>
      <c r="R470" s="92">
        <v>0</v>
      </c>
      <c r="S470" s="92">
        <v>0</v>
      </c>
      <c r="T470" s="92">
        <v>10</v>
      </c>
      <c r="U470" s="92">
        <v>0</v>
      </c>
      <c r="V470" s="92">
        <v>0</v>
      </c>
      <c r="W470" s="92">
        <v>0</v>
      </c>
      <c r="X470" s="92">
        <v>0</v>
      </c>
      <c r="Y470" s="92">
        <v>0</v>
      </c>
      <c r="Z470" s="92">
        <v>0</v>
      </c>
      <c r="AA470" s="92">
        <v>0</v>
      </c>
      <c r="AB470" s="92">
        <v>530706</v>
      </c>
      <c r="AC470" s="92">
        <v>556389</v>
      </c>
      <c r="AD470" s="92">
        <v>581613</v>
      </c>
      <c r="AE470" s="92">
        <v>0</v>
      </c>
      <c r="AF470" s="92">
        <v>0</v>
      </c>
      <c r="AG470" s="92">
        <v>0</v>
      </c>
    </row>
    <row r="471" spans="1:33" x14ac:dyDescent="0.25">
      <c r="A471" t="str">
        <f t="shared" si="11"/>
        <v>14-10-13</v>
      </c>
      <c r="B471">
        <v>14</v>
      </c>
      <c r="C471" s="92" t="s">
        <v>1027</v>
      </c>
      <c r="D471" s="92">
        <v>10</v>
      </c>
      <c r="E471" s="92" t="s">
        <v>589</v>
      </c>
      <c r="F471" s="92">
        <v>13</v>
      </c>
      <c r="G471" s="92" t="s">
        <v>89</v>
      </c>
      <c r="H471" s="92"/>
      <c r="I471" s="92">
        <v>0</v>
      </c>
      <c r="J471" s="92">
        <v>0</v>
      </c>
      <c r="K471" s="92">
        <v>1</v>
      </c>
      <c r="L471" s="92">
        <v>0</v>
      </c>
      <c r="M471" s="92">
        <v>0</v>
      </c>
      <c r="N471" s="92">
        <v>0</v>
      </c>
      <c r="O471" s="92">
        <v>0</v>
      </c>
      <c r="P471" s="92">
        <v>0</v>
      </c>
      <c r="Q471" s="92">
        <v>0</v>
      </c>
      <c r="R471" s="92">
        <v>0</v>
      </c>
      <c r="S471" s="92">
        <v>0</v>
      </c>
      <c r="T471" s="92">
        <v>10</v>
      </c>
      <c r="U471" s="92">
        <v>0</v>
      </c>
      <c r="V471" s="92">
        <v>0</v>
      </c>
      <c r="W471" s="92">
        <v>0</v>
      </c>
      <c r="X471" s="92">
        <v>0</v>
      </c>
      <c r="Y471" s="92">
        <v>0</v>
      </c>
      <c r="Z471" s="92">
        <v>0</v>
      </c>
      <c r="AA471" s="92">
        <v>0</v>
      </c>
      <c r="AB471" s="92">
        <v>530706</v>
      </c>
      <c r="AC471" s="92">
        <v>556389</v>
      </c>
      <c r="AD471" s="92">
        <v>581613</v>
      </c>
      <c r="AE471" s="92">
        <v>0</v>
      </c>
      <c r="AF471" s="92">
        <v>0</v>
      </c>
      <c r="AG471" s="92">
        <v>0</v>
      </c>
    </row>
    <row r="472" spans="1:33" x14ac:dyDescent="0.25">
      <c r="A472" t="str">
        <f t="shared" si="11"/>
        <v>14-10-15</v>
      </c>
      <c r="B472">
        <v>14</v>
      </c>
      <c r="C472" s="92" t="s">
        <v>1027</v>
      </c>
      <c r="D472" s="92">
        <v>10</v>
      </c>
      <c r="E472" s="92" t="s">
        <v>589</v>
      </c>
      <c r="F472" s="92">
        <v>15</v>
      </c>
      <c r="G472" s="92" t="s">
        <v>244</v>
      </c>
      <c r="H472" s="92"/>
      <c r="I472" s="92">
        <v>0</v>
      </c>
      <c r="J472" s="92">
        <v>0</v>
      </c>
      <c r="K472" s="92" t="s">
        <v>1061</v>
      </c>
      <c r="L472" s="92">
        <v>0</v>
      </c>
      <c r="M472" s="92">
        <v>0</v>
      </c>
      <c r="N472" s="92">
        <v>0</v>
      </c>
      <c r="O472" s="92">
        <v>0</v>
      </c>
      <c r="P472" s="92">
        <v>0</v>
      </c>
      <c r="Q472" s="92">
        <v>0</v>
      </c>
      <c r="R472" s="92">
        <v>0</v>
      </c>
      <c r="S472" s="92">
        <v>0</v>
      </c>
      <c r="T472" s="92">
        <v>0</v>
      </c>
      <c r="U472" s="92">
        <v>0</v>
      </c>
      <c r="V472" s="92">
        <v>0</v>
      </c>
      <c r="W472" s="92">
        <v>0</v>
      </c>
      <c r="X472" s="92">
        <v>0</v>
      </c>
      <c r="Y472" s="92">
        <v>0</v>
      </c>
      <c r="Z472" s="92">
        <v>0</v>
      </c>
      <c r="AA472" s="92">
        <v>0</v>
      </c>
      <c r="AB472" s="92">
        <v>67462</v>
      </c>
      <c r="AC472" s="92">
        <v>71646</v>
      </c>
      <c r="AD472" s="92">
        <v>74900</v>
      </c>
      <c r="AE472" s="92">
        <v>0</v>
      </c>
      <c r="AF472" s="92">
        <v>0</v>
      </c>
      <c r="AG472" s="92">
        <v>0</v>
      </c>
    </row>
    <row r="473" spans="1:33" x14ac:dyDescent="0.25">
      <c r="A473" t="str">
        <f t="shared" si="11"/>
        <v>2-10-6</v>
      </c>
      <c r="B473">
        <v>2</v>
      </c>
      <c r="C473" s="92" t="s">
        <v>1017</v>
      </c>
      <c r="D473" s="92">
        <v>10</v>
      </c>
      <c r="E473" s="92" t="s">
        <v>589</v>
      </c>
      <c r="F473" s="92">
        <v>6</v>
      </c>
      <c r="G473" s="92" t="s">
        <v>96</v>
      </c>
      <c r="H473" s="92"/>
      <c r="I473" s="92">
        <v>579</v>
      </c>
      <c r="J473" s="92">
        <v>0</v>
      </c>
      <c r="K473" s="92">
        <v>1</v>
      </c>
      <c r="L473" s="92">
        <v>0</v>
      </c>
      <c r="M473" s="92">
        <v>0</v>
      </c>
      <c r="N473" s="92">
        <v>0</v>
      </c>
      <c r="O473" s="92">
        <v>0</v>
      </c>
      <c r="P473" s="92">
        <v>0</v>
      </c>
      <c r="Q473" s="92">
        <v>0</v>
      </c>
      <c r="R473" s="92">
        <v>0</v>
      </c>
      <c r="S473" s="92">
        <v>0</v>
      </c>
      <c r="T473" s="92">
        <v>0</v>
      </c>
      <c r="U473" s="92">
        <v>5</v>
      </c>
      <c r="V473" s="92">
        <v>0</v>
      </c>
      <c r="W473" s="92">
        <v>0</v>
      </c>
      <c r="X473" s="92">
        <v>0</v>
      </c>
      <c r="Y473" s="92">
        <v>0</v>
      </c>
      <c r="Z473" s="92">
        <v>0</v>
      </c>
      <c r="AA473" s="92">
        <v>0</v>
      </c>
      <c r="AB473" s="92">
        <v>17480</v>
      </c>
      <c r="AC473" s="92">
        <v>18220</v>
      </c>
      <c r="AD473" s="92">
        <v>18215</v>
      </c>
      <c r="AE473" s="92">
        <v>0</v>
      </c>
      <c r="AF473" s="92">
        <v>0</v>
      </c>
      <c r="AG473" s="92">
        <v>0</v>
      </c>
    </row>
    <row r="474" spans="1:33" x14ac:dyDescent="0.25">
      <c r="A474" t="str">
        <f t="shared" si="11"/>
        <v>44-10-6</v>
      </c>
      <c r="B474">
        <v>44</v>
      </c>
      <c r="C474" s="92" t="s">
        <v>1054</v>
      </c>
      <c r="D474" s="92">
        <v>10</v>
      </c>
      <c r="E474" s="92" t="s">
        <v>589</v>
      </c>
      <c r="F474" s="92">
        <v>6</v>
      </c>
      <c r="G474" s="92" t="s">
        <v>96</v>
      </c>
      <c r="H474" s="92"/>
      <c r="I474" s="92">
        <v>579</v>
      </c>
      <c r="J474" s="92">
        <v>0</v>
      </c>
      <c r="K474" s="92">
        <v>1</v>
      </c>
      <c r="L474" s="92">
        <v>0</v>
      </c>
      <c r="M474" s="92">
        <v>0</v>
      </c>
      <c r="N474" s="92">
        <v>0</v>
      </c>
      <c r="O474" s="92">
        <v>0</v>
      </c>
      <c r="P474" s="92">
        <v>0</v>
      </c>
      <c r="Q474" s="92">
        <v>0</v>
      </c>
      <c r="R474" s="92">
        <v>0</v>
      </c>
      <c r="S474" s="92">
        <v>0</v>
      </c>
      <c r="T474" s="92">
        <v>0</v>
      </c>
      <c r="U474" s="92">
        <v>5</v>
      </c>
      <c r="V474" s="92">
        <v>0</v>
      </c>
      <c r="W474" s="92">
        <v>0</v>
      </c>
      <c r="X474" s="92">
        <v>0</v>
      </c>
      <c r="Y474" s="92">
        <v>0</v>
      </c>
      <c r="Z474" s="92">
        <v>0</v>
      </c>
      <c r="AA474" s="92">
        <v>0</v>
      </c>
      <c r="AB474" s="92">
        <v>17480</v>
      </c>
      <c r="AC474" s="92">
        <v>18220</v>
      </c>
      <c r="AD474" s="92">
        <v>18215</v>
      </c>
      <c r="AE474" s="92">
        <v>0</v>
      </c>
      <c r="AF474" s="92">
        <v>0</v>
      </c>
      <c r="AG474" s="92">
        <v>0</v>
      </c>
    </row>
    <row r="475" spans="1:33" x14ac:dyDescent="0.25">
      <c r="A475" t="str">
        <f t="shared" si="11"/>
        <v>26-10-8</v>
      </c>
      <c r="B475">
        <v>26</v>
      </c>
      <c r="C475" s="92" t="s">
        <v>1039</v>
      </c>
      <c r="D475" s="92">
        <v>10</v>
      </c>
      <c r="E475" s="92" t="s">
        <v>589</v>
      </c>
      <c r="F475" s="92">
        <v>8</v>
      </c>
      <c r="G475" s="92" t="s">
        <v>396</v>
      </c>
      <c r="H475" s="92"/>
      <c r="I475" s="92">
        <v>8</v>
      </c>
      <c r="J475" s="92">
        <v>0</v>
      </c>
      <c r="K475" s="92" t="s">
        <v>1061</v>
      </c>
      <c r="L475" s="92">
        <v>0</v>
      </c>
      <c r="M475" s="92">
        <v>0</v>
      </c>
      <c r="N475" s="92">
        <v>0</v>
      </c>
      <c r="O475" s="92">
        <v>0</v>
      </c>
      <c r="P475" s="92">
        <v>0</v>
      </c>
      <c r="Q475" s="92">
        <v>0</v>
      </c>
      <c r="R475" s="92">
        <v>0</v>
      </c>
      <c r="S475" s="92">
        <v>0</v>
      </c>
      <c r="T475" s="92">
        <v>0</v>
      </c>
      <c r="U475" s="92">
        <v>0</v>
      </c>
      <c r="V475" s="92">
        <v>0</v>
      </c>
      <c r="W475" s="92">
        <v>0</v>
      </c>
      <c r="X475" s="92">
        <v>0</v>
      </c>
      <c r="Y475" s="92">
        <v>0</v>
      </c>
      <c r="Z475" s="92">
        <v>0</v>
      </c>
      <c r="AA475" s="92">
        <v>0</v>
      </c>
      <c r="AB475" s="92">
        <v>23035</v>
      </c>
      <c r="AC475" s="92">
        <v>23035</v>
      </c>
      <c r="AD475" s="92">
        <v>23035</v>
      </c>
      <c r="AE475" s="92">
        <v>0</v>
      </c>
      <c r="AF475" s="92">
        <v>0</v>
      </c>
      <c r="AG475" s="92">
        <v>0</v>
      </c>
    </row>
    <row r="476" spans="1:33" x14ac:dyDescent="0.25">
      <c r="A476" t="str">
        <f t="shared" si="11"/>
        <v>25-10-9</v>
      </c>
      <c r="B476">
        <v>25</v>
      </c>
      <c r="C476" s="92" t="s">
        <v>1038</v>
      </c>
      <c r="D476" s="92">
        <v>10</v>
      </c>
      <c r="E476" s="92" t="s">
        <v>589</v>
      </c>
      <c r="F476" s="92">
        <v>9</v>
      </c>
      <c r="G476" s="92" t="s">
        <v>383</v>
      </c>
      <c r="H476" s="92"/>
      <c r="I476" s="92">
        <v>0</v>
      </c>
      <c r="J476" s="92">
        <v>0</v>
      </c>
      <c r="K476" s="92" t="s">
        <v>1061</v>
      </c>
      <c r="L476" s="92">
        <v>0</v>
      </c>
      <c r="M476" s="92">
        <v>0</v>
      </c>
      <c r="N476" s="92">
        <v>0</v>
      </c>
      <c r="O476" s="92">
        <v>0</v>
      </c>
      <c r="P476" s="92">
        <v>0</v>
      </c>
      <c r="Q476" s="92">
        <v>0</v>
      </c>
      <c r="R476" s="92">
        <v>0</v>
      </c>
      <c r="S476" s="92">
        <v>0</v>
      </c>
      <c r="T476" s="92">
        <v>0</v>
      </c>
      <c r="U476" s="92">
        <v>0</v>
      </c>
      <c r="V476" s="92">
        <v>0</v>
      </c>
      <c r="W476" s="92">
        <v>0</v>
      </c>
      <c r="X476" s="92">
        <v>0</v>
      </c>
      <c r="Y476" s="92">
        <v>0</v>
      </c>
      <c r="Z476" s="92">
        <v>0</v>
      </c>
      <c r="AA476" s="92">
        <v>0</v>
      </c>
      <c r="AB476" s="92">
        <v>2159</v>
      </c>
      <c r="AC476" s="92">
        <v>2234</v>
      </c>
      <c r="AD476" s="92">
        <v>2234</v>
      </c>
      <c r="AE476" s="92">
        <v>0</v>
      </c>
      <c r="AF476" s="92">
        <v>0</v>
      </c>
      <c r="AG476" s="92">
        <v>0</v>
      </c>
    </row>
    <row r="477" spans="1:33" x14ac:dyDescent="0.25">
      <c r="A477" t="str">
        <f t="shared" si="11"/>
        <v>6-10-10</v>
      </c>
      <c r="B477">
        <v>6</v>
      </c>
      <c r="C477" s="92" t="s">
        <v>1020</v>
      </c>
      <c r="D477" s="92">
        <v>10</v>
      </c>
      <c r="E477" s="92" t="s">
        <v>589</v>
      </c>
      <c r="F477" s="92">
        <v>10</v>
      </c>
      <c r="G477" s="92" t="s">
        <v>149</v>
      </c>
      <c r="H477" s="92"/>
      <c r="I477" s="92">
        <v>0</v>
      </c>
      <c r="J477" s="92">
        <v>0</v>
      </c>
      <c r="K477" s="92" t="s">
        <v>1061</v>
      </c>
      <c r="L477" s="92">
        <v>0</v>
      </c>
      <c r="M477" s="92">
        <v>0</v>
      </c>
      <c r="N477" s="92">
        <v>0</v>
      </c>
      <c r="O477" s="92">
        <v>0</v>
      </c>
      <c r="P477" s="92">
        <v>0</v>
      </c>
      <c r="Q477" s="92">
        <v>0</v>
      </c>
      <c r="R477" s="92">
        <v>0</v>
      </c>
      <c r="S477" s="92">
        <v>0</v>
      </c>
      <c r="T477" s="92">
        <v>0</v>
      </c>
      <c r="U477" s="92">
        <v>0</v>
      </c>
      <c r="V477" s="92">
        <v>0</v>
      </c>
      <c r="W477" s="92">
        <v>0</v>
      </c>
      <c r="X477" s="92">
        <v>0</v>
      </c>
      <c r="Y477" s="92">
        <v>0</v>
      </c>
      <c r="Z477" s="92">
        <v>0</v>
      </c>
      <c r="AA477" s="92">
        <v>0</v>
      </c>
      <c r="AB477" s="92">
        <v>9872</v>
      </c>
      <c r="AC477" s="92">
        <v>9872</v>
      </c>
      <c r="AD477" s="92">
        <v>10244</v>
      </c>
      <c r="AE477" s="92">
        <v>0</v>
      </c>
      <c r="AF477" s="92">
        <v>0</v>
      </c>
      <c r="AG477" s="92">
        <v>0</v>
      </c>
    </row>
    <row r="478" spans="1:33" x14ac:dyDescent="0.25">
      <c r="A478" t="str">
        <f t="shared" si="11"/>
        <v>22-15-13</v>
      </c>
      <c r="B478">
        <v>22</v>
      </c>
      <c r="C478" s="92" t="s">
        <v>1035</v>
      </c>
      <c r="D478" s="92">
        <v>15</v>
      </c>
      <c r="E478" s="92" t="s">
        <v>152</v>
      </c>
      <c r="F478" s="92">
        <v>13</v>
      </c>
      <c r="G478" s="92" t="s">
        <v>847</v>
      </c>
      <c r="H478" s="92"/>
      <c r="I478" s="92">
        <v>10590</v>
      </c>
      <c r="J478" s="92">
        <v>2193986</v>
      </c>
      <c r="K478" s="92" t="s">
        <v>1061</v>
      </c>
      <c r="L478" s="92">
        <v>0</v>
      </c>
      <c r="M478" s="92">
        <v>1</v>
      </c>
      <c r="N478" s="92">
        <v>4</v>
      </c>
      <c r="O478" s="92">
        <v>4</v>
      </c>
      <c r="P478" s="92">
        <v>0</v>
      </c>
      <c r="Q478" s="92">
        <v>0</v>
      </c>
      <c r="R478" s="92">
        <v>0</v>
      </c>
      <c r="S478" s="92">
        <v>0</v>
      </c>
      <c r="T478" s="92">
        <v>0</v>
      </c>
      <c r="U478" s="92">
        <v>0</v>
      </c>
      <c r="V478" s="92">
        <v>0</v>
      </c>
      <c r="W478" s="92">
        <v>0</v>
      </c>
      <c r="X478" s="92">
        <v>0</v>
      </c>
      <c r="Y478" s="92">
        <v>0</v>
      </c>
      <c r="Z478" s="92">
        <v>0</v>
      </c>
      <c r="AA478" s="92">
        <v>0</v>
      </c>
      <c r="AB478" s="92">
        <v>18345</v>
      </c>
      <c r="AC478" s="92">
        <v>18340</v>
      </c>
      <c r="AD478" s="92">
        <v>18980</v>
      </c>
      <c r="AE478" s="92">
        <v>0</v>
      </c>
      <c r="AF478" s="92">
        <v>0</v>
      </c>
      <c r="AG478" s="92">
        <v>0</v>
      </c>
    </row>
    <row r="479" spans="1:33" x14ac:dyDescent="0.25">
      <c r="A479" t="str">
        <f t="shared" si="11"/>
        <v>21-15-22</v>
      </c>
      <c r="B479">
        <v>21</v>
      </c>
      <c r="C479" s="92" t="s">
        <v>1034</v>
      </c>
      <c r="D479" s="92">
        <v>15</v>
      </c>
      <c r="E479" s="92" t="s">
        <v>152</v>
      </c>
      <c r="F479" s="92">
        <v>22</v>
      </c>
      <c r="G479" s="92" t="s">
        <v>836</v>
      </c>
      <c r="H479" s="92"/>
      <c r="I479" s="92">
        <v>23387</v>
      </c>
      <c r="J479" s="92">
        <v>165928439</v>
      </c>
      <c r="K479" s="92" t="s">
        <v>1061</v>
      </c>
      <c r="L479" s="92">
        <v>0</v>
      </c>
      <c r="M479" s="92">
        <v>2754</v>
      </c>
      <c r="N479" s="92">
        <v>917</v>
      </c>
      <c r="O479" s="92">
        <v>917</v>
      </c>
      <c r="P479" s="92">
        <v>0</v>
      </c>
      <c r="Q479" s="92">
        <v>0</v>
      </c>
      <c r="R479" s="92">
        <v>0</v>
      </c>
      <c r="S479" s="92">
        <v>0</v>
      </c>
      <c r="T479" s="92">
        <v>0</v>
      </c>
      <c r="U479" s="92">
        <v>0</v>
      </c>
      <c r="V479" s="92">
        <v>0</v>
      </c>
      <c r="W479" s="92">
        <v>0</v>
      </c>
      <c r="X479" s="92">
        <v>0</v>
      </c>
      <c r="Y479" s="92">
        <v>0</v>
      </c>
      <c r="Z479" s="92">
        <v>0</v>
      </c>
      <c r="AA479" s="92">
        <v>0</v>
      </c>
      <c r="AB479" s="92">
        <v>260783</v>
      </c>
      <c r="AC479" s="92">
        <v>275702</v>
      </c>
      <c r="AD479" s="92">
        <v>290352</v>
      </c>
      <c r="AE479" s="92">
        <v>0</v>
      </c>
      <c r="AF479" s="92">
        <v>0</v>
      </c>
      <c r="AG479" s="92">
        <v>0</v>
      </c>
    </row>
    <row r="480" spans="1:33" x14ac:dyDescent="0.25">
      <c r="A480" t="str">
        <f t="shared" si="11"/>
        <v>21-7-43</v>
      </c>
      <c r="B480">
        <v>21</v>
      </c>
      <c r="C480" s="92" t="s">
        <v>1034</v>
      </c>
      <c r="D480" s="92">
        <v>7</v>
      </c>
      <c r="E480" s="92" t="s">
        <v>586</v>
      </c>
      <c r="F480" s="92">
        <v>43</v>
      </c>
      <c r="G480" s="92" t="s">
        <v>322</v>
      </c>
      <c r="H480" s="92"/>
      <c r="I480" s="92">
        <v>0</v>
      </c>
      <c r="J480" s="92">
        <v>6634057</v>
      </c>
      <c r="K480" s="92" t="s">
        <v>1061</v>
      </c>
      <c r="L480" s="92">
        <v>205</v>
      </c>
      <c r="M480" s="92">
        <v>118</v>
      </c>
      <c r="N480" s="92">
        <v>74</v>
      </c>
      <c r="O480" s="92">
        <v>74</v>
      </c>
      <c r="P480" s="92">
        <v>0</v>
      </c>
      <c r="Q480" s="92">
        <v>0</v>
      </c>
      <c r="R480" s="92">
        <v>0</v>
      </c>
      <c r="S480" s="92">
        <v>0</v>
      </c>
      <c r="T480" s="92">
        <v>0</v>
      </c>
      <c r="U480" s="92">
        <v>0</v>
      </c>
      <c r="V480" s="92">
        <v>0</v>
      </c>
      <c r="W480" s="92">
        <v>0</v>
      </c>
      <c r="X480" s="92">
        <v>0</v>
      </c>
      <c r="Y480" s="92">
        <v>0</v>
      </c>
      <c r="Z480" s="92">
        <v>0</v>
      </c>
      <c r="AA480" s="92">
        <v>0</v>
      </c>
      <c r="AB480" s="92">
        <v>15157</v>
      </c>
      <c r="AC480" s="92">
        <v>16401</v>
      </c>
      <c r="AD480" s="92">
        <v>17515</v>
      </c>
      <c r="AE480" s="92">
        <v>0</v>
      </c>
      <c r="AF480" s="92">
        <v>0</v>
      </c>
      <c r="AG480" s="92">
        <v>0</v>
      </c>
    </row>
    <row r="481" spans="1:35" x14ac:dyDescent="0.25">
      <c r="A481" t="str">
        <f t="shared" si="11"/>
        <v>21-11-87</v>
      </c>
      <c r="B481">
        <v>21</v>
      </c>
      <c r="C481" s="92" t="s">
        <v>1034</v>
      </c>
      <c r="D481" s="92">
        <v>11</v>
      </c>
      <c r="E481" s="92" t="s">
        <v>1062</v>
      </c>
      <c r="F481" s="92">
        <v>87</v>
      </c>
      <c r="G481" s="92" t="s">
        <v>834</v>
      </c>
      <c r="H481" s="92">
        <v>1</v>
      </c>
      <c r="I481" s="92">
        <v>0</v>
      </c>
      <c r="J481" s="92">
        <v>165382710</v>
      </c>
      <c r="K481" s="92"/>
      <c r="L481" s="92">
        <v>0</v>
      </c>
      <c r="M481" s="92">
        <v>0</v>
      </c>
      <c r="N481" s="92">
        <v>0</v>
      </c>
      <c r="O481" s="92">
        <v>0</v>
      </c>
      <c r="P481" s="92">
        <v>0</v>
      </c>
      <c r="Q481" s="92">
        <v>0</v>
      </c>
      <c r="R481" s="92">
        <v>0</v>
      </c>
      <c r="S481" s="92">
        <v>0</v>
      </c>
      <c r="T481" s="92">
        <v>0</v>
      </c>
      <c r="U481" s="92">
        <v>0</v>
      </c>
      <c r="V481" s="92">
        <v>0</v>
      </c>
      <c r="W481" s="92">
        <v>0</v>
      </c>
      <c r="X481" s="92">
        <v>0</v>
      </c>
      <c r="Y481" s="92">
        <v>0</v>
      </c>
      <c r="Z481" s="92">
        <v>0</v>
      </c>
      <c r="AA481" s="92">
        <v>0</v>
      </c>
      <c r="AB481" s="92">
        <v>802027</v>
      </c>
      <c r="AC481" s="92">
        <v>761999</v>
      </c>
      <c r="AD481" s="92">
        <v>910277</v>
      </c>
      <c r="AE481" s="92">
        <v>0</v>
      </c>
      <c r="AF481" s="92">
        <v>0</v>
      </c>
      <c r="AG481" s="92">
        <v>0</v>
      </c>
    </row>
    <row r="482" spans="1:35" x14ac:dyDescent="0.25">
      <c r="A482" t="str">
        <f t="shared" si="11"/>
        <v>21-9-171</v>
      </c>
      <c r="B482">
        <v>21</v>
      </c>
      <c r="C482" s="92" t="s">
        <v>1034</v>
      </c>
      <c r="D482" s="92">
        <v>9</v>
      </c>
      <c r="E482" s="92" t="s">
        <v>588</v>
      </c>
      <c r="F482" s="92">
        <v>171</v>
      </c>
      <c r="G482" s="92" t="s">
        <v>833</v>
      </c>
      <c r="H482" s="92"/>
      <c r="I482" s="92">
        <v>178702</v>
      </c>
      <c r="J482" s="92">
        <v>1589000</v>
      </c>
      <c r="K482" s="92" t="s">
        <v>1061</v>
      </c>
      <c r="L482" s="92">
        <v>0</v>
      </c>
      <c r="M482" s="92">
        <v>7867</v>
      </c>
      <c r="N482" s="92">
        <v>2317</v>
      </c>
      <c r="O482" s="92">
        <v>2317</v>
      </c>
      <c r="P482" s="92">
        <v>0</v>
      </c>
      <c r="Q482" s="92">
        <v>0</v>
      </c>
      <c r="R482" s="92">
        <v>0</v>
      </c>
      <c r="S482" s="92">
        <v>0</v>
      </c>
      <c r="T482" s="92">
        <v>0</v>
      </c>
      <c r="U482" s="92">
        <v>0</v>
      </c>
      <c r="V482" s="92">
        <v>0</v>
      </c>
      <c r="W482" s="92">
        <v>0</v>
      </c>
      <c r="X482" s="92">
        <v>0</v>
      </c>
      <c r="Y482" s="92">
        <v>0</v>
      </c>
      <c r="Z482" s="92">
        <v>0</v>
      </c>
      <c r="AA482" s="92">
        <v>0</v>
      </c>
      <c r="AB482" s="92">
        <v>839036</v>
      </c>
      <c r="AC482" s="92">
        <v>889024</v>
      </c>
      <c r="AD482" s="92">
        <v>938017</v>
      </c>
      <c r="AE482" s="92">
        <v>0</v>
      </c>
      <c r="AF482" s="92">
        <v>0</v>
      </c>
      <c r="AG482" s="92">
        <v>0</v>
      </c>
      <c r="AI482" s="250">
        <v>5.8470699999999996E-4</v>
      </c>
    </row>
    <row r="483" spans="1:35" x14ac:dyDescent="0.25">
      <c r="A483" t="str">
        <f t="shared" si="11"/>
        <v>21-14-16</v>
      </c>
      <c r="B483">
        <v>21</v>
      </c>
      <c r="C483" s="92" t="s">
        <v>1034</v>
      </c>
      <c r="D483" s="92">
        <v>14</v>
      </c>
      <c r="E483" s="92" t="s">
        <v>571</v>
      </c>
      <c r="F483" s="92">
        <v>16</v>
      </c>
      <c r="G483" s="92" t="s">
        <v>835</v>
      </c>
      <c r="H483" s="92"/>
      <c r="I483" s="92">
        <v>0</v>
      </c>
      <c r="J483" s="92">
        <v>165928439</v>
      </c>
      <c r="K483" s="92" t="s">
        <v>1061</v>
      </c>
      <c r="L483" s="92">
        <v>10185</v>
      </c>
      <c r="M483" s="92">
        <v>3414</v>
      </c>
      <c r="N483" s="92">
        <v>1307</v>
      </c>
      <c r="O483" s="92">
        <v>1307</v>
      </c>
      <c r="P483" s="92">
        <v>0</v>
      </c>
      <c r="Q483" s="92">
        <v>0</v>
      </c>
      <c r="R483" s="92">
        <v>0</v>
      </c>
      <c r="S483" s="92">
        <v>0</v>
      </c>
      <c r="T483" s="92">
        <v>0</v>
      </c>
      <c r="U483" s="92">
        <v>0</v>
      </c>
      <c r="V483" s="92">
        <v>0</v>
      </c>
      <c r="W483" s="92">
        <v>0</v>
      </c>
      <c r="X483" s="92">
        <v>0</v>
      </c>
      <c r="Y483" s="92">
        <v>0</v>
      </c>
      <c r="Z483" s="92">
        <v>0</v>
      </c>
      <c r="AA483" s="92">
        <v>0</v>
      </c>
      <c r="AB483" s="92">
        <v>372176</v>
      </c>
      <c r="AC483" s="92">
        <v>394012</v>
      </c>
      <c r="AD483" s="92">
        <v>415456</v>
      </c>
      <c r="AE483" s="92">
        <v>0</v>
      </c>
      <c r="AF483" s="92">
        <v>0</v>
      </c>
      <c r="AG483" s="92">
        <v>0</v>
      </c>
      <c r="AI483" s="250">
        <v>2.3490800000000001E-4</v>
      </c>
    </row>
    <row r="484" spans="1:35" x14ac:dyDescent="0.25">
      <c r="A484" t="str">
        <f t="shared" si="11"/>
        <v>21-2-21</v>
      </c>
      <c r="B484">
        <v>21</v>
      </c>
      <c r="C484" s="92" t="s">
        <v>1034</v>
      </c>
      <c r="D484" s="92">
        <v>2</v>
      </c>
      <c r="E484" s="92" t="s">
        <v>53</v>
      </c>
      <c r="F484" s="92">
        <v>21</v>
      </c>
      <c r="G484" s="92" t="s">
        <v>313</v>
      </c>
      <c r="H484" s="92"/>
      <c r="I484" s="92">
        <v>0</v>
      </c>
      <c r="J484" s="92">
        <v>165928439</v>
      </c>
      <c r="K484" s="92"/>
      <c r="L484" s="92">
        <v>85471</v>
      </c>
      <c r="M484" s="92">
        <v>46215</v>
      </c>
      <c r="N484" s="92">
        <v>19071</v>
      </c>
      <c r="O484" s="92">
        <v>18317</v>
      </c>
      <c r="P484" s="92">
        <v>0</v>
      </c>
      <c r="Q484" s="92">
        <v>0</v>
      </c>
      <c r="R484" s="92">
        <v>0</v>
      </c>
      <c r="S484" s="92">
        <v>0</v>
      </c>
      <c r="T484" s="92">
        <v>0</v>
      </c>
      <c r="U484" s="92">
        <v>0</v>
      </c>
      <c r="V484" s="92">
        <v>0</v>
      </c>
      <c r="W484" s="92">
        <v>0</v>
      </c>
      <c r="X484" s="92">
        <v>0</v>
      </c>
      <c r="Y484" s="92">
        <v>0</v>
      </c>
      <c r="Z484" s="92">
        <v>0</v>
      </c>
      <c r="AA484" s="92">
        <v>0</v>
      </c>
      <c r="AB484" s="92">
        <v>4469527</v>
      </c>
      <c r="AC484" s="92">
        <v>4815463</v>
      </c>
      <c r="AD484" s="92">
        <v>4968336</v>
      </c>
      <c r="AE484" s="92">
        <v>0</v>
      </c>
      <c r="AF484" s="92">
        <v>0</v>
      </c>
      <c r="AG484" s="92">
        <v>0</v>
      </c>
      <c r="AH484" s="92" t="s">
        <v>1121</v>
      </c>
    </row>
    <row r="485" spans="1:35" x14ac:dyDescent="0.25">
      <c r="A485" t="str">
        <f t="shared" si="11"/>
        <v>18-7-44</v>
      </c>
      <c r="B485">
        <v>18</v>
      </c>
      <c r="C485" s="92" t="s">
        <v>1031</v>
      </c>
      <c r="D485" s="92">
        <v>7</v>
      </c>
      <c r="E485" s="92" t="s">
        <v>586</v>
      </c>
      <c r="F485" s="92">
        <v>44</v>
      </c>
      <c r="G485" s="92" t="s">
        <v>290</v>
      </c>
      <c r="H485" s="92"/>
      <c r="I485" s="92">
        <v>679</v>
      </c>
      <c r="J485" s="92">
        <v>1270232</v>
      </c>
      <c r="K485" s="92" t="s">
        <v>1061</v>
      </c>
      <c r="L485" s="92">
        <v>81</v>
      </c>
      <c r="M485" s="92">
        <v>31</v>
      </c>
      <c r="N485" s="92">
        <v>0</v>
      </c>
      <c r="O485" s="92">
        <v>0</v>
      </c>
      <c r="P485" s="92">
        <v>0</v>
      </c>
      <c r="Q485" s="92">
        <v>0</v>
      </c>
      <c r="R485" s="92">
        <v>0</v>
      </c>
      <c r="S485" s="92">
        <v>0</v>
      </c>
      <c r="T485" s="92">
        <v>0</v>
      </c>
      <c r="U485" s="92">
        <v>0</v>
      </c>
      <c r="V485" s="92">
        <v>0</v>
      </c>
      <c r="W485" s="92">
        <v>0</v>
      </c>
      <c r="X485" s="92">
        <v>0</v>
      </c>
      <c r="Y485" s="92">
        <v>0</v>
      </c>
      <c r="Z485" s="92">
        <v>0</v>
      </c>
      <c r="AA485" s="92">
        <v>0</v>
      </c>
      <c r="AB485" s="92">
        <v>1929</v>
      </c>
      <c r="AC485" s="92">
        <v>2035</v>
      </c>
      <c r="AD485" s="92">
        <v>2120</v>
      </c>
      <c r="AE485" s="92">
        <v>0</v>
      </c>
      <c r="AF485" s="92">
        <v>0</v>
      </c>
      <c r="AG485" s="92">
        <v>0</v>
      </c>
    </row>
    <row r="486" spans="1:35" x14ac:dyDescent="0.25">
      <c r="A486" t="str">
        <f t="shared" si="11"/>
        <v>18-6-3</v>
      </c>
      <c r="B486">
        <v>18</v>
      </c>
      <c r="C486" s="92" t="s">
        <v>1031</v>
      </c>
      <c r="D486" s="92">
        <v>6</v>
      </c>
      <c r="E486" s="92" t="s">
        <v>592</v>
      </c>
      <c r="F486" s="92">
        <v>3</v>
      </c>
      <c r="G486" s="92" t="s">
        <v>289</v>
      </c>
      <c r="H486" s="92"/>
      <c r="I486" s="92">
        <v>800</v>
      </c>
      <c r="J486" s="92">
        <v>714404</v>
      </c>
      <c r="K486" s="92" t="s">
        <v>1061</v>
      </c>
      <c r="L486" s="92">
        <v>243</v>
      </c>
      <c r="M486" s="92">
        <v>102</v>
      </c>
      <c r="N486" s="92">
        <v>0</v>
      </c>
      <c r="O486" s="92">
        <v>0</v>
      </c>
      <c r="P486" s="92">
        <v>0</v>
      </c>
      <c r="Q486" s="92">
        <v>0</v>
      </c>
      <c r="R486" s="92">
        <v>0</v>
      </c>
      <c r="S486" s="92">
        <v>0</v>
      </c>
      <c r="T486" s="92">
        <v>0</v>
      </c>
      <c r="U486" s="92">
        <v>0</v>
      </c>
      <c r="V486" s="92">
        <v>0</v>
      </c>
      <c r="W486" s="92">
        <v>0</v>
      </c>
      <c r="X486" s="92">
        <v>0</v>
      </c>
      <c r="Y486" s="92">
        <v>0</v>
      </c>
      <c r="Z486" s="92">
        <v>0</v>
      </c>
      <c r="AA486" s="92">
        <v>0</v>
      </c>
      <c r="AB486" s="92">
        <v>5129</v>
      </c>
      <c r="AC486" s="92">
        <v>5377</v>
      </c>
      <c r="AD486" s="92">
        <v>5497</v>
      </c>
      <c r="AE486" s="92">
        <v>0</v>
      </c>
      <c r="AF486" s="92">
        <v>0</v>
      </c>
      <c r="AG486" s="92">
        <v>0</v>
      </c>
    </row>
    <row r="487" spans="1:35" x14ac:dyDescent="0.25">
      <c r="A487" t="str">
        <f t="shared" si="11"/>
        <v>10-7-45</v>
      </c>
      <c r="B487">
        <v>10</v>
      </c>
      <c r="C487" s="92" t="s">
        <v>1023</v>
      </c>
      <c r="D487" s="92">
        <v>7</v>
      </c>
      <c r="E487" s="92" t="s">
        <v>586</v>
      </c>
      <c r="F487" s="92">
        <v>45</v>
      </c>
      <c r="G487" s="92" t="s">
        <v>202</v>
      </c>
      <c r="H487" s="92"/>
      <c r="I487" s="92">
        <v>81</v>
      </c>
      <c r="J487" s="92">
        <v>344124</v>
      </c>
      <c r="K487" s="92">
        <v>1</v>
      </c>
      <c r="L487" s="92">
        <v>95</v>
      </c>
      <c r="M487" s="92">
        <v>10</v>
      </c>
      <c r="N487" s="92">
        <v>1</v>
      </c>
      <c r="O487" s="92">
        <v>1</v>
      </c>
      <c r="P487" s="92">
        <v>0</v>
      </c>
      <c r="Q487" s="92">
        <v>0</v>
      </c>
      <c r="R487" s="92">
        <v>0</v>
      </c>
      <c r="S487" s="92">
        <v>0</v>
      </c>
      <c r="T487" s="92">
        <v>0</v>
      </c>
      <c r="U487" s="92">
        <v>0</v>
      </c>
      <c r="V487" s="92">
        <v>0</v>
      </c>
      <c r="W487" s="92">
        <v>0</v>
      </c>
      <c r="X487" s="92">
        <v>0</v>
      </c>
      <c r="Y487" s="92">
        <v>0</v>
      </c>
      <c r="Z487" s="92">
        <v>0</v>
      </c>
      <c r="AA487" s="92">
        <v>0</v>
      </c>
      <c r="AB487" s="92">
        <v>3862</v>
      </c>
      <c r="AC487" s="92">
        <v>4021</v>
      </c>
      <c r="AD487" s="92">
        <v>4351</v>
      </c>
      <c r="AE487" s="92">
        <v>0</v>
      </c>
      <c r="AF487" s="92">
        <v>0</v>
      </c>
      <c r="AG487" s="92">
        <v>0</v>
      </c>
    </row>
    <row r="488" spans="1:35" x14ac:dyDescent="0.25">
      <c r="A488" t="str">
        <f t="shared" si="11"/>
        <v>15-7-45</v>
      </c>
      <c r="B488">
        <v>15</v>
      </c>
      <c r="C488" s="92" t="s">
        <v>1028</v>
      </c>
      <c r="D488" s="92">
        <v>7</v>
      </c>
      <c r="E488" s="92" t="s">
        <v>586</v>
      </c>
      <c r="F488" s="92">
        <v>45</v>
      </c>
      <c r="G488" s="92" t="s">
        <v>202</v>
      </c>
      <c r="H488" s="92"/>
      <c r="I488" s="92">
        <v>81</v>
      </c>
      <c r="J488" s="92">
        <v>454516</v>
      </c>
      <c r="K488" s="92">
        <v>1</v>
      </c>
      <c r="L488" s="92">
        <v>95</v>
      </c>
      <c r="M488" s="92">
        <v>10</v>
      </c>
      <c r="N488" s="92">
        <v>1</v>
      </c>
      <c r="O488" s="92">
        <v>1</v>
      </c>
      <c r="P488" s="92">
        <v>0</v>
      </c>
      <c r="Q488" s="92">
        <v>0</v>
      </c>
      <c r="R488" s="92">
        <v>0</v>
      </c>
      <c r="S488" s="92">
        <v>0</v>
      </c>
      <c r="T488" s="92">
        <v>0</v>
      </c>
      <c r="U488" s="92">
        <v>0</v>
      </c>
      <c r="V488" s="92">
        <v>0</v>
      </c>
      <c r="W488" s="92">
        <v>0</v>
      </c>
      <c r="X488" s="92">
        <v>0</v>
      </c>
      <c r="Y488" s="92">
        <v>0</v>
      </c>
      <c r="Z488" s="92">
        <v>0</v>
      </c>
      <c r="AA488" s="92">
        <v>0</v>
      </c>
      <c r="AB488" s="92">
        <v>3862</v>
      </c>
      <c r="AC488" s="92">
        <v>4021</v>
      </c>
      <c r="AD488" s="92">
        <v>4351</v>
      </c>
      <c r="AE488" s="92">
        <v>0</v>
      </c>
      <c r="AF488" s="92">
        <v>0</v>
      </c>
      <c r="AG488" s="92">
        <v>0</v>
      </c>
    </row>
    <row r="489" spans="1:35" x14ac:dyDescent="0.25">
      <c r="A489" t="str">
        <f t="shared" si="11"/>
        <v>15-9-134</v>
      </c>
      <c r="B489">
        <v>15</v>
      </c>
      <c r="C489" s="92" t="s">
        <v>1028</v>
      </c>
      <c r="D489" s="92">
        <v>9</v>
      </c>
      <c r="E489" s="92" t="s">
        <v>588</v>
      </c>
      <c r="F489" s="92">
        <v>134</v>
      </c>
      <c r="G489" s="92" t="s">
        <v>764</v>
      </c>
      <c r="H489" s="92"/>
      <c r="I489" s="92">
        <v>0</v>
      </c>
      <c r="J489" s="92">
        <v>0</v>
      </c>
      <c r="K489" s="92" t="s">
        <v>1061</v>
      </c>
      <c r="L489" s="92">
        <v>137</v>
      </c>
      <c r="M489" s="92">
        <v>24</v>
      </c>
      <c r="N489" s="92">
        <v>0</v>
      </c>
      <c r="O489" s="92">
        <v>0</v>
      </c>
      <c r="P489" s="92">
        <v>0</v>
      </c>
      <c r="Q489" s="92">
        <v>0</v>
      </c>
      <c r="R489" s="92">
        <v>0</v>
      </c>
      <c r="S489" s="92">
        <v>0</v>
      </c>
      <c r="T489" s="92">
        <v>0</v>
      </c>
      <c r="U489" s="92">
        <v>0</v>
      </c>
      <c r="V489" s="92">
        <v>0</v>
      </c>
      <c r="W489" s="92">
        <v>0</v>
      </c>
      <c r="X489" s="92">
        <v>0</v>
      </c>
      <c r="Y489" s="92">
        <v>0</v>
      </c>
      <c r="Z489" s="92">
        <v>0</v>
      </c>
      <c r="AA489" s="92">
        <v>0</v>
      </c>
      <c r="AB489" s="92">
        <v>5552</v>
      </c>
      <c r="AC489" s="92">
        <v>6025</v>
      </c>
      <c r="AD489" s="92">
        <v>6025</v>
      </c>
      <c r="AE489" s="92">
        <v>0</v>
      </c>
      <c r="AF489" s="92">
        <v>0</v>
      </c>
      <c r="AG489" s="92">
        <v>0</v>
      </c>
      <c r="AI489" s="250">
        <v>1.41698E-4</v>
      </c>
    </row>
    <row r="490" spans="1:35" x14ac:dyDescent="0.25">
      <c r="A490" t="str">
        <f t="shared" si="11"/>
        <v>29-7-47</v>
      </c>
      <c r="B490">
        <v>29</v>
      </c>
      <c r="C490" s="92" t="s">
        <v>1042</v>
      </c>
      <c r="D490" s="92">
        <v>7</v>
      </c>
      <c r="E490" s="92" t="s">
        <v>586</v>
      </c>
      <c r="F490" s="92">
        <v>47</v>
      </c>
      <c r="G490" s="92" t="s">
        <v>442</v>
      </c>
      <c r="H490" s="92"/>
      <c r="I490" s="92">
        <v>319</v>
      </c>
      <c r="J490" s="92">
        <v>3335889</v>
      </c>
      <c r="K490" s="92" t="s">
        <v>1061</v>
      </c>
      <c r="L490" s="92">
        <v>83</v>
      </c>
      <c r="M490" s="92">
        <v>6</v>
      </c>
      <c r="N490" s="92">
        <v>9</v>
      </c>
      <c r="O490" s="92">
        <v>9</v>
      </c>
      <c r="P490" s="92">
        <v>0</v>
      </c>
      <c r="Q490" s="92">
        <v>0</v>
      </c>
      <c r="R490" s="92">
        <v>0</v>
      </c>
      <c r="S490" s="92">
        <v>0</v>
      </c>
      <c r="T490" s="92">
        <v>13</v>
      </c>
      <c r="U490" s="92">
        <v>0</v>
      </c>
      <c r="V490" s="92">
        <v>0</v>
      </c>
      <c r="W490" s="92">
        <v>0</v>
      </c>
      <c r="X490" s="92">
        <v>0</v>
      </c>
      <c r="Y490" s="92">
        <v>0</v>
      </c>
      <c r="Z490" s="92">
        <v>0</v>
      </c>
      <c r="AA490" s="92">
        <v>0</v>
      </c>
      <c r="AB490" s="92">
        <v>11809</v>
      </c>
      <c r="AC490" s="92">
        <v>11809</v>
      </c>
      <c r="AD490" s="92">
        <v>11809</v>
      </c>
      <c r="AE490" s="92">
        <v>0</v>
      </c>
      <c r="AF490" s="92">
        <v>0</v>
      </c>
      <c r="AG490" s="92">
        <v>0</v>
      </c>
    </row>
    <row r="491" spans="1:35" x14ac:dyDescent="0.25">
      <c r="A491" t="str">
        <f t="shared" si="11"/>
        <v>22-2-22</v>
      </c>
      <c r="B491">
        <v>22</v>
      </c>
      <c r="C491" s="92" t="s">
        <v>1035</v>
      </c>
      <c r="D491" s="92">
        <v>2</v>
      </c>
      <c r="E491" s="92" t="s">
        <v>53</v>
      </c>
      <c r="F491" s="92">
        <v>22</v>
      </c>
      <c r="G491" s="92" t="s">
        <v>330</v>
      </c>
      <c r="H491" s="92"/>
      <c r="I491" s="92">
        <v>2</v>
      </c>
      <c r="J491" s="92">
        <v>64560412</v>
      </c>
      <c r="K491" s="92" t="s">
        <v>1061</v>
      </c>
      <c r="L491" s="92">
        <v>114306</v>
      </c>
      <c r="M491" s="92">
        <v>44920</v>
      </c>
      <c r="N491" s="92">
        <v>8441</v>
      </c>
      <c r="O491" s="92">
        <v>8259</v>
      </c>
      <c r="P491" s="92">
        <v>0</v>
      </c>
      <c r="Q491" s="92">
        <v>0</v>
      </c>
      <c r="R491" s="92">
        <v>0</v>
      </c>
      <c r="S491" s="92">
        <v>0</v>
      </c>
      <c r="T491" s="92">
        <v>0</v>
      </c>
      <c r="U491" s="92">
        <v>0</v>
      </c>
      <c r="V491" s="92">
        <v>0</v>
      </c>
      <c r="W491" s="92">
        <v>0</v>
      </c>
      <c r="X491" s="92">
        <v>0</v>
      </c>
      <c r="Y491" s="92">
        <v>0</v>
      </c>
      <c r="Z491" s="92">
        <v>0</v>
      </c>
      <c r="AA491" s="92">
        <v>0</v>
      </c>
      <c r="AB491" s="92">
        <f>9158380+1802093</f>
        <v>10960473</v>
      </c>
      <c r="AC491" s="92">
        <f>9090046+2492563</f>
        <v>11582609</v>
      </c>
      <c r="AD491" s="92">
        <f>8563944+3646510</f>
        <v>12210454</v>
      </c>
      <c r="AE491" s="92">
        <v>0</v>
      </c>
      <c r="AF491" s="92">
        <v>0</v>
      </c>
      <c r="AG491" s="92">
        <v>0</v>
      </c>
    </row>
    <row r="492" spans="1:35" x14ac:dyDescent="0.25">
      <c r="A492" t="str">
        <f t="shared" si="11"/>
        <v>22-5-17</v>
      </c>
      <c r="B492">
        <v>22</v>
      </c>
      <c r="C492" s="92" t="s">
        <v>1035</v>
      </c>
      <c r="D492" s="92">
        <v>5</v>
      </c>
      <c r="E492" s="92" t="s">
        <v>200</v>
      </c>
      <c r="F492" s="92">
        <v>17</v>
      </c>
      <c r="G492" s="92" t="s">
        <v>1234</v>
      </c>
      <c r="H492" s="92"/>
      <c r="I492" s="92">
        <v>1</v>
      </c>
      <c r="J492" s="92">
        <v>64560412</v>
      </c>
      <c r="K492" s="92" t="s">
        <v>1061</v>
      </c>
      <c r="L492" s="92">
        <v>9544</v>
      </c>
      <c r="M492" s="92">
        <v>1927</v>
      </c>
      <c r="N492" s="92">
        <v>546</v>
      </c>
      <c r="O492" s="92">
        <v>546</v>
      </c>
      <c r="P492" s="92">
        <v>0</v>
      </c>
      <c r="Q492" s="92">
        <v>0</v>
      </c>
      <c r="R492" s="92">
        <v>0</v>
      </c>
      <c r="S492" s="92">
        <v>0</v>
      </c>
      <c r="T492" s="92">
        <v>0</v>
      </c>
      <c r="U492" s="92">
        <v>0</v>
      </c>
      <c r="V492" s="92">
        <v>0</v>
      </c>
      <c r="W492" s="92">
        <v>0</v>
      </c>
      <c r="X492" s="92">
        <v>0</v>
      </c>
      <c r="Y492" s="92">
        <v>0</v>
      </c>
      <c r="Z492" s="92">
        <v>0</v>
      </c>
      <c r="AA492" s="92">
        <v>0</v>
      </c>
      <c r="AB492" s="92">
        <v>449568</v>
      </c>
      <c r="AC492" s="92">
        <v>475374</v>
      </c>
      <c r="AD492" s="92">
        <v>501409</v>
      </c>
      <c r="AE492" s="92">
        <v>0</v>
      </c>
      <c r="AF492" s="92">
        <v>0</v>
      </c>
      <c r="AG492" s="92">
        <v>0</v>
      </c>
      <c r="AI492">
        <v>1.09042E-4</v>
      </c>
    </row>
    <row r="493" spans="1:35" x14ac:dyDescent="0.25">
      <c r="A493" t="str">
        <f t="shared" si="11"/>
        <v>22-14-15</v>
      </c>
      <c r="B493">
        <v>22</v>
      </c>
      <c r="C493" s="92" t="s">
        <v>1035</v>
      </c>
      <c r="D493" s="92">
        <v>14</v>
      </c>
      <c r="E493" s="92" t="s">
        <v>571</v>
      </c>
      <c r="F493" s="92">
        <v>15</v>
      </c>
      <c r="G493" s="92" t="s">
        <v>1235</v>
      </c>
      <c r="H493" s="92"/>
      <c r="I493" s="92">
        <v>5474</v>
      </c>
      <c r="J493" s="92">
        <v>60223536</v>
      </c>
      <c r="K493" s="92" t="s">
        <v>1061</v>
      </c>
      <c r="L493" s="92">
        <v>2304</v>
      </c>
      <c r="M493" s="92">
        <v>3170</v>
      </c>
      <c r="N493" s="92">
        <v>390</v>
      </c>
      <c r="O493" s="92">
        <v>390</v>
      </c>
      <c r="P493" s="92">
        <v>0</v>
      </c>
      <c r="Q493" s="92">
        <v>0</v>
      </c>
      <c r="R493" s="92">
        <v>0</v>
      </c>
      <c r="S493" s="92">
        <v>0</v>
      </c>
      <c r="T493" s="92">
        <v>0</v>
      </c>
      <c r="U493" s="92">
        <v>0</v>
      </c>
      <c r="V493" s="92">
        <v>0</v>
      </c>
      <c r="W493" s="92">
        <v>0</v>
      </c>
      <c r="X493" s="92">
        <v>0</v>
      </c>
      <c r="Y493" s="92">
        <v>0</v>
      </c>
      <c r="Z493" s="92">
        <v>0</v>
      </c>
      <c r="AA493" s="92">
        <v>0</v>
      </c>
      <c r="AB493" s="92">
        <v>569424</v>
      </c>
      <c r="AC493" s="92">
        <v>601814</v>
      </c>
      <c r="AD493" s="92">
        <v>634695</v>
      </c>
      <c r="AE493" s="92">
        <v>0</v>
      </c>
      <c r="AF493" s="92">
        <v>0</v>
      </c>
      <c r="AG493" s="92">
        <v>0</v>
      </c>
      <c r="AI493" s="250">
        <v>1.4262300000000001E-4</v>
      </c>
    </row>
    <row r="494" spans="1:35" x14ac:dyDescent="0.25">
      <c r="A494" t="str">
        <f t="shared" si="11"/>
        <v>22-11-88</v>
      </c>
      <c r="B494">
        <v>22</v>
      </c>
      <c r="C494" s="92" t="s">
        <v>1035</v>
      </c>
      <c r="D494" s="92">
        <v>11</v>
      </c>
      <c r="E494" s="92" t="s">
        <v>1062</v>
      </c>
      <c r="F494" s="92">
        <v>88</v>
      </c>
      <c r="G494" s="92" t="s">
        <v>1233</v>
      </c>
      <c r="H494" s="92">
        <v>1</v>
      </c>
      <c r="I494" s="92">
        <v>0</v>
      </c>
      <c r="J494" s="92">
        <v>64560412</v>
      </c>
      <c r="K494" s="92" t="s">
        <v>1061</v>
      </c>
      <c r="L494" s="92">
        <v>0</v>
      </c>
      <c r="M494" s="92">
        <v>0</v>
      </c>
      <c r="N494" s="92">
        <v>0</v>
      </c>
      <c r="O494" s="92">
        <v>0</v>
      </c>
      <c r="P494" s="92">
        <v>0</v>
      </c>
      <c r="Q494" s="92">
        <v>0</v>
      </c>
      <c r="R494" s="92">
        <v>0</v>
      </c>
      <c r="S494" s="92">
        <v>0</v>
      </c>
      <c r="T494" s="92">
        <v>0</v>
      </c>
      <c r="U494" s="92">
        <v>0</v>
      </c>
      <c r="V494" s="92">
        <v>0</v>
      </c>
      <c r="W494" s="92">
        <v>0</v>
      </c>
      <c r="X494" s="92">
        <v>0</v>
      </c>
      <c r="Y494" s="92">
        <v>0</v>
      </c>
      <c r="Z494" s="92">
        <v>0</v>
      </c>
      <c r="AA494" s="92">
        <v>0</v>
      </c>
      <c r="AB494" s="92">
        <v>1802093</v>
      </c>
      <c r="AC494" s="92">
        <v>2492563</v>
      </c>
      <c r="AD494" s="92">
        <v>3646510</v>
      </c>
      <c r="AE494" s="92">
        <v>0</v>
      </c>
      <c r="AF494" s="92">
        <v>0</v>
      </c>
      <c r="AG494" s="92">
        <v>0</v>
      </c>
    </row>
    <row r="495" spans="1:35" x14ac:dyDescent="0.25">
      <c r="A495" t="str">
        <f t="shared" si="11"/>
        <v>22-4-80</v>
      </c>
      <c r="B495">
        <v>22</v>
      </c>
      <c r="C495" s="92" t="s">
        <v>1035</v>
      </c>
      <c r="D495" s="92">
        <v>4</v>
      </c>
      <c r="E495" s="92" t="s">
        <v>66</v>
      </c>
      <c r="F495" s="92">
        <v>80</v>
      </c>
      <c r="G495" s="92" t="s">
        <v>837</v>
      </c>
      <c r="H495" s="92"/>
      <c r="I495" s="92">
        <v>0</v>
      </c>
      <c r="J495" s="92">
        <v>60223536</v>
      </c>
      <c r="K495" s="92">
        <v>1</v>
      </c>
      <c r="L495" s="92">
        <v>6276</v>
      </c>
      <c r="M495" s="92">
        <v>26502</v>
      </c>
      <c r="N495" s="92">
        <v>2819</v>
      </c>
      <c r="O495" s="92">
        <v>2819</v>
      </c>
      <c r="P495" s="92">
        <v>0</v>
      </c>
      <c r="Q495" s="92">
        <v>0</v>
      </c>
      <c r="R495" s="92">
        <v>0</v>
      </c>
      <c r="S495" s="92">
        <v>0</v>
      </c>
      <c r="T495" s="92">
        <v>0</v>
      </c>
      <c r="U495" s="92">
        <v>0</v>
      </c>
      <c r="V495" s="92">
        <v>0</v>
      </c>
      <c r="W495" s="92">
        <v>0</v>
      </c>
      <c r="X495" s="92">
        <v>0</v>
      </c>
      <c r="Y495" s="92">
        <v>0</v>
      </c>
      <c r="Z495" s="92">
        <v>0</v>
      </c>
      <c r="AA495" s="92">
        <v>0</v>
      </c>
      <c r="AB495" s="92">
        <v>69097</v>
      </c>
      <c r="AC495" s="92">
        <v>72985</v>
      </c>
      <c r="AD495" s="92">
        <v>76931</v>
      </c>
      <c r="AE495" s="92">
        <v>0</v>
      </c>
      <c r="AF495" s="92">
        <v>0</v>
      </c>
      <c r="AG495" s="92">
        <v>0</v>
      </c>
    </row>
    <row r="496" spans="1:35" x14ac:dyDescent="0.25">
      <c r="A496" t="str">
        <f t="shared" si="11"/>
        <v>33-4-80</v>
      </c>
      <c r="B496">
        <v>33</v>
      </c>
      <c r="C496" s="92" t="s">
        <v>1046</v>
      </c>
      <c r="D496" s="92">
        <v>4</v>
      </c>
      <c r="E496" s="92" t="s">
        <v>66</v>
      </c>
      <c r="F496" s="92">
        <v>80</v>
      </c>
      <c r="G496" s="92" t="s">
        <v>837</v>
      </c>
      <c r="H496" s="92"/>
      <c r="I496" s="92">
        <v>0</v>
      </c>
      <c r="J496" s="92">
        <v>1197988</v>
      </c>
      <c r="K496" s="92">
        <v>1</v>
      </c>
      <c r="L496" s="92">
        <v>6276</v>
      </c>
      <c r="M496" s="92">
        <v>26502</v>
      </c>
      <c r="N496" s="92">
        <v>2819</v>
      </c>
      <c r="O496" s="92">
        <v>2819</v>
      </c>
      <c r="P496" s="92">
        <v>0</v>
      </c>
      <c r="Q496" s="92">
        <v>0</v>
      </c>
      <c r="R496" s="92">
        <v>0</v>
      </c>
      <c r="S496" s="92">
        <v>0</v>
      </c>
      <c r="T496" s="92">
        <v>0</v>
      </c>
      <c r="U496" s="92">
        <v>0</v>
      </c>
      <c r="V496" s="92">
        <v>0</v>
      </c>
      <c r="W496" s="92">
        <v>0</v>
      </c>
      <c r="X496" s="92">
        <v>0</v>
      </c>
      <c r="Y496" s="92">
        <v>0</v>
      </c>
      <c r="Z496" s="92">
        <v>0</v>
      </c>
      <c r="AA496" s="92">
        <v>0</v>
      </c>
      <c r="AB496" s="92">
        <v>69097</v>
      </c>
      <c r="AC496" s="92">
        <v>72985</v>
      </c>
      <c r="AD496" s="92">
        <v>76931</v>
      </c>
      <c r="AE496" s="92">
        <v>0</v>
      </c>
      <c r="AF496" s="92">
        <v>0</v>
      </c>
      <c r="AG496" s="92">
        <v>0</v>
      </c>
    </row>
    <row r="497" spans="1:35" x14ac:dyDescent="0.25">
      <c r="A497" t="str">
        <f t="shared" si="11"/>
        <v>38-4-154</v>
      </c>
      <c r="B497">
        <v>38</v>
      </c>
      <c r="C497" s="92" t="s">
        <v>1050</v>
      </c>
      <c r="D497" s="92">
        <v>4</v>
      </c>
      <c r="E497" s="92" t="s">
        <v>66</v>
      </c>
      <c r="F497" s="92">
        <v>154</v>
      </c>
      <c r="G497" s="92" t="s">
        <v>963</v>
      </c>
      <c r="H497" s="92"/>
      <c r="I497" s="92">
        <v>0</v>
      </c>
      <c r="J497" s="92">
        <v>40628446</v>
      </c>
      <c r="K497" s="92" t="s">
        <v>1061</v>
      </c>
      <c r="L497" s="92">
        <v>18430</v>
      </c>
      <c r="M497" s="92">
        <v>21343</v>
      </c>
      <c r="N497" s="92">
        <v>2364</v>
      </c>
      <c r="O497" s="92">
        <v>2364</v>
      </c>
      <c r="P497" s="92">
        <v>0</v>
      </c>
      <c r="Q497" s="92">
        <v>0</v>
      </c>
      <c r="R497" s="92">
        <v>0</v>
      </c>
      <c r="S497" s="92">
        <v>0</v>
      </c>
      <c r="T497" s="92">
        <v>0</v>
      </c>
      <c r="U497" s="92">
        <v>0</v>
      </c>
      <c r="V497" s="92">
        <v>0</v>
      </c>
      <c r="W497" s="92">
        <v>0</v>
      </c>
      <c r="X497" s="92">
        <v>0</v>
      </c>
      <c r="Y497" s="92">
        <v>0</v>
      </c>
      <c r="Z497" s="92">
        <v>0</v>
      </c>
      <c r="AA497" s="92">
        <v>0</v>
      </c>
      <c r="AB497" s="92">
        <v>80359</v>
      </c>
      <c r="AC497" s="92">
        <v>84325</v>
      </c>
      <c r="AD497" s="92">
        <v>88230</v>
      </c>
      <c r="AE497" s="92">
        <v>0</v>
      </c>
      <c r="AF497" s="92">
        <v>0</v>
      </c>
      <c r="AG497" s="92">
        <v>0</v>
      </c>
    </row>
    <row r="498" spans="1:35" x14ac:dyDescent="0.25">
      <c r="A498" t="str">
        <f t="shared" si="11"/>
        <v>8-9-173</v>
      </c>
      <c r="B498">
        <v>8</v>
      </c>
      <c r="C498" s="92" t="s">
        <v>1021</v>
      </c>
      <c r="D498" s="92">
        <v>9</v>
      </c>
      <c r="E498" s="92" t="s">
        <v>588</v>
      </c>
      <c r="F498" s="92">
        <v>173</v>
      </c>
      <c r="G498" s="92" t="s">
        <v>704</v>
      </c>
      <c r="H498" s="92"/>
      <c r="I498" s="92">
        <v>2380</v>
      </c>
      <c r="J498" s="92">
        <v>0</v>
      </c>
      <c r="K498" s="92" t="s">
        <v>1061</v>
      </c>
      <c r="L498" s="92">
        <v>0</v>
      </c>
      <c r="M498" s="92">
        <v>2379</v>
      </c>
      <c r="N498" s="92">
        <v>139</v>
      </c>
      <c r="O498" s="92">
        <v>139</v>
      </c>
      <c r="P498" s="92">
        <v>0</v>
      </c>
      <c r="Q498" s="92">
        <v>0</v>
      </c>
      <c r="R498" s="92">
        <v>0</v>
      </c>
      <c r="S498" s="92">
        <v>0</v>
      </c>
      <c r="T498" s="92">
        <v>0</v>
      </c>
      <c r="U498" s="92">
        <v>0</v>
      </c>
      <c r="V498" s="92">
        <v>0</v>
      </c>
      <c r="W498" s="92">
        <v>0</v>
      </c>
      <c r="X498" s="92">
        <v>0</v>
      </c>
      <c r="Y498" s="92">
        <v>0</v>
      </c>
      <c r="Z498" s="92">
        <v>0</v>
      </c>
      <c r="AA498" s="92">
        <v>0</v>
      </c>
      <c r="AB498" s="92">
        <v>322644</v>
      </c>
      <c r="AC498" s="92">
        <v>340639</v>
      </c>
      <c r="AD498" s="92">
        <v>353452</v>
      </c>
      <c r="AE498" s="92">
        <v>0</v>
      </c>
      <c r="AF498" s="92">
        <v>0</v>
      </c>
      <c r="AG498" s="92">
        <v>0</v>
      </c>
      <c r="AI498" s="250">
        <v>2.9427199999999999E-4</v>
      </c>
    </row>
    <row r="499" spans="1:35" x14ac:dyDescent="0.25">
      <c r="A499" t="str">
        <f t="shared" si="11"/>
        <v>8-12-18</v>
      </c>
      <c r="B499">
        <v>8</v>
      </c>
      <c r="C499" s="92" t="s">
        <v>1021</v>
      </c>
      <c r="D499" s="92">
        <v>12</v>
      </c>
      <c r="E499" s="92" t="s">
        <v>71</v>
      </c>
      <c r="F499" s="92">
        <v>18</v>
      </c>
      <c r="G499" s="92" t="s">
        <v>172</v>
      </c>
      <c r="H499" s="92"/>
      <c r="I499" s="92">
        <v>8630</v>
      </c>
      <c r="J499" s="92">
        <v>9930907</v>
      </c>
      <c r="K499" s="92" t="s">
        <v>1061</v>
      </c>
      <c r="L499" s="92">
        <v>28</v>
      </c>
      <c r="M499" s="92">
        <v>1318</v>
      </c>
      <c r="N499" s="92">
        <v>64</v>
      </c>
      <c r="O499" s="92">
        <v>64</v>
      </c>
      <c r="P499" s="92">
        <v>0</v>
      </c>
      <c r="Q499" s="92">
        <v>0</v>
      </c>
      <c r="R499" s="92">
        <v>0</v>
      </c>
      <c r="S499" s="92">
        <v>0</v>
      </c>
      <c r="T499" s="92">
        <v>0</v>
      </c>
      <c r="U499" s="92">
        <v>0</v>
      </c>
      <c r="V499" s="92">
        <v>0</v>
      </c>
      <c r="W499" s="92">
        <v>0</v>
      </c>
      <c r="X499" s="92">
        <v>0</v>
      </c>
      <c r="Y499" s="92">
        <v>0</v>
      </c>
      <c r="Z499" s="92">
        <v>0</v>
      </c>
      <c r="AA499" s="92">
        <v>0</v>
      </c>
      <c r="AB499" s="92">
        <v>174046</v>
      </c>
      <c r="AC499" s="92">
        <v>183355</v>
      </c>
      <c r="AD499" s="92">
        <v>184246</v>
      </c>
      <c r="AE499" s="92">
        <v>0</v>
      </c>
      <c r="AF499" s="92">
        <v>0</v>
      </c>
      <c r="AG499" s="92">
        <v>0</v>
      </c>
    </row>
    <row r="500" spans="1:35" x14ac:dyDescent="0.25">
      <c r="A500" t="str">
        <f t="shared" si="11"/>
        <v>8-14-45</v>
      </c>
      <c r="B500">
        <v>8</v>
      </c>
      <c r="C500" s="92" t="s">
        <v>1021</v>
      </c>
      <c r="D500" s="92">
        <v>14</v>
      </c>
      <c r="E500" s="92" t="s">
        <v>571</v>
      </c>
      <c r="F500" s="92">
        <v>45</v>
      </c>
      <c r="G500" s="92" t="s">
        <v>175</v>
      </c>
      <c r="H500" s="92"/>
      <c r="I500" s="92">
        <v>0</v>
      </c>
      <c r="J500" s="92">
        <v>7433779</v>
      </c>
      <c r="K500" s="92" t="s">
        <v>1061</v>
      </c>
      <c r="L500" s="92">
        <v>29</v>
      </c>
      <c r="M500" s="92">
        <v>2234</v>
      </c>
      <c r="N500" s="92">
        <v>114</v>
      </c>
      <c r="O500" s="92">
        <v>114</v>
      </c>
      <c r="P500" s="92">
        <v>0</v>
      </c>
      <c r="Q500" s="92">
        <v>0</v>
      </c>
      <c r="R500" s="92">
        <v>0</v>
      </c>
      <c r="S500" s="92">
        <v>0</v>
      </c>
      <c r="T500" s="92">
        <v>0</v>
      </c>
      <c r="U500" s="92">
        <v>0</v>
      </c>
      <c r="V500" s="92">
        <v>0</v>
      </c>
      <c r="W500" s="92">
        <v>0</v>
      </c>
      <c r="X500" s="92">
        <v>0</v>
      </c>
      <c r="Y500" s="92">
        <v>0</v>
      </c>
      <c r="Z500" s="92">
        <v>0</v>
      </c>
      <c r="AA500" s="92">
        <v>0</v>
      </c>
      <c r="AB500" s="92">
        <v>182885</v>
      </c>
      <c r="AC500" s="92">
        <v>193139</v>
      </c>
      <c r="AD500" s="92">
        <v>204427</v>
      </c>
      <c r="AE500" s="92">
        <v>0</v>
      </c>
      <c r="AF500" s="92">
        <v>0</v>
      </c>
      <c r="AG500" s="92">
        <v>0</v>
      </c>
      <c r="AI500" s="250">
        <v>1.7007400000000001E-4</v>
      </c>
    </row>
    <row r="501" spans="1:35" x14ac:dyDescent="0.25">
      <c r="A501" t="str">
        <f t="shared" si="11"/>
        <v>8-4-25</v>
      </c>
      <c r="B501">
        <v>8</v>
      </c>
      <c r="C501" s="92" t="s">
        <v>1021</v>
      </c>
      <c r="D501" s="92">
        <v>4</v>
      </c>
      <c r="E501" s="92" t="s">
        <v>66</v>
      </c>
      <c r="F501" s="92">
        <v>25</v>
      </c>
      <c r="G501" s="92" t="s">
        <v>698</v>
      </c>
      <c r="H501" s="92"/>
      <c r="I501" s="92">
        <v>0</v>
      </c>
      <c r="J501" s="92">
        <v>9930907</v>
      </c>
      <c r="K501" s="92" t="s">
        <v>1061</v>
      </c>
      <c r="L501" s="92">
        <v>0</v>
      </c>
      <c r="M501" s="92">
        <v>13276</v>
      </c>
      <c r="N501" s="92">
        <v>777</v>
      </c>
      <c r="O501" s="92">
        <v>777</v>
      </c>
      <c r="P501" s="92">
        <v>0</v>
      </c>
      <c r="Q501" s="92">
        <v>0</v>
      </c>
      <c r="R501" s="92">
        <v>0</v>
      </c>
      <c r="S501" s="92">
        <v>0</v>
      </c>
      <c r="T501" s="92">
        <v>0</v>
      </c>
      <c r="U501" s="92">
        <v>0</v>
      </c>
      <c r="V501" s="92">
        <v>0</v>
      </c>
      <c r="W501" s="92">
        <v>0</v>
      </c>
      <c r="X501" s="92">
        <v>0</v>
      </c>
      <c r="Y501" s="92">
        <v>0</v>
      </c>
      <c r="Z501" s="92">
        <v>0</v>
      </c>
      <c r="AA501" s="92">
        <v>0</v>
      </c>
      <c r="AB501" s="92">
        <v>27787</v>
      </c>
      <c r="AC501" s="92">
        <v>29262</v>
      </c>
      <c r="AD501" s="92">
        <v>30909</v>
      </c>
      <c r="AE501" s="92">
        <v>0</v>
      </c>
      <c r="AF501" s="92">
        <v>0</v>
      </c>
      <c r="AG501" s="92">
        <v>0</v>
      </c>
    </row>
    <row r="502" spans="1:35" x14ac:dyDescent="0.25">
      <c r="A502" t="str">
        <f t="shared" si="11"/>
        <v>5-9-25</v>
      </c>
      <c r="B502">
        <v>5</v>
      </c>
      <c r="C502" s="92" t="s">
        <v>1019</v>
      </c>
      <c r="D502" s="92">
        <v>9</v>
      </c>
      <c r="E502" s="92" t="s">
        <v>588</v>
      </c>
      <c r="F502" s="92">
        <v>25</v>
      </c>
      <c r="G502" s="92" t="s">
        <v>668</v>
      </c>
      <c r="H502" s="92"/>
      <c r="I502" s="92">
        <v>0</v>
      </c>
      <c r="J502" s="92">
        <v>7451289</v>
      </c>
      <c r="K502" s="92" t="s">
        <v>1061</v>
      </c>
      <c r="L502" s="92">
        <v>3756</v>
      </c>
      <c r="M502" s="92">
        <v>1753</v>
      </c>
      <c r="N502" s="92">
        <v>258</v>
      </c>
      <c r="O502" s="92">
        <v>258</v>
      </c>
      <c r="P502" s="92">
        <v>0</v>
      </c>
      <c r="Q502" s="92">
        <v>0</v>
      </c>
      <c r="R502" s="92">
        <v>0</v>
      </c>
      <c r="S502" s="92">
        <v>0</v>
      </c>
      <c r="T502" s="92">
        <v>0</v>
      </c>
      <c r="U502" s="92">
        <v>0</v>
      </c>
      <c r="V502" s="92">
        <v>0</v>
      </c>
      <c r="W502" s="92">
        <v>0</v>
      </c>
      <c r="X502" s="92">
        <v>0</v>
      </c>
      <c r="Y502" s="92">
        <v>0</v>
      </c>
      <c r="Z502" s="92">
        <v>0</v>
      </c>
      <c r="AA502" s="92">
        <v>0</v>
      </c>
      <c r="AB502" s="92">
        <v>228399</v>
      </c>
      <c r="AC502" s="92">
        <v>239529</v>
      </c>
      <c r="AD502" s="92">
        <v>252912</v>
      </c>
      <c r="AE502" s="92">
        <v>0</v>
      </c>
      <c r="AF502" s="92">
        <v>0</v>
      </c>
      <c r="AG502" s="92">
        <v>0</v>
      </c>
      <c r="AI502" s="250">
        <v>1.199648E-3</v>
      </c>
    </row>
    <row r="503" spans="1:35" x14ac:dyDescent="0.25">
      <c r="A503" t="str">
        <f t="shared" si="11"/>
        <v>23-11-89</v>
      </c>
      <c r="B503">
        <v>23</v>
      </c>
      <c r="C503" s="92" t="s">
        <v>1036</v>
      </c>
      <c r="D503" s="92">
        <v>11</v>
      </c>
      <c r="E503" s="92" t="s">
        <v>1062</v>
      </c>
      <c r="F503" s="92">
        <v>89</v>
      </c>
      <c r="G503" s="92" t="s">
        <v>850</v>
      </c>
      <c r="H503" s="92">
        <v>1</v>
      </c>
      <c r="I503" s="92">
        <v>0</v>
      </c>
      <c r="J503" s="92">
        <v>39151760</v>
      </c>
      <c r="K503" s="92" t="s">
        <v>1061</v>
      </c>
      <c r="L503" s="92">
        <v>0</v>
      </c>
      <c r="M503" s="92">
        <v>0</v>
      </c>
      <c r="N503" s="92">
        <v>0</v>
      </c>
      <c r="O503" s="92">
        <v>0</v>
      </c>
      <c r="P503" s="92">
        <v>0</v>
      </c>
      <c r="Q503" s="92">
        <v>0</v>
      </c>
      <c r="R503" s="92">
        <v>0</v>
      </c>
      <c r="S503" s="92">
        <v>0</v>
      </c>
      <c r="T503" s="92">
        <v>0</v>
      </c>
      <c r="U503" s="92">
        <v>0</v>
      </c>
      <c r="V503" s="92">
        <v>0</v>
      </c>
      <c r="W503" s="92">
        <v>0</v>
      </c>
      <c r="X503" s="92">
        <v>0</v>
      </c>
      <c r="Y503" s="92">
        <v>0</v>
      </c>
      <c r="Z503" s="92">
        <v>0</v>
      </c>
      <c r="AA503" s="92">
        <v>0</v>
      </c>
      <c r="AB503" s="92">
        <v>434892</v>
      </c>
      <c r="AC503" s="92">
        <v>350000</v>
      </c>
      <c r="AD503" s="92">
        <v>535535</v>
      </c>
      <c r="AE503" s="92">
        <v>0</v>
      </c>
      <c r="AF503" s="92">
        <v>0</v>
      </c>
      <c r="AG503" s="92">
        <v>0</v>
      </c>
    </row>
    <row r="504" spans="1:35" x14ac:dyDescent="0.25">
      <c r="A504" t="str">
        <f t="shared" si="11"/>
        <v>23-2-23</v>
      </c>
      <c r="B504">
        <v>23</v>
      </c>
      <c r="C504" s="92" t="s">
        <v>1036</v>
      </c>
      <c r="D504" s="92">
        <v>2</v>
      </c>
      <c r="E504" s="92" t="s">
        <v>53</v>
      </c>
      <c r="F504" s="92">
        <v>23</v>
      </c>
      <c r="G504" s="92" t="s">
        <v>338</v>
      </c>
      <c r="H504" s="92"/>
      <c r="I504" s="92">
        <v>0</v>
      </c>
      <c r="J504" s="92">
        <v>39151760</v>
      </c>
      <c r="K504" s="92" t="s">
        <v>1061</v>
      </c>
      <c r="L504" s="92">
        <v>44618</v>
      </c>
      <c r="M504" s="92">
        <v>69247</v>
      </c>
      <c r="N504" s="92">
        <v>6703</v>
      </c>
      <c r="O504" s="92">
        <v>6624</v>
      </c>
      <c r="P504" s="92">
        <v>0</v>
      </c>
      <c r="Q504" s="92">
        <v>0</v>
      </c>
      <c r="R504" s="92">
        <v>0</v>
      </c>
      <c r="S504" s="92">
        <v>0</v>
      </c>
      <c r="T504" s="92">
        <v>0</v>
      </c>
      <c r="U504" s="92">
        <v>0</v>
      </c>
      <c r="V504" s="92">
        <v>0</v>
      </c>
      <c r="W504" s="92">
        <v>0</v>
      </c>
      <c r="X504" s="92">
        <v>0</v>
      </c>
      <c r="Y504" s="92">
        <v>0</v>
      </c>
      <c r="Z504" s="92">
        <v>0</v>
      </c>
      <c r="AA504" s="92">
        <v>0</v>
      </c>
      <c r="AB504" s="92">
        <f>6168952+434892</f>
        <v>6603844</v>
      </c>
      <c r="AC504" s="92">
        <f>6588594+350000</f>
        <v>6938594</v>
      </c>
      <c r="AD504" s="92">
        <f>6743640+535535</f>
        <v>7279175</v>
      </c>
      <c r="AE504" s="92">
        <v>0</v>
      </c>
      <c r="AF504" s="92">
        <v>0</v>
      </c>
      <c r="AG504" s="92">
        <v>0</v>
      </c>
    </row>
    <row r="505" spans="1:35" x14ac:dyDescent="0.25">
      <c r="A505" t="str">
        <f t="shared" si="11"/>
        <v>23-15-3</v>
      </c>
      <c r="B505">
        <v>23</v>
      </c>
      <c r="C505" s="92" t="s">
        <v>1036</v>
      </c>
      <c r="D505" s="92">
        <v>15</v>
      </c>
      <c r="E505" s="92" t="s">
        <v>152</v>
      </c>
      <c r="F505" s="92">
        <v>3</v>
      </c>
      <c r="G505" s="92" t="s">
        <v>851</v>
      </c>
      <c r="H505" s="92"/>
      <c r="I505" s="92">
        <v>0</v>
      </c>
      <c r="J505" s="92">
        <v>21890727</v>
      </c>
      <c r="K505" s="92" t="s">
        <v>1061</v>
      </c>
      <c r="L505" s="92">
        <v>2615</v>
      </c>
      <c r="M505" s="92">
        <v>7977</v>
      </c>
      <c r="N505" s="92">
        <v>863</v>
      </c>
      <c r="O505" s="92">
        <v>863</v>
      </c>
      <c r="P505" s="92">
        <v>0</v>
      </c>
      <c r="Q505" s="92">
        <v>0</v>
      </c>
      <c r="R505" s="92">
        <v>0</v>
      </c>
      <c r="S505" s="92">
        <v>0</v>
      </c>
      <c r="T505" s="92">
        <v>0</v>
      </c>
      <c r="U505" s="92">
        <v>0</v>
      </c>
      <c r="V505" s="92">
        <v>0</v>
      </c>
      <c r="W505" s="92">
        <v>0</v>
      </c>
      <c r="X505" s="92">
        <v>0</v>
      </c>
      <c r="Y505" s="92">
        <v>0</v>
      </c>
      <c r="Z505" s="92">
        <v>0</v>
      </c>
      <c r="AA505" s="92">
        <v>0</v>
      </c>
      <c r="AB505" s="92">
        <v>760742</v>
      </c>
      <c r="AC505" s="92">
        <v>799127</v>
      </c>
      <c r="AD505" s="92">
        <v>838154</v>
      </c>
      <c r="AE505" s="92">
        <v>0</v>
      </c>
      <c r="AF505" s="92">
        <v>0</v>
      </c>
      <c r="AG505" s="92">
        <v>0</v>
      </c>
    </row>
    <row r="506" spans="1:35" x14ac:dyDescent="0.25">
      <c r="A506" t="str">
        <f t="shared" si="11"/>
        <v>23-9-17</v>
      </c>
      <c r="B506">
        <v>23</v>
      </c>
      <c r="C506" s="92" t="s">
        <v>1036</v>
      </c>
      <c r="D506" s="92">
        <v>9</v>
      </c>
      <c r="E506" s="92" t="s">
        <v>588</v>
      </c>
      <c r="F506" s="92">
        <v>17</v>
      </c>
      <c r="G506" s="92" t="s">
        <v>848</v>
      </c>
      <c r="H506" s="92"/>
      <c r="I506" s="92">
        <v>3205</v>
      </c>
      <c r="J506" s="92">
        <v>0</v>
      </c>
      <c r="K506" s="92" t="s">
        <v>1061</v>
      </c>
      <c r="L506" s="92">
        <v>4094</v>
      </c>
      <c r="M506" s="92">
        <v>2556</v>
      </c>
      <c r="N506" s="92">
        <v>362</v>
      </c>
      <c r="O506" s="92">
        <v>362</v>
      </c>
      <c r="P506" s="92">
        <v>0</v>
      </c>
      <c r="Q506" s="92">
        <v>0</v>
      </c>
      <c r="R506" s="92">
        <v>0</v>
      </c>
      <c r="S506" s="92">
        <v>0</v>
      </c>
      <c r="T506" s="92">
        <v>0</v>
      </c>
      <c r="U506" s="92">
        <v>0</v>
      </c>
      <c r="V506" s="92">
        <v>0</v>
      </c>
      <c r="W506" s="92">
        <v>0</v>
      </c>
      <c r="X506" s="92">
        <v>0</v>
      </c>
      <c r="Y506" s="92">
        <v>0</v>
      </c>
      <c r="Z506" s="92">
        <v>0</v>
      </c>
      <c r="AA506" s="92">
        <v>0</v>
      </c>
      <c r="AB506" s="92">
        <v>423267</v>
      </c>
      <c r="AC506" s="92">
        <v>460424</v>
      </c>
      <c r="AD506" s="92">
        <v>467250</v>
      </c>
      <c r="AE506" s="92">
        <v>0</v>
      </c>
      <c r="AF506" s="92">
        <v>13296</v>
      </c>
      <c r="AG506" s="92">
        <v>0</v>
      </c>
      <c r="AI506" s="250">
        <v>2.4322800000000001E-4</v>
      </c>
    </row>
    <row r="507" spans="1:35" x14ac:dyDescent="0.25">
      <c r="A507" t="str">
        <f t="shared" si="11"/>
        <v>23-9-22</v>
      </c>
      <c r="B507">
        <v>23</v>
      </c>
      <c r="C507" s="92" t="s">
        <v>1036</v>
      </c>
      <c r="D507" s="92">
        <v>9</v>
      </c>
      <c r="E507" s="92" t="s">
        <v>588</v>
      </c>
      <c r="F507" s="92">
        <v>22</v>
      </c>
      <c r="G507" s="92" t="s">
        <v>849</v>
      </c>
      <c r="H507" s="92"/>
      <c r="I507" s="92">
        <v>0</v>
      </c>
      <c r="J507" s="92">
        <v>0</v>
      </c>
      <c r="K507" s="92" t="s">
        <v>1061</v>
      </c>
      <c r="L507" s="92">
        <v>622</v>
      </c>
      <c r="M507" s="92">
        <v>374</v>
      </c>
      <c r="N507" s="92">
        <v>2</v>
      </c>
      <c r="O507" s="92">
        <v>2</v>
      </c>
      <c r="P507" s="92">
        <v>0</v>
      </c>
      <c r="Q507" s="92">
        <v>0</v>
      </c>
      <c r="R507" s="92">
        <v>0</v>
      </c>
      <c r="S507" s="92">
        <v>0</v>
      </c>
      <c r="T507" s="92">
        <v>0</v>
      </c>
      <c r="U507" s="92">
        <v>0</v>
      </c>
      <c r="V507" s="92">
        <v>0</v>
      </c>
      <c r="W507" s="92">
        <v>0</v>
      </c>
      <c r="X507" s="92">
        <v>0</v>
      </c>
      <c r="Y507" s="92">
        <v>0</v>
      </c>
      <c r="Z507" s="92">
        <v>0</v>
      </c>
      <c r="AA507" s="92">
        <v>0</v>
      </c>
      <c r="AB507" s="92">
        <v>58243</v>
      </c>
      <c r="AC507" s="92">
        <v>62092</v>
      </c>
      <c r="AD507" s="92">
        <v>65151</v>
      </c>
      <c r="AE507" s="92">
        <v>0</v>
      </c>
      <c r="AF507" s="92">
        <v>0</v>
      </c>
      <c r="AG507" s="92">
        <v>0</v>
      </c>
      <c r="AI507" s="250">
        <v>2.6720599999999998E-4</v>
      </c>
    </row>
    <row r="508" spans="1:35" x14ac:dyDescent="0.25">
      <c r="A508" t="str">
        <f t="shared" si="11"/>
        <v>37-11-20</v>
      </c>
      <c r="B508">
        <v>37</v>
      </c>
      <c r="C508" s="92" t="s">
        <v>1049</v>
      </c>
      <c r="D508" s="92">
        <v>11</v>
      </c>
      <c r="E508" s="92" t="s">
        <v>1062</v>
      </c>
      <c r="F508" s="92">
        <v>20</v>
      </c>
      <c r="G508" s="92" t="s">
        <v>957</v>
      </c>
      <c r="H508" s="92"/>
      <c r="I508" s="92">
        <v>0</v>
      </c>
      <c r="J508" s="92">
        <v>19612554</v>
      </c>
      <c r="K508" s="92" t="s">
        <v>1061</v>
      </c>
      <c r="L508" s="92">
        <v>2112</v>
      </c>
      <c r="M508" s="92">
        <v>597</v>
      </c>
      <c r="N508" s="92">
        <v>221</v>
      </c>
      <c r="O508" s="92">
        <v>191</v>
      </c>
      <c r="P508" s="92">
        <v>0</v>
      </c>
      <c r="Q508" s="92">
        <v>0</v>
      </c>
      <c r="R508" s="92">
        <v>0</v>
      </c>
      <c r="S508" s="92">
        <v>0</v>
      </c>
      <c r="T508" s="92">
        <v>0</v>
      </c>
      <c r="U508" s="92">
        <v>0</v>
      </c>
      <c r="V508" s="92">
        <v>0</v>
      </c>
      <c r="W508" s="92">
        <v>0</v>
      </c>
      <c r="X508" s="92">
        <v>0</v>
      </c>
      <c r="Y508" s="92">
        <v>0</v>
      </c>
      <c r="Z508" s="92">
        <v>0</v>
      </c>
      <c r="AA508" s="92">
        <v>0</v>
      </c>
      <c r="AB508" s="92">
        <v>72805</v>
      </c>
      <c r="AC508" s="92">
        <v>96406</v>
      </c>
      <c r="AD508" s="92">
        <v>92518</v>
      </c>
      <c r="AE508" s="92">
        <v>0</v>
      </c>
      <c r="AF508" s="92">
        <v>0</v>
      </c>
      <c r="AG508" s="92">
        <v>0</v>
      </c>
    </row>
    <row r="509" spans="1:35" x14ac:dyDescent="0.25">
      <c r="A509" t="str">
        <f t="shared" si="11"/>
        <v>29-7-48</v>
      </c>
      <c r="B509">
        <v>29</v>
      </c>
      <c r="C509" s="92" t="s">
        <v>1042</v>
      </c>
      <c r="D509" s="92">
        <v>7</v>
      </c>
      <c r="E509" s="92" t="s">
        <v>586</v>
      </c>
      <c r="F509" s="92">
        <v>48</v>
      </c>
      <c r="G509" s="92" t="s">
        <v>443</v>
      </c>
      <c r="H509" s="92"/>
      <c r="I509" s="92">
        <v>2079</v>
      </c>
      <c r="J509" s="92">
        <v>5725695</v>
      </c>
      <c r="K509" s="92">
        <v>1</v>
      </c>
      <c r="L509" s="92">
        <v>854</v>
      </c>
      <c r="M509" s="92">
        <v>52</v>
      </c>
      <c r="N509" s="92">
        <v>37</v>
      </c>
      <c r="O509" s="92">
        <v>37</v>
      </c>
      <c r="P509" s="92">
        <v>0</v>
      </c>
      <c r="Q509" s="92">
        <v>0</v>
      </c>
      <c r="R509" s="92">
        <v>0</v>
      </c>
      <c r="S509" s="92">
        <v>8</v>
      </c>
      <c r="T509" s="92">
        <v>2</v>
      </c>
      <c r="U509" s="92">
        <v>0</v>
      </c>
      <c r="V509" s="92">
        <v>0</v>
      </c>
      <c r="W509" s="92">
        <v>0</v>
      </c>
      <c r="X509" s="92">
        <v>0</v>
      </c>
      <c r="Y509" s="92">
        <v>0</v>
      </c>
      <c r="Z509" s="92">
        <v>0</v>
      </c>
      <c r="AA509" s="92">
        <v>0</v>
      </c>
      <c r="AB509" s="92">
        <v>10670</v>
      </c>
      <c r="AC509" s="92">
        <v>10728</v>
      </c>
      <c r="AD509" s="92">
        <v>10634</v>
      </c>
      <c r="AE509" s="92">
        <v>0</v>
      </c>
      <c r="AF509" s="92">
        <v>0</v>
      </c>
      <c r="AG509" s="92">
        <v>0</v>
      </c>
    </row>
    <row r="510" spans="1:35" x14ac:dyDescent="0.25">
      <c r="A510" t="str">
        <f t="shared" si="11"/>
        <v>35-7-48</v>
      </c>
      <c r="B510">
        <v>35</v>
      </c>
      <c r="C510" s="92" t="s">
        <v>1195</v>
      </c>
      <c r="D510" s="92">
        <v>7</v>
      </c>
      <c r="E510" s="92" t="s">
        <v>586</v>
      </c>
      <c r="F510" s="92">
        <v>48</v>
      </c>
      <c r="G510" s="92" t="s">
        <v>443</v>
      </c>
      <c r="H510" s="92"/>
      <c r="I510" s="92">
        <v>2079</v>
      </c>
      <c r="J510" s="92">
        <v>3682446</v>
      </c>
      <c r="K510" s="92">
        <v>1</v>
      </c>
      <c r="L510" s="92">
        <v>854</v>
      </c>
      <c r="M510" s="92">
        <v>52</v>
      </c>
      <c r="N510" s="92">
        <v>37</v>
      </c>
      <c r="O510" s="92">
        <v>37</v>
      </c>
      <c r="P510" s="92">
        <v>0</v>
      </c>
      <c r="Q510" s="92">
        <v>0</v>
      </c>
      <c r="R510" s="92">
        <v>0</v>
      </c>
      <c r="S510" s="92">
        <v>8</v>
      </c>
      <c r="T510" s="92">
        <v>2</v>
      </c>
      <c r="U510" s="92">
        <v>0</v>
      </c>
      <c r="V510" s="92">
        <v>0</v>
      </c>
      <c r="W510" s="92">
        <v>0</v>
      </c>
      <c r="X510" s="92">
        <v>0</v>
      </c>
      <c r="Y510" s="92">
        <v>0</v>
      </c>
      <c r="Z510" s="92">
        <v>0</v>
      </c>
      <c r="AA510" s="92">
        <v>0</v>
      </c>
      <c r="AB510" s="92">
        <v>10670</v>
      </c>
      <c r="AC510" s="92">
        <v>10728</v>
      </c>
      <c r="AD510" s="92">
        <v>10634</v>
      </c>
      <c r="AE510" s="92">
        <v>0</v>
      </c>
      <c r="AF510" s="92">
        <v>0</v>
      </c>
      <c r="AG510" s="92">
        <v>0</v>
      </c>
    </row>
    <row r="511" spans="1:35" x14ac:dyDescent="0.25">
      <c r="A511" t="str">
        <f t="shared" si="11"/>
        <v>29-9-26</v>
      </c>
      <c r="B511">
        <v>29</v>
      </c>
      <c r="C511" s="92" t="s">
        <v>1042</v>
      </c>
      <c r="D511" s="92">
        <v>9</v>
      </c>
      <c r="E511" s="92" t="s">
        <v>588</v>
      </c>
      <c r="F511" s="92">
        <v>26</v>
      </c>
      <c r="G511" s="92" t="s">
        <v>906</v>
      </c>
      <c r="H511" s="92"/>
      <c r="I511" s="92">
        <v>4</v>
      </c>
      <c r="J511" s="92">
        <v>5486915</v>
      </c>
      <c r="K511" s="92">
        <v>1</v>
      </c>
      <c r="L511" s="92">
        <v>1971</v>
      </c>
      <c r="M511" s="92">
        <v>69</v>
      </c>
      <c r="N511" s="92">
        <v>859</v>
      </c>
      <c r="O511" s="92">
        <v>859</v>
      </c>
      <c r="P511" s="92">
        <v>0</v>
      </c>
      <c r="Q511" s="92">
        <v>0</v>
      </c>
      <c r="R511" s="92">
        <v>0</v>
      </c>
      <c r="S511" s="92">
        <v>0</v>
      </c>
      <c r="T511" s="92">
        <v>0</v>
      </c>
      <c r="U511" s="92">
        <v>0</v>
      </c>
      <c r="V511" s="92">
        <v>0</v>
      </c>
      <c r="W511" s="92">
        <v>0</v>
      </c>
      <c r="X511" s="92">
        <v>0</v>
      </c>
      <c r="Y511" s="92">
        <v>0</v>
      </c>
      <c r="Z511" s="92">
        <v>0</v>
      </c>
      <c r="AA511" s="92">
        <v>0</v>
      </c>
      <c r="AB511" s="92">
        <v>29391</v>
      </c>
      <c r="AC511" s="92">
        <v>30558</v>
      </c>
      <c r="AD511" s="92">
        <v>31693</v>
      </c>
      <c r="AE511" s="92">
        <v>0</v>
      </c>
      <c r="AF511" s="92">
        <v>0</v>
      </c>
      <c r="AG511" s="92">
        <v>0</v>
      </c>
      <c r="AI511" s="250">
        <v>1.6414899999999999E-4</v>
      </c>
    </row>
    <row r="512" spans="1:35" x14ac:dyDescent="0.25">
      <c r="A512" t="str">
        <f t="shared" si="11"/>
        <v>35-9-26</v>
      </c>
      <c r="B512">
        <v>35</v>
      </c>
      <c r="C512" s="92" t="s">
        <v>1195</v>
      </c>
      <c r="D512" s="92">
        <v>9</v>
      </c>
      <c r="E512" s="92" t="s">
        <v>588</v>
      </c>
      <c r="F512" s="92">
        <v>26</v>
      </c>
      <c r="G512" s="92" t="s">
        <v>906</v>
      </c>
      <c r="H512" s="92"/>
      <c r="I512" s="92">
        <v>4</v>
      </c>
      <c r="J512" s="92">
        <v>2559800</v>
      </c>
      <c r="K512" s="92">
        <v>1</v>
      </c>
      <c r="L512" s="92">
        <v>1971</v>
      </c>
      <c r="M512" s="92">
        <v>69</v>
      </c>
      <c r="N512" s="92">
        <v>859</v>
      </c>
      <c r="O512" s="92">
        <v>859</v>
      </c>
      <c r="P512" s="92">
        <v>0</v>
      </c>
      <c r="Q512" s="92">
        <v>0</v>
      </c>
      <c r="R512" s="92">
        <v>0</v>
      </c>
      <c r="S512" s="92">
        <v>0</v>
      </c>
      <c r="T512" s="92">
        <v>0</v>
      </c>
      <c r="U512" s="92">
        <v>0</v>
      </c>
      <c r="V512" s="92">
        <v>0</v>
      </c>
      <c r="W512" s="92">
        <v>0</v>
      </c>
      <c r="X512" s="92">
        <v>0</v>
      </c>
      <c r="Y512" s="92">
        <v>0</v>
      </c>
      <c r="Z512" s="92">
        <v>0</v>
      </c>
      <c r="AA512" s="92">
        <v>0</v>
      </c>
      <c r="AB512" s="92">
        <v>29391</v>
      </c>
      <c r="AC512" s="92">
        <v>30558</v>
      </c>
      <c r="AD512" s="92">
        <v>31693</v>
      </c>
      <c r="AE512" s="92">
        <v>0</v>
      </c>
      <c r="AF512" s="92">
        <v>0</v>
      </c>
      <c r="AG512" s="92">
        <v>0</v>
      </c>
      <c r="AI512" s="250">
        <v>1.6414899999999999E-4</v>
      </c>
    </row>
    <row r="513" spans="1:35" x14ac:dyDescent="0.25">
      <c r="A513" t="str">
        <f t="shared" si="11"/>
        <v>29-17-35</v>
      </c>
      <c r="B513">
        <v>29</v>
      </c>
      <c r="C513" s="92" t="s">
        <v>1042</v>
      </c>
      <c r="D513" s="92">
        <v>17</v>
      </c>
      <c r="E513" s="92" t="s">
        <v>593</v>
      </c>
      <c r="F513" s="92">
        <v>35</v>
      </c>
      <c r="G513" s="92" t="s">
        <v>449</v>
      </c>
      <c r="H513" s="92"/>
      <c r="I513" s="92">
        <v>1909</v>
      </c>
      <c r="J513" s="92">
        <v>7141210</v>
      </c>
      <c r="K513" s="92" t="s">
        <v>1061</v>
      </c>
      <c r="L513" s="92">
        <v>0</v>
      </c>
      <c r="M513" s="92">
        <v>352</v>
      </c>
      <c r="N513" s="92">
        <v>254</v>
      </c>
      <c r="O513" s="92">
        <v>254</v>
      </c>
      <c r="P513" s="92">
        <v>0</v>
      </c>
      <c r="Q513" s="92">
        <v>0</v>
      </c>
      <c r="R513" s="92">
        <v>0</v>
      </c>
      <c r="S513" s="92">
        <v>65.599999999999994</v>
      </c>
      <c r="T513" s="92">
        <v>20</v>
      </c>
      <c r="U513" s="92">
        <v>0</v>
      </c>
      <c r="V513" s="92">
        <v>0</v>
      </c>
      <c r="W513" s="92">
        <v>0</v>
      </c>
      <c r="X513" s="92">
        <v>0</v>
      </c>
      <c r="Y513" s="92">
        <v>0</v>
      </c>
      <c r="Z513" s="92">
        <v>0</v>
      </c>
      <c r="AA513" s="92">
        <v>0</v>
      </c>
      <c r="AB513" s="92">
        <v>89764</v>
      </c>
      <c r="AC513" s="92">
        <v>92342</v>
      </c>
      <c r="AD513" s="92">
        <v>95433</v>
      </c>
      <c r="AE513" s="92">
        <v>0</v>
      </c>
      <c r="AF513" s="92">
        <v>0</v>
      </c>
      <c r="AG513" s="92">
        <v>0</v>
      </c>
    </row>
    <row r="514" spans="1:35" x14ac:dyDescent="0.25">
      <c r="A514" t="str">
        <f t="shared" si="11"/>
        <v>29-4-111</v>
      </c>
      <c r="B514">
        <v>29</v>
      </c>
      <c r="C514" s="92" t="s">
        <v>1042</v>
      </c>
      <c r="D514" s="92">
        <v>4</v>
      </c>
      <c r="E514" s="92" t="s">
        <v>66</v>
      </c>
      <c r="F514" s="92">
        <v>111</v>
      </c>
      <c r="G514" s="92" t="s">
        <v>899</v>
      </c>
      <c r="H514" s="92"/>
      <c r="I514" s="92">
        <v>0</v>
      </c>
      <c r="J514" s="92">
        <v>7170169</v>
      </c>
      <c r="K514" s="92">
        <v>1</v>
      </c>
      <c r="L514" s="92">
        <v>57693</v>
      </c>
      <c r="M514" s="92">
        <v>5533</v>
      </c>
      <c r="N514" s="92">
        <v>3961</v>
      </c>
      <c r="O514" s="92">
        <v>3961</v>
      </c>
      <c r="P514" s="92">
        <v>0</v>
      </c>
      <c r="Q514" s="92">
        <v>0</v>
      </c>
      <c r="R514" s="92">
        <v>0</v>
      </c>
      <c r="S514" s="92">
        <v>795</v>
      </c>
      <c r="T514" s="92">
        <v>246</v>
      </c>
      <c r="U514" s="92">
        <v>0</v>
      </c>
      <c r="V514" s="92">
        <v>0</v>
      </c>
      <c r="W514" s="92">
        <v>0</v>
      </c>
      <c r="X514" s="92">
        <v>0</v>
      </c>
      <c r="Y514" s="92">
        <v>0</v>
      </c>
      <c r="Z514" s="92">
        <v>0</v>
      </c>
      <c r="AA514" s="92">
        <v>0</v>
      </c>
      <c r="AB514" s="92">
        <v>14566</v>
      </c>
      <c r="AC514" s="92">
        <v>15076</v>
      </c>
      <c r="AD514" s="92">
        <v>15588</v>
      </c>
      <c r="AE514" s="92">
        <v>0</v>
      </c>
      <c r="AF514" s="92">
        <v>0</v>
      </c>
      <c r="AG514" s="92">
        <v>0</v>
      </c>
    </row>
    <row r="515" spans="1:35" x14ac:dyDescent="0.25">
      <c r="A515" t="str">
        <f t="shared" si="11"/>
        <v>35-4-111</v>
      </c>
      <c r="B515">
        <v>35</v>
      </c>
      <c r="C515" s="92" t="s">
        <v>1195</v>
      </c>
      <c r="D515" s="92">
        <v>4</v>
      </c>
      <c r="E515" s="92" t="s">
        <v>66</v>
      </c>
      <c r="F515" s="92">
        <v>111</v>
      </c>
      <c r="G515" s="92" t="s">
        <v>899</v>
      </c>
      <c r="H515" s="92"/>
      <c r="I515" s="92">
        <v>0</v>
      </c>
      <c r="J515" s="92">
        <v>2965547</v>
      </c>
      <c r="K515" s="92">
        <v>1</v>
      </c>
      <c r="L515" s="92">
        <v>57693</v>
      </c>
      <c r="M515" s="92">
        <v>5533</v>
      </c>
      <c r="N515" s="92">
        <v>3961</v>
      </c>
      <c r="O515" s="92">
        <v>3961</v>
      </c>
      <c r="P515" s="92">
        <v>0</v>
      </c>
      <c r="Q515" s="92">
        <v>0</v>
      </c>
      <c r="R515" s="92">
        <v>0</v>
      </c>
      <c r="S515" s="92">
        <v>795</v>
      </c>
      <c r="T515" s="92">
        <v>246</v>
      </c>
      <c r="U515" s="92">
        <v>0</v>
      </c>
      <c r="V515" s="92">
        <v>0</v>
      </c>
      <c r="W515" s="92">
        <v>0</v>
      </c>
      <c r="X515" s="92">
        <v>0</v>
      </c>
      <c r="Y515" s="92">
        <v>0</v>
      </c>
      <c r="Z515" s="92">
        <v>0</v>
      </c>
      <c r="AA515" s="92">
        <v>0</v>
      </c>
      <c r="AB515" s="92">
        <v>14566</v>
      </c>
      <c r="AC515" s="92">
        <v>15076</v>
      </c>
      <c r="AD515" s="92">
        <v>15588</v>
      </c>
      <c r="AE515" s="92">
        <v>0</v>
      </c>
      <c r="AF515" s="92">
        <v>0</v>
      </c>
      <c r="AG515" s="92">
        <v>0</v>
      </c>
    </row>
    <row r="516" spans="1:35" x14ac:dyDescent="0.25">
      <c r="A516" t="str">
        <f t="shared" si="11"/>
        <v>4-7-193</v>
      </c>
      <c r="B516">
        <v>4</v>
      </c>
      <c r="C516" s="92" t="s">
        <v>1194</v>
      </c>
      <c r="D516" s="92">
        <v>7</v>
      </c>
      <c r="E516" s="92" t="s">
        <v>586</v>
      </c>
      <c r="F516" s="92">
        <v>193</v>
      </c>
      <c r="G516" s="92" t="s">
        <v>123</v>
      </c>
      <c r="H516" s="92"/>
      <c r="I516" s="92">
        <v>0</v>
      </c>
      <c r="J516" s="92">
        <v>1287988</v>
      </c>
      <c r="K516" s="92" t="s">
        <v>1061</v>
      </c>
      <c r="L516" s="92">
        <v>364</v>
      </c>
      <c r="M516" s="92">
        <v>12</v>
      </c>
      <c r="N516" s="92">
        <v>3</v>
      </c>
      <c r="O516" s="92">
        <v>3</v>
      </c>
      <c r="P516" s="92">
        <v>0</v>
      </c>
      <c r="Q516" s="92">
        <v>0</v>
      </c>
      <c r="R516" s="92">
        <v>0</v>
      </c>
      <c r="S516" s="92">
        <v>0</v>
      </c>
      <c r="T516" s="92">
        <v>0</v>
      </c>
      <c r="U516" s="92">
        <v>0</v>
      </c>
      <c r="V516" s="92">
        <v>0</v>
      </c>
      <c r="W516" s="92">
        <v>0</v>
      </c>
      <c r="X516" s="92">
        <v>0</v>
      </c>
      <c r="Y516" s="92">
        <v>0</v>
      </c>
      <c r="Z516" s="92">
        <v>0</v>
      </c>
      <c r="AA516" s="92">
        <v>0</v>
      </c>
      <c r="AB516" s="92">
        <v>8144</v>
      </c>
      <c r="AC516" s="92">
        <v>8520</v>
      </c>
      <c r="AD516" s="92">
        <v>8798</v>
      </c>
      <c r="AE516" s="92">
        <v>0</v>
      </c>
      <c r="AF516" s="92">
        <v>0</v>
      </c>
      <c r="AG516" s="92">
        <v>0</v>
      </c>
    </row>
    <row r="517" spans="1:35" x14ac:dyDescent="0.25">
      <c r="A517" t="str">
        <f t="shared" si="11"/>
        <v>35-7-50</v>
      </c>
      <c r="B517">
        <v>35</v>
      </c>
      <c r="C517" s="92" t="s">
        <v>1195</v>
      </c>
      <c r="D517" s="92">
        <v>7</v>
      </c>
      <c r="E517" s="92" t="s">
        <v>586</v>
      </c>
      <c r="F517" s="92">
        <v>50</v>
      </c>
      <c r="G517" s="92" t="s">
        <v>498</v>
      </c>
      <c r="H517" s="92"/>
      <c r="I517" s="92">
        <v>1112</v>
      </c>
      <c r="J517" s="92">
        <v>595320</v>
      </c>
      <c r="K517" s="92" t="s">
        <v>1061</v>
      </c>
      <c r="L517" s="92">
        <v>253</v>
      </c>
      <c r="M517" s="92">
        <v>9</v>
      </c>
      <c r="N517" s="92">
        <v>3</v>
      </c>
      <c r="O517" s="92">
        <v>3</v>
      </c>
      <c r="P517" s="92">
        <v>0</v>
      </c>
      <c r="Q517" s="92">
        <v>0</v>
      </c>
      <c r="R517" s="92">
        <v>0</v>
      </c>
      <c r="S517" s="92">
        <v>0</v>
      </c>
      <c r="T517" s="92">
        <v>0</v>
      </c>
      <c r="U517" s="92">
        <v>0</v>
      </c>
      <c r="V517" s="92">
        <v>0</v>
      </c>
      <c r="W517" s="92">
        <v>0</v>
      </c>
      <c r="X517" s="92">
        <v>0</v>
      </c>
      <c r="Y517" s="92">
        <v>0</v>
      </c>
      <c r="Z517" s="92">
        <v>0</v>
      </c>
      <c r="AA517" s="92">
        <v>0</v>
      </c>
      <c r="AB517" s="92">
        <v>3139</v>
      </c>
      <c r="AC517" s="92">
        <v>3254</v>
      </c>
      <c r="AD517" s="92">
        <v>3385</v>
      </c>
      <c r="AE517" s="92">
        <v>0</v>
      </c>
      <c r="AF517" s="92">
        <v>0</v>
      </c>
      <c r="AG517" s="92">
        <v>0</v>
      </c>
    </row>
    <row r="518" spans="1:35" x14ac:dyDescent="0.25">
      <c r="A518" t="str">
        <f t="shared" si="11"/>
        <v>18-7-51</v>
      </c>
      <c r="B518">
        <v>18</v>
      </c>
      <c r="C518" s="92" t="s">
        <v>1031</v>
      </c>
      <c r="D518" s="92">
        <v>7</v>
      </c>
      <c r="E518" s="92" t="s">
        <v>586</v>
      </c>
      <c r="F518" s="92">
        <v>51</v>
      </c>
      <c r="G518" s="92" t="s">
        <v>291</v>
      </c>
      <c r="H518" s="92"/>
      <c r="I518" s="92">
        <v>420</v>
      </c>
      <c r="J518" s="92">
        <v>341235</v>
      </c>
      <c r="K518" s="92" t="s">
        <v>1061</v>
      </c>
      <c r="L518" s="92">
        <v>47</v>
      </c>
      <c r="M518" s="92">
        <v>3</v>
      </c>
      <c r="N518" s="92">
        <v>0</v>
      </c>
      <c r="O518" s="92">
        <v>0</v>
      </c>
      <c r="P518" s="92">
        <v>0</v>
      </c>
      <c r="Q518" s="92">
        <v>0</v>
      </c>
      <c r="R518" s="92">
        <v>0</v>
      </c>
      <c r="S518" s="92">
        <v>0</v>
      </c>
      <c r="T518" s="92">
        <v>0</v>
      </c>
      <c r="U518" s="92">
        <v>0</v>
      </c>
      <c r="V518" s="92">
        <v>0</v>
      </c>
      <c r="W518" s="92">
        <v>0</v>
      </c>
      <c r="X518" s="92">
        <v>0</v>
      </c>
      <c r="Y518" s="92">
        <v>0</v>
      </c>
      <c r="Z518" s="92">
        <v>0</v>
      </c>
      <c r="AA518" s="92">
        <v>0</v>
      </c>
      <c r="AB518" s="92">
        <v>900</v>
      </c>
      <c r="AC518" s="92">
        <v>900</v>
      </c>
      <c r="AD518" s="92">
        <v>900</v>
      </c>
      <c r="AE518" s="92">
        <v>0</v>
      </c>
      <c r="AF518" s="92">
        <v>0</v>
      </c>
      <c r="AG518" s="92">
        <v>0</v>
      </c>
    </row>
    <row r="519" spans="1:35" x14ac:dyDescent="0.25">
      <c r="A519" t="str">
        <f t="shared" si="11"/>
        <v>20-11-21</v>
      </c>
      <c r="B519">
        <v>20</v>
      </c>
      <c r="C519" s="92" t="s">
        <v>1033</v>
      </c>
      <c r="D519" s="92">
        <v>11</v>
      </c>
      <c r="E519" s="92" t="s">
        <v>1062</v>
      </c>
      <c r="F519" s="92">
        <v>21</v>
      </c>
      <c r="G519" s="92" t="s">
        <v>830</v>
      </c>
      <c r="H519" s="92"/>
      <c r="I519" s="92">
        <v>0</v>
      </c>
      <c r="J519" s="92">
        <v>326101078</v>
      </c>
      <c r="K519" s="92" t="s">
        <v>1061</v>
      </c>
      <c r="L519" s="92">
        <v>21258</v>
      </c>
      <c r="M519" s="92">
        <v>7782</v>
      </c>
      <c r="N519" s="92">
        <v>4307</v>
      </c>
      <c r="O519" s="92">
        <v>4038</v>
      </c>
      <c r="P519" s="92">
        <v>0</v>
      </c>
      <c r="Q519" s="92">
        <v>12924</v>
      </c>
      <c r="R519" s="92">
        <v>18636</v>
      </c>
      <c r="S519" s="92">
        <v>0</v>
      </c>
      <c r="T519" s="92">
        <v>0</v>
      </c>
      <c r="U519" s="92">
        <v>0</v>
      </c>
      <c r="V519" s="92">
        <v>0</v>
      </c>
      <c r="W519" s="92">
        <v>0</v>
      </c>
      <c r="X519" s="92">
        <v>0</v>
      </c>
      <c r="Y519" s="92">
        <v>0</v>
      </c>
      <c r="Z519" s="92">
        <v>0</v>
      </c>
      <c r="AA519" s="92">
        <v>0</v>
      </c>
      <c r="AB519" s="92">
        <v>646907</v>
      </c>
      <c r="AC519" s="92">
        <v>660689</v>
      </c>
      <c r="AD519" s="92">
        <v>678928</v>
      </c>
      <c r="AE519" s="92">
        <v>0</v>
      </c>
      <c r="AF519" s="92">
        <v>0</v>
      </c>
      <c r="AG519" s="92">
        <v>0</v>
      </c>
    </row>
    <row r="520" spans="1:35" x14ac:dyDescent="0.25">
      <c r="A520" t="str">
        <f t="shared" si="11"/>
        <v>20-4-73</v>
      </c>
      <c r="B520">
        <v>20</v>
      </c>
      <c r="C520" s="92" t="s">
        <v>1033</v>
      </c>
      <c r="D520" s="92">
        <v>4</v>
      </c>
      <c r="E520" s="92" t="s">
        <v>66</v>
      </c>
      <c r="F520" s="92">
        <v>73</v>
      </c>
      <c r="G520" s="92" t="s">
        <v>821</v>
      </c>
      <c r="H520" s="92"/>
      <c r="I520" s="92">
        <v>0</v>
      </c>
      <c r="J520" s="92">
        <v>269705243</v>
      </c>
      <c r="K520" s="92">
        <v>1</v>
      </c>
      <c r="L520" s="92">
        <v>0</v>
      </c>
      <c r="M520" s="92">
        <v>6099</v>
      </c>
      <c r="N520" s="92">
        <v>2929</v>
      </c>
      <c r="O520" s="92">
        <v>2929</v>
      </c>
      <c r="P520" s="92">
        <v>0</v>
      </c>
      <c r="Q520" s="92">
        <v>6877</v>
      </c>
      <c r="R520" s="92">
        <v>7775</v>
      </c>
      <c r="S520" s="92">
        <v>0</v>
      </c>
      <c r="T520" s="92">
        <v>0</v>
      </c>
      <c r="U520" s="92">
        <v>0</v>
      </c>
      <c r="V520" s="92">
        <v>0</v>
      </c>
      <c r="W520" s="92">
        <v>0</v>
      </c>
      <c r="X520" s="92">
        <v>0</v>
      </c>
      <c r="Y520" s="92">
        <v>0</v>
      </c>
      <c r="Z520" s="92">
        <v>0</v>
      </c>
      <c r="AA520" s="92">
        <v>0</v>
      </c>
      <c r="AB520" s="92">
        <v>63287</v>
      </c>
      <c r="AC520" s="92">
        <v>58989</v>
      </c>
      <c r="AD520" s="92">
        <v>57744</v>
      </c>
      <c r="AE520" s="92">
        <v>0</v>
      </c>
      <c r="AF520" s="92">
        <v>0</v>
      </c>
      <c r="AG520" s="92">
        <v>0</v>
      </c>
    </row>
    <row r="521" spans="1:35" x14ac:dyDescent="0.25">
      <c r="A521" t="str">
        <f t="shared" si="11"/>
        <v>37-4-73</v>
      </c>
      <c r="B521">
        <v>37</v>
      </c>
      <c r="C521" s="92" t="s">
        <v>1049</v>
      </c>
      <c r="D521" s="92">
        <v>4</v>
      </c>
      <c r="E521" s="92" t="s">
        <v>66</v>
      </c>
      <c r="F521" s="92">
        <v>73</v>
      </c>
      <c r="G521" s="92" t="s">
        <v>821</v>
      </c>
      <c r="H521" s="92"/>
      <c r="I521" s="92">
        <v>0</v>
      </c>
      <c r="J521" s="92">
        <v>2141658</v>
      </c>
      <c r="K521" s="92">
        <v>1</v>
      </c>
      <c r="L521" s="92">
        <v>0</v>
      </c>
      <c r="M521" s="92">
        <v>6099</v>
      </c>
      <c r="N521" s="92">
        <v>2929</v>
      </c>
      <c r="O521" s="92">
        <v>2929</v>
      </c>
      <c r="P521" s="92">
        <v>0</v>
      </c>
      <c r="Q521" s="92">
        <v>6877</v>
      </c>
      <c r="R521" s="92">
        <v>7775</v>
      </c>
      <c r="S521" s="92">
        <v>0</v>
      </c>
      <c r="T521" s="92">
        <v>0</v>
      </c>
      <c r="U521" s="92">
        <v>0</v>
      </c>
      <c r="V521" s="92">
        <v>0</v>
      </c>
      <c r="W521" s="92">
        <v>0</v>
      </c>
      <c r="X521" s="92">
        <v>0</v>
      </c>
      <c r="Y521" s="92">
        <v>0</v>
      </c>
      <c r="Z521" s="92">
        <v>0</v>
      </c>
      <c r="AA521" s="92">
        <v>0</v>
      </c>
      <c r="AB521" s="92">
        <v>63287</v>
      </c>
      <c r="AC521" s="92">
        <v>58989</v>
      </c>
      <c r="AD521" s="92">
        <v>57744</v>
      </c>
      <c r="AE521" s="92">
        <v>0</v>
      </c>
      <c r="AF521" s="92">
        <v>0</v>
      </c>
      <c r="AG521" s="92">
        <v>0</v>
      </c>
    </row>
    <row r="522" spans="1:35" x14ac:dyDescent="0.25">
      <c r="A522" t="str">
        <f t="shared" si="11"/>
        <v>14-11-22</v>
      </c>
      <c r="B522">
        <v>14</v>
      </c>
      <c r="C522" s="92" t="s">
        <v>1027</v>
      </c>
      <c r="D522" s="92">
        <v>11</v>
      </c>
      <c r="E522" s="92" t="s">
        <v>1062</v>
      </c>
      <c r="F522" s="92">
        <v>22</v>
      </c>
      <c r="G522" s="92" t="s">
        <v>245</v>
      </c>
      <c r="H522" s="92"/>
      <c r="I522" s="92">
        <v>11414</v>
      </c>
      <c r="J522" s="92">
        <v>27064694</v>
      </c>
      <c r="K522" s="92" t="s">
        <v>1061</v>
      </c>
      <c r="L522" s="92">
        <v>20908</v>
      </c>
      <c r="M522" s="92">
        <v>7377</v>
      </c>
      <c r="N522" s="92">
        <v>1895</v>
      </c>
      <c r="O522" s="92">
        <v>1748</v>
      </c>
      <c r="P522" s="92">
        <v>0</v>
      </c>
      <c r="Q522" s="92">
        <v>0</v>
      </c>
      <c r="R522" s="92">
        <v>0</v>
      </c>
      <c r="S522" s="92">
        <v>0</v>
      </c>
      <c r="T522" s="92">
        <v>0</v>
      </c>
      <c r="U522" s="92">
        <v>0</v>
      </c>
      <c r="V522" s="92">
        <v>0</v>
      </c>
      <c r="W522" s="92">
        <v>0</v>
      </c>
      <c r="X522" s="92">
        <v>0</v>
      </c>
      <c r="Y522" s="92">
        <v>0</v>
      </c>
      <c r="Z522" s="92">
        <v>0</v>
      </c>
      <c r="AA522" s="92">
        <v>0</v>
      </c>
      <c r="AB522" s="92">
        <v>1634186</v>
      </c>
      <c r="AC522" s="92">
        <v>1715524</v>
      </c>
      <c r="AD522" s="92">
        <v>1800436</v>
      </c>
      <c r="AE522" s="92">
        <v>0</v>
      </c>
      <c r="AF522" s="92">
        <v>0</v>
      </c>
      <c r="AG522" s="92">
        <v>0</v>
      </c>
    </row>
    <row r="523" spans="1:35" x14ac:dyDescent="0.25">
      <c r="A523" t="str">
        <f t="shared" si="11"/>
        <v>24-7-52</v>
      </c>
      <c r="B523">
        <v>24</v>
      </c>
      <c r="C523" s="92" t="s">
        <v>1037</v>
      </c>
      <c r="D523" s="92">
        <v>7</v>
      </c>
      <c r="E523" s="92" t="s">
        <v>586</v>
      </c>
      <c r="F523" s="92">
        <v>52</v>
      </c>
      <c r="G523" s="92" t="s">
        <v>350</v>
      </c>
      <c r="H523" s="92"/>
      <c r="I523" s="92">
        <v>36</v>
      </c>
      <c r="J523" s="92">
        <v>107376750</v>
      </c>
      <c r="K523" s="92" t="s">
        <v>1061</v>
      </c>
      <c r="L523" s="92">
        <v>2071</v>
      </c>
      <c r="M523" s="92">
        <v>1173</v>
      </c>
      <c r="N523" s="92">
        <v>223</v>
      </c>
      <c r="O523" s="92">
        <v>223</v>
      </c>
      <c r="P523" s="92">
        <v>0</v>
      </c>
      <c r="Q523" s="92">
        <v>0</v>
      </c>
      <c r="R523" s="92">
        <v>0</v>
      </c>
      <c r="S523" s="92">
        <v>0</v>
      </c>
      <c r="T523" s="92">
        <v>0</v>
      </c>
      <c r="U523" s="92">
        <v>73</v>
      </c>
      <c r="V523" s="92">
        <v>0</v>
      </c>
      <c r="W523" s="92">
        <v>0</v>
      </c>
      <c r="X523" s="92">
        <v>0</v>
      </c>
      <c r="Y523" s="92">
        <v>0</v>
      </c>
      <c r="Z523" s="92">
        <v>0</v>
      </c>
      <c r="AA523" s="92">
        <v>0</v>
      </c>
      <c r="AB523" s="92">
        <v>101835</v>
      </c>
      <c r="AC523" s="92">
        <v>105744</v>
      </c>
      <c r="AD523" s="92">
        <v>109925</v>
      </c>
      <c r="AE523" s="92">
        <v>0</v>
      </c>
      <c r="AF523" s="92">
        <v>0</v>
      </c>
      <c r="AG523" s="92">
        <v>0</v>
      </c>
    </row>
    <row r="524" spans="1:35" x14ac:dyDescent="0.25">
      <c r="A524" t="str">
        <f t="shared" si="11"/>
        <v>24-2-24</v>
      </c>
      <c r="B524">
        <v>24</v>
      </c>
      <c r="C524" s="92" t="s">
        <v>1037</v>
      </c>
      <c r="D524" s="92">
        <v>2</v>
      </c>
      <c r="E524" s="92" t="s">
        <v>53</v>
      </c>
      <c r="F524" s="92">
        <v>24</v>
      </c>
      <c r="G524" s="92" t="s">
        <v>344</v>
      </c>
      <c r="H524" s="92"/>
      <c r="I524" s="92">
        <v>0</v>
      </c>
      <c r="J524" s="92">
        <v>241934122</v>
      </c>
      <c r="K524" s="92" t="s">
        <v>1061</v>
      </c>
      <c r="L524" s="92">
        <v>203716</v>
      </c>
      <c r="M524" s="92">
        <v>50272</v>
      </c>
      <c r="N524" s="92">
        <v>8287</v>
      </c>
      <c r="O524" s="92">
        <v>8287</v>
      </c>
      <c r="P524" s="92">
        <v>0</v>
      </c>
      <c r="Q524" s="92">
        <v>0</v>
      </c>
      <c r="R524" s="92">
        <v>0</v>
      </c>
      <c r="S524" s="92">
        <v>0</v>
      </c>
      <c r="T524" s="92">
        <v>0</v>
      </c>
      <c r="U524" s="92">
        <v>1447</v>
      </c>
      <c r="V524" s="92">
        <v>0</v>
      </c>
      <c r="W524" s="182">
        <v>0</v>
      </c>
      <c r="X524" s="92">
        <v>0</v>
      </c>
      <c r="Y524" s="92">
        <v>0</v>
      </c>
      <c r="Z524" s="92">
        <v>0</v>
      </c>
      <c r="AA524" s="92">
        <v>0</v>
      </c>
      <c r="AB524" s="92">
        <v>4813677</v>
      </c>
      <c r="AC524" s="182">
        <f>4806747-33087</f>
        <v>4773660</v>
      </c>
      <c r="AD524" s="92">
        <v>4961277</v>
      </c>
      <c r="AE524" s="92">
        <v>141986</v>
      </c>
      <c r="AF524" s="92">
        <v>0</v>
      </c>
      <c r="AG524" s="92">
        <v>0</v>
      </c>
    </row>
    <row r="525" spans="1:35" x14ac:dyDescent="0.25">
      <c r="A525" t="str">
        <f t="shared" si="11"/>
        <v>24-5-26</v>
      </c>
      <c r="B525">
        <v>24</v>
      </c>
      <c r="C525" s="92" t="s">
        <v>1037</v>
      </c>
      <c r="D525" s="92">
        <v>5</v>
      </c>
      <c r="E525" s="92" t="s">
        <v>200</v>
      </c>
      <c r="F525" s="92">
        <v>26</v>
      </c>
      <c r="G525" s="92" t="s">
        <v>349</v>
      </c>
      <c r="H525" s="92"/>
      <c r="I525" s="92">
        <v>0</v>
      </c>
      <c r="J525" s="92">
        <v>241934122</v>
      </c>
      <c r="K525" s="92" t="s">
        <v>1061</v>
      </c>
      <c r="L525" s="92">
        <v>0</v>
      </c>
      <c r="M525" s="92">
        <v>4434</v>
      </c>
      <c r="N525" s="92">
        <v>852</v>
      </c>
      <c r="O525" s="92">
        <v>852</v>
      </c>
      <c r="P525" s="92">
        <v>0</v>
      </c>
      <c r="Q525" s="92">
        <v>0</v>
      </c>
      <c r="R525" s="92">
        <v>0</v>
      </c>
      <c r="S525" s="92">
        <v>0</v>
      </c>
      <c r="T525" s="92">
        <v>0</v>
      </c>
      <c r="U525" s="92">
        <v>143</v>
      </c>
      <c r="V525" s="92">
        <v>0</v>
      </c>
      <c r="W525" s="92">
        <v>0</v>
      </c>
      <c r="X525" s="92">
        <v>0</v>
      </c>
      <c r="Y525" s="92">
        <v>0</v>
      </c>
      <c r="Z525" s="92">
        <v>0</v>
      </c>
      <c r="AA525" s="92">
        <v>0</v>
      </c>
      <c r="AB525" s="92">
        <v>490255</v>
      </c>
      <c r="AC525" s="92">
        <v>516458</v>
      </c>
      <c r="AD525" s="92">
        <v>516315</v>
      </c>
      <c r="AE525" s="92">
        <v>0</v>
      </c>
      <c r="AF525" s="92">
        <v>5856</v>
      </c>
      <c r="AG525" s="92">
        <v>0</v>
      </c>
      <c r="AI525">
        <v>2.1398700000000001E-4</v>
      </c>
    </row>
    <row r="526" spans="1:35" x14ac:dyDescent="0.25">
      <c r="A526" t="str">
        <f t="shared" si="11"/>
        <v>24-9-28</v>
      </c>
      <c r="B526">
        <v>24</v>
      </c>
      <c r="C526" s="92" t="s">
        <v>1037</v>
      </c>
      <c r="D526" s="92">
        <v>9</v>
      </c>
      <c r="E526" s="92" t="s">
        <v>588</v>
      </c>
      <c r="F526" s="92">
        <v>28</v>
      </c>
      <c r="G526" s="92" t="s">
        <v>857</v>
      </c>
      <c r="H526" s="92"/>
      <c r="I526" s="92">
        <v>336</v>
      </c>
      <c r="J526" s="92">
        <v>2614120</v>
      </c>
      <c r="K526" s="92" t="s">
        <v>1061</v>
      </c>
      <c r="L526" s="92">
        <v>5581</v>
      </c>
      <c r="M526" s="92">
        <v>1144</v>
      </c>
      <c r="N526" s="92">
        <v>953</v>
      </c>
      <c r="O526" s="92">
        <v>953</v>
      </c>
      <c r="P526" s="92">
        <v>0</v>
      </c>
      <c r="Q526" s="92">
        <v>0</v>
      </c>
      <c r="R526" s="92">
        <v>0</v>
      </c>
      <c r="S526" s="92">
        <v>0</v>
      </c>
      <c r="T526" s="92">
        <v>0</v>
      </c>
      <c r="U526" s="92">
        <v>659</v>
      </c>
      <c r="V526" s="92">
        <v>0</v>
      </c>
      <c r="W526" s="92">
        <v>0</v>
      </c>
      <c r="X526" s="92">
        <v>0</v>
      </c>
      <c r="Y526" s="92">
        <v>0</v>
      </c>
      <c r="Z526" s="92">
        <v>0</v>
      </c>
      <c r="AA526" s="92">
        <v>0</v>
      </c>
      <c r="AB526" s="92">
        <v>803987</v>
      </c>
      <c r="AC526" s="92">
        <v>834783</v>
      </c>
      <c r="AD526" s="92">
        <v>867847</v>
      </c>
      <c r="AE526" s="92">
        <v>0</v>
      </c>
      <c r="AF526" s="92">
        <v>0</v>
      </c>
      <c r="AG526" s="92">
        <v>0</v>
      </c>
      <c r="AI526" s="250">
        <v>1.01925E-3</v>
      </c>
    </row>
    <row r="527" spans="1:35" x14ac:dyDescent="0.25">
      <c r="A527" t="str">
        <f t="shared" si="11"/>
        <v>24-11-23</v>
      </c>
      <c r="B527">
        <v>24</v>
      </c>
      <c r="C527" s="92" t="s">
        <v>1037</v>
      </c>
      <c r="D527" s="92">
        <v>11</v>
      </c>
      <c r="E527" s="92" t="s">
        <v>1062</v>
      </c>
      <c r="F527" s="92">
        <v>23</v>
      </c>
      <c r="G527" s="92" t="s">
        <v>354</v>
      </c>
      <c r="H527" s="92"/>
      <c r="I527" s="92">
        <v>418</v>
      </c>
      <c r="J527" s="92">
        <v>76660645</v>
      </c>
      <c r="K527" s="92" t="s">
        <v>1061</v>
      </c>
      <c r="L527" s="92">
        <v>10624</v>
      </c>
      <c r="M527" s="92">
        <v>4506</v>
      </c>
      <c r="N527" s="92">
        <v>1000</v>
      </c>
      <c r="O527" s="92">
        <v>878</v>
      </c>
      <c r="P527" s="92">
        <v>0</v>
      </c>
      <c r="Q527" s="92">
        <v>0</v>
      </c>
      <c r="R527" s="92">
        <v>0</v>
      </c>
      <c r="S527" s="92">
        <v>0</v>
      </c>
      <c r="T527" s="92">
        <v>0</v>
      </c>
      <c r="U527" s="92">
        <v>400</v>
      </c>
      <c r="V527" s="92">
        <v>0</v>
      </c>
      <c r="W527" s="92">
        <v>0</v>
      </c>
      <c r="X527" s="92">
        <v>0</v>
      </c>
      <c r="Y527" s="92">
        <v>0</v>
      </c>
      <c r="Z527" s="92">
        <v>0</v>
      </c>
      <c r="AA527" s="92">
        <v>0</v>
      </c>
      <c r="AB527" s="92">
        <v>531051</v>
      </c>
      <c r="AC527" s="92">
        <v>551541</v>
      </c>
      <c r="AD527" s="92">
        <v>573608</v>
      </c>
      <c r="AE527" s="92">
        <v>0</v>
      </c>
      <c r="AF527" s="92">
        <v>0</v>
      </c>
      <c r="AG527" s="92">
        <v>0</v>
      </c>
    </row>
    <row r="528" spans="1:35" x14ac:dyDescent="0.25">
      <c r="A528" t="str">
        <f t="shared" si="11"/>
        <v>24-14-65</v>
      </c>
      <c r="B528">
        <v>24</v>
      </c>
      <c r="C528" s="92" t="s">
        <v>1037</v>
      </c>
      <c r="D528" s="92">
        <v>14</v>
      </c>
      <c r="E528" s="92" t="s">
        <v>571</v>
      </c>
      <c r="F528" s="92">
        <v>65</v>
      </c>
      <c r="G528" s="92" t="s">
        <v>358</v>
      </c>
      <c r="H528" s="92"/>
      <c r="I528" s="92">
        <v>0</v>
      </c>
      <c r="J528" s="92">
        <v>77568936</v>
      </c>
      <c r="K528" s="92" t="s">
        <v>1061</v>
      </c>
      <c r="L528" s="92">
        <v>0</v>
      </c>
      <c r="M528" s="92">
        <v>0</v>
      </c>
      <c r="N528" s="92">
        <v>656</v>
      </c>
      <c r="O528" s="92">
        <v>656</v>
      </c>
      <c r="P528" s="92">
        <v>0</v>
      </c>
      <c r="Q528" s="92">
        <v>0</v>
      </c>
      <c r="R528" s="92">
        <v>0</v>
      </c>
      <c r="S528" s="92">
        <v>0</v>
      </c>
      <c r="T528" s="92">
        <v>0</v>
      </c>
      <c r="U528" s="92">
        <v>232</v>
      </c>
      <c r="V528" s="92">
        <v>0</v>
      </c>
      <c r="W528" s="92">
        <v>0</v>
      </c>
      <c r="X528" s="92">
        <v>0</v>
      </c>
      <c r="Y528" s="92">
        <v>0</v>
      </c>
      <c r="Z528" s="92">
        <v>0</v>
      </c>
      <c r="AA528" s="92">
        <v>0</v>
      </c>
      <c r="AB528" s="92">
        <v>349430</v>
      </c>
      <c r="AC528" s="92">
        <v>362522</v>
      </c>
      <c r="AD528" s="92">
        <v>376561</v>
      </c>
      <c r="AE528" s="92">
        <v>0</v>
      </c>
      <c r="AF528" s="92">
        <v>0</v>
      </c>
      <c r="AG528" s="92">
        <v>0</v>
      </c>
      <c r="AI528" s="250">
        <v>4.0647300000000002E-4</v>
      </c>
    </row>
    <row r="529" spans="1:35" x14ac:dyDescent="0.25">
      <c r="A529" t="str">
        <f t="shared" si="11"/>
        <v>24-17-20</v>
      </c>
      <c r="B529">
        <v>24</v>
      </c>
      <c r="C529" s="92" t="s">
        <v>1037</v>
      </c>
      <c r="D529" s="92">
        <v>17</v>
      </c>
      <c r="E529" s="92" t="s">
        <v>593</v>
      </c>
      <c r="F529" s="92">
        <v>20</v>
      </c>
      <c r="G529" s="92" t="s">
        <v>359</v>
      </c>
      <c r="H529" s="92"/>
      <c r="I529" s="92">
        <v>76</v>
      </c>
      <c r="J529" s="92">
        <v>96379381</v>
      </c>
      <c r="K529" s="92" t="s">
        <v>1061</v>
      </c>
      <c r="L529" s="92">
        <v>4090</v>
      </c>
      <c r="M529" s="92">
        <v>2356</v>
      </c>
      <c r="N529" s="92">
        <v>437</v>
      </c>
      <c r="O529" s="92">
        <v>437</v>
      </c>
      <c r="P529" s="92">
        <v>0</v>
      </c>
      <c r="Q529" s="92">
        <v>0</v>
      </c>
      <c r="R529" s="92">
        <v>0</v>
      </c>
      <c r="S529" s="92">
        <v>0</v>
      </c>
      <c r="T529" s="92">
        <v>0</v>
      </c>
      <c r="U529" s="92">
        <v>152</v>
      </c>
      <c r="V529" s="92">
        <v>0</v>
      </c>
      <c r="W529" s="92">
        <v>0</v>
      </c>
      <c r="X529" s="92">
        <v>0</v>
      </c>
      <c r="Y529" s="92">
        <v>0</v>
      </c>
      <c r="Z529" s="92">
        <v>0</v>
      </c>
      <c r="AA529" s="92">
        <v>0</v>
      </c>
      <c r="AB529" s="92">
        <v>209029</v>
      </c>
      <c r="AC529" s="92">
        <v>217069</v>
      </c>
      <c r="AD529" s="92">
        <v>225673</v>
      </c>
      <c r="AE529" s="92">
        <v>0</v>
      </c>
      <c r="AF529" s="92">
        <v>0</v>
      </c>
      <c r="AG529" s="92">
        <v>0</v>
      </c>
    </row>
    <row r="530" spans="1:35" x14ac:dyDescent="0.25">
      <c r="A530" t="str">
        <f t="shared" si="11"/>
        <v>24-4-84</v>
      </c>
      <c r="B530">
        <v>24</v>
      </c>
      <c r="C530" s="92" t="s">
        <v>1037</v>
      </c>
      <c r="D530" s="92">
        <v>4</v>
      </c>
      <c r="E530" s="92" t="s">
        <v>66</v>
      </c>
      <c r="F530" s="92">
        <v>84</v>
      </c>
      <c r="G530" s="92" t="s">
        <v>852</v>
      </c>
      <c r="H530" s="92"/>
      <c r="I530" s="92">
        <v>0</v>
      </c>
      <c r="J530" s="92">
        <v>96443998</v>
      </c>
      <c r="K530" s="92">
        <v>1</v>
      </c>
      <c r="L530" s="92">
        <v>21116</v>
      </c>
      <c r="M530" s="92">
        <v>24728</v>
      </c>
      <c r="N530" s="92">
        <v>3483</v>
      </c>
      <c r="O530" s="92">
        <v>3483</v>
      </c>
      <c r="P530" s="92">
        <v>0</v>
      </c>
      <c r="Q530" s="92">
        <v>0</v>
      </c>
      <c r="R530" s="92">
        <v>0</v>
      </c>
      <c r="S530" s="92">
        <v>0</v>
      </c>
      <c r="T530" s="92">
        <v>0</v>
      </c>
      <c r="U530" s="92">
        <v>1034</v>
      </c>
      <c r="V530" s="92">
        <v>0</v>
      </c>
      <c r="W530" s="92">
        <v>0</v>
      </c>
      <c r="X530" s="92">
        <v>0</v>
      </c>
      <c r="Y530" s="92">
        <v>0</v>
      </c>
      <c r="Z530" s="92">
        <v>0</v>
      </c>
      <c r="AA530" s="92">
        <v>0</v>
      </c>
      <c r="AB530" s="92">
        <v>49350</v>
      </c>
      <c r="AC530" s="92">
        <v>51179</v>
      </c>
      <c r="AD530" s="92">
        <v>53175</v>
      </c>
      <c r="AE530" s="92">
        <v>0</v>
      </c>
      <c r="AF530" s="92">
        <v>0</v>
      </c>
      <c r="AG530" s="92">
        <v>0</v>
      </c>
    </row>
    <row r="531" spans="1:35" x14ac:dyDescent="0.25">
      <c r="A531" t="str">
        <f t="shared" si="11"/>
        <v>32-4-84</v>
      </c>
      <c r="B531">
        <v>32</v>
      </c>
      <c r="C531" s="92" t="s">
        <v>1045</v>
      </c>
      <c r="D531" s="92">
        <v>4</v>
      </c>
      <c r="E531" s="92" t="s">
        <v>66</v>
      </c>
      <c r="F531" s="92">
        <v>84</v>
      </c>
      <c r="G531" s="92" t="s">
        <v>852</v>
      </c>
      <c r="H531" s="92"/>
      <c r="I531" s="92">
        <v>0</v>
      </c>
      <c r="J531" s="92">
        <v>5217620</v>
      </c>
      <c r="K531" s="92">
        <v>1</v>
      </c>
      <c r="L531" s="92">
        <v>21116</v>
      </c>
      <c r="M531" s="92">
        <v>24728</v>
      </c>
      <c r="N531" s="92">
        <v>3483</v>
      </c>
      <c r="O531" s="92">
        <v>3483</v>
      </c>
      <c r="P531" s="92">
        <v>0</v>
      </c>
      <c r="Q531" s="92">
        <v>0</v>
      </c>
      <c r="R531" s="92">
        <v>0</v>
      </c>
      <c r="S531" s="92">
        <v>0</v>
      </c>
      <c r="T531" s="92">
        <v>0</v>
      </c>
      <c r="U531" s="92">
        <v>1034</v>
      </c>
      <c r="V531" s="92">
        <v>0</v>
      </c>
      <c r="W531" s="92">
        <v>0</v>
      </c>
      <c r="X531" s="92">
        <v>0</v>
      </c>
      <c r="Y531" s="92">
        <v>0</v>
      </c>
      <c r="Z531" s="92">
        <v>0</v>
      </c>
      <c r="AA531" s="92">
        <v>0</v>
      </c>
      <c r="AB531" s="92">
        <v>49350</v>
      </c>
      <c r="AC531" s="92">
        <v>51179</v>
      </c>
      <c r="AD531" s="92">
        <v>53175</v>
      </c>
      <c r="AE531" s="92">
        <v>0</v>
      </c>
      <c r="AF531" s="92">
        <v>0</v>
      </c>
      <c r="AG531" s="92">
        <v>0</v>
      </c>
    </row>
    <row r="532" spans="1:35" x14ac:dyDescent="0.25">
      <c r="A532" t="str">
        <f t="shared" si="11"/>
        <v>16-10-18</v>
      </c>
      <c r="B532">
        <v>16</v>
      </c>
      <c r="C532" s="92" t="s">
        <v>1029</v>
      </c>
      <c r="D532" s="92">
        <v>10</v>
      </c>
      <c r="E532" s="92" t="s">
        <v>589</v>
      </c>
      <c r="F532" s="92">
        <v>18</v>
      </c>
      <c r="G532" s="92" t="s">
        <v>276</v>
      </c>
      <c r="H532" s="92"/>
      <c r="I532" s="92">
        <v>1964</v>
      </c>
      <c r="J532" s="92">
        <v>0</v>
      </c>
      <c r="K532" s="92" t="s">
        <v>1061</v>
      </c>
      <c r="L532" s="92">
        <v>0</v>
      </c>
      <c r="M532" s="92">
        <v>0</v>
      </c>
      <c r="N532" s="92">
        <v>0</v>
      </c>
      <c r="O532" s="92">
        <v>0</v>
      </c>
      <c r="P532" s="92">
        <v>0</v>
      </c>
      <c r="Q532" s="92">
        <v>0</v>
      </c>
      <c r="R532" s="92">
        <v>0</v>
      </c>
      <c r="S532" s="92">
        <v>0</v>
      </c>
      <c r="T532" s="92">
        <v>0</v>
      </c>
      <c r="U532" s="92">
        <v>0</v>
      </c>
      <c r="V532" s="92">
        <v>0</v>
      </c>
      <c r="W532" s="92">
        <v>0</v>
      </c>
      <c r="X532" s="92">
        <v>0</v>
      </c>
      <c r="Y532" s="92">
        <v>0</v>
      </c>
      <c r="Z532" s="92">
        <v>0</v>
      </c>
      <c r="AA532" s="92">
        <v>0</v>
      </c>
      <c r="AB532" s="92">
        <v>78934</v>
      </c>
      <c r="AC532" s="92">
        <v>82654</v>
      </c>
      <c r="AD532" s="92">
        <v>86820</v>
      </c>
      <c r="AE532" s="92">
        <v>0</v>
      </c>
      <c r="AF532" s="92">
        <v>0</v>
      </c>
      <c r="AG532" s="92">
        <v>0</v>
      </c>
    </row>
    <row r="533" spans="1:35" x14ac:dyDescent="0.25">
      <c r="A533" t="str">
        <f t="shared" ref="A533:A597" si="12">B533&amp;"-"&amp;D533&amp;"-"&amp;F533</f>
        <v>15-7-53</v>
      </c>
      <c r="B533">
        <v>15</v>
      </c>
      <c r="C533" s="92" t="s">
        <v>1028</v>
      </c>
      <c r="D533" s="92">
        <v>7</v>
      </c>
      <c r="E533" s="92" t="s">
        <v>586</v>
      </c>
      <c r="F533" s="92">
        <v>53</v>
      </c>
      <c r="G533" s="92" t="s">
        <v>258</v>
      </c>
      <c r="H533" s="92"/>
      <c r="I533" s="92">
        <v>0</v>
      </c>
      <c r="J533" s="92">
        <v>12939061</v>
      </c>
      <c r="K533" s="92" t="s">
        <v>1061</v>
      </c>
      <c r="L533" s="92">
        <v>1135</v>
      </c>
      <c r="M533" s="92">
        <v>229</v>
      </c>
      <c r="N533" s="92">
        <v>64</v>
      </c>
      <c r="O533" s="92">
        <v>64</v>
      </c>
      <c r="P533" s="92">
        <v>0</v>
      </c>
      <c r="Q533" s="92">
        <v>0</v>
      </c>
      <c r="R533" s="92">
        <v>0</v>
      </c>
      <c r="S533" s="92">
        <v>0</v>
      </c>
      <c r="T533" s="92">
        <v>0</v>
      </c>
      <c r="U533" s="92">
        <v>0</v>
      </c>
      <c r="V533" s="92">
        <v>0</v>
      </c>
      <c r="W533" s="92">
        <v>0</v>
      </c>
      <c r="X533" s="92">
        <v>0</v>
      </c>
      <c r="Y533" s="92">
        <v>0</v>
      </c>
      <c r="Z533" s="92">
        <v>0</v>
      </c>
      <c r="AA533" s="92">
        <v>0</v>
      </c>
      <c r="AB533" s="92">
        <v>24749</v>
      </c>
      <c r="AC533" s="92">
        <v>24749</v>
      </c>
      <c r="AD533" s="92">
        <v>25828</v>
      </c>
      <c r="AE533" s="92">
        <v>0</v>
      </c>
      <c r="AF533" s="92">
        <v>0</v>
      </c>
      <c r="AG533" s="92">
        <v>0</v>
      </c>
    </row>
    <row r="534" spans="1:35" x14ac:dyDescent="0.25">
      <c r="A534" t="str">
        <f t="shared" si="12"/>
        <v>15-14-17</v>
      </c>
      <c r="B534">
        <v>15</v>
      </c>
      <c r="C534" s="92" t="s">
        <v>1028</v>
      </c>
      <c r="D534" s="92">
        <v>14</v>
      </c>
      <c r="E534" s="92" t="s">
        <v>571</v>
      </c>
      <c r="F534" s="92">
        <v>17</v>
      </c>
      <c r="G534" s="92" t="s">
        <v>263</v>
      </c>
      <c r="H534" s="92"/>
      <c r="I534" s="92">
        <v>417</v>
      </c>
      <c r="J534" s="92">
        <v>33894306</v>
      </c>
      <c r="K534" s="92" t="s">
        <v>1061</v>
      </c>
      <c r="L534" s="92">
        <v>3050</v>
      </c>
      <c r="M534" s="92">
        <v>354</v>
      </c>
      <c r="N534" s="92">
        <v>163</v>
      </c>
      <c r="O534" s="92">
        <v>163</v>
      </c>
      <c r="P534" s="92">
        <v>0</v>
      </c>
      <c r="Q534" s="92">
        <v>0</v>
      </c>
      <c r="R534" s="92">
        <v>0</v>
      </c>
      <c r="S534" s="92">
        <v>0</v>
      </c>
      <c r="T534" s="92">
        <v>0</v>
      </c>
      <c r="U534" s="92">
        <v>0</v>
      </c>
      <c r="V534" s="92">
        <v>0</v>
      </c>
      <c r="W534" s="92">
        <v>0</v>
      </c>
      <c r="X534" s="92">
        <v>0</v>
      </c>
      <c r="Y534" s="92">
        <v>0</v>
      </c>
      <c r="Z534" s="92">
        <v>0</v>
      </c>
      <c r="AA534" s="92">
        <v>0</v>
      </c>
      <c r="AB534" s="92">
        <v>93487</v>
      </c>
      <c r="AC534" s="92">
        <v>98996</v>
      </c>
      <c r="AD534" s="92">
        <v>98996</v>
      </c>
      <c r="AE534" s="92">
        <v>0</v>
      </c>
      <c r="AF534" s="92">
        <v>0</v>
      </c>
      <c r="AG534" s="92">
        <v>0</v>
      </c>
      <c r="AI534" s="250">
        <v>3.3288600000000001E-4</v>
      </c>
    </row>
    <row r="535" spans="1:35" x14ac:dyDescent="0.25">
      <c r="A535" t="str">
        <f t="shared" si="12"/>
        <v>3-4-50</v>
      </c>
      <c r="B535">
        <v>3</v>
      </c>
      <c r="C535" s="92" t="s">
        <v>1018</v>
      </c>
      <c r="D535" s="92">
        <v>4</v>
      </c>
      <c r="E535" s="92" t="s">
        <v>66</v>
      </c>
      <c r="F535" s="92">
        <v>50</v>
      </c>
      <c r="G535" s="92" t="s">
        <v>640</v>
      </c>
      <c r="H535" s="92"/>
      <c r="I535" s="92">
        <v>0</v>
      </c>
      <c r="J535" s="92">
        <v>0</v>
      </c>
      <c r="K535" s="92">
        <v>1</v>
      </c>
      <c r="L535" s="92">
        <v>10294</v>
      </c>
      <c r="M535" s="92">
        <v>2895</v>
      </c>
      <c r="N535" s="92">
        <v>2043</v>
      </c>
      <c r="O535" s="92">
        <v>2043</v>
      </c>
      <c r="P535" s="92">
        <v>0</v>
      </c>
      <c r="Q535" s="92">
        <v>0</v>
      </c>
      <c r="R535" s="92">
        <v>0</v>
      </c>
      <c r="S535" s="92">
        <v>0</v>
      </c>
      <c r="T535" s="92">
        <v>0</v>
      </c>
      <c r="U535" s="92">
        <v>0</v>
      </c>
      <c r="V535" s="92">
        <v>0</v>
      </c>
      <c r="W535" s="92">
        <v>0</v>
      </c>
      <c r="X535" s="92">
        <v>0</v>
      </c>
      <c r="Y535" s="92">
        <v>0</v>
      </c>
      <c r="Z535" s="92">
        <v>0</v>
      </c>
      <c r="AA535" s="92">
        <v>0</v>
      </c>
      <c r="AB535" s="92">
        <v>30598</v>
      </c>
      <c r="AC535" s="92">
        <v>30750</v>
      </c>
      <c r="AD535" s="92">
        <v>15687</v>
      </c>
      <c r="AE535" s="92">
        <v>0</v>
      </c>
      <c r="AF535" s="92">
        <v>0</v>
      </c>
      <c r="AG535" s="92">
        <v>0</v>
      </c>
    </row>
    <row r="536" spans="1:35" x14ac:dyDescent="0.25">
      <c r="A536" t="str">
        <f t="shared" si="12"/>
        <v>15-4-50</v>
      </c>
      <c r="B536">
        <v>15</v>
      </c>
      <c r="C536" s="92" t="s">
        <v>1028</v>
      </c>
      <c r="D536" s="92">
        <v>4</v>
      </c>
      <c r="E536" s="92" t="s">
        <v>66</v>
      </c>
      <c r="F536" s="92">
        <v>50</v>
      </c>
      <c r="G536" s="92" t="s">
        <v>640</v>
      </c>
      <c r="H536" s="92"/>
      <c r="I536" s="92">
        <v>0</v>
      </c>
      <c r="J536" s="92">
        <v>38647665</v>
      </c>
      <c r="K536" s="92">
        <v>1</v>
      </c>
      <c r="L536" s="92">
        <v>10294</v>
      </c>
      <c r="M536" s="92">
        <v>2895</v>
      </c>
      <c r="N536" s="92">
        <v>2043</v>
      </c>
      <c r="O536" s="92">
        <v>2043</v>
      </c>
      <c r="P536" s="92">
        <v>0</v>
      </c>
      <c r="Q536" s="92">
        <v>0</v>
      </c>
      <c r="R536" s="92">
        <v>0</v>
      </c>
      <c r="S536" s="92">
        <v>0</v>
      </c>
      <c r="T536" s="92">
        <v>0</v>
      </c>
      <c r="U536" s="92">
        <v>0</v>
      </c>
      <c r="V536" s="92">
        <v>0</v>
      </c>
      <c r="W536" s="92">
        <v>0</v>
      </c>
      <c r="X536" s="92">
        <v>0</v>
      </c>
      <c r="Y536" s="92">
        <v>0</v>
      </c>
      <c r="Z536" s="92">
        <v>0</v>
      </c>
      <c r="AA536" s="92">
        <v>0</v>
      </c>
      <c r="AB536" s="92">
        <v>30598</v>
      </c>
      <c r="AC536" s="92">
        <v>30750</v>
      </c>
      <c r="AD536" s="92">
        <v>15687</v>
      </c>
      <c r="AE536" s="92">
        <v>0</v>
      </c>
      <c r="AF536" s="92">
        <v>0</v>
      </c>
      <c r="AG536" s="92">
        <v>0</v>
      </c>
    </row>
    <row r="537" spans="1:35" x14ac:dyDescent="0.25">
      <c r="A537" t="str">
        <f t="shared" si="12"/>
        <v>21-4-50</v>
      </c>
      <c r="B537">
        <v>21</v>
      </c>
      <c r="C537" s="92" t="s">
        <v>1034</v>
      </c>
      <c r="D537" s="92">
        <v>4</v>
      </c>
      <c r="E537" s="92" t="s">
        <v>66</v>
      </c>
      <c r="F537" s="92">
        <v>50</v>
      </c>
      <c r="G537" s="92" t="s">
        <v>640</v>
      </c>
      <c r="H537" s="92"/>
      <c r="I537" s="92">
        <v>0</v>
      </c>
      <c r="J537" s="92">
        <v>9046002</v>
      </c>
      <c r="K537" s="92">
        <v>1</v>
      </c>
      <c r="L537" s="92">
        <v>10294</v>
      </c>
      <c r="M537" s="92">
        <v>2895</v>
      </c>
      <c r="N537" s="92">
        <v>2043</v>
      </c>
      <c r="O537" s="92">
        <v>2043</v>
      </c>
      <c r="P537" s="92">
        <v>0</v>
      </c>
      <c r="Q537" s="92">
        <v>0</v>
      </c>
      <c r="R537" s="92">
        <v>0</v>
      </c>
      <c r="S537" s="92">
        <v>0</v>
      </c>
      <c r="T537" s="92">
        <v>0</v>
      </c>
      <c r="U537" s="92">
        <v>0</v>
      </c>
      <c r="V537" s="92">
        <v>0</v>
      </c>
      <c r="W537" s="92">
        <v>0</v>
      </c>
      <c r="X537" s="92">
        <v>0</v>
      </c>
      <c r="Y537" s="92">
        <v>0</v>
      </c>
      <c r="Z537" s="92">
        <v>0</v>
      </c>
      <c r="AA537" s="92">
        <v>0</v>
      </c>
      <c r="AB537" s="92">
        <v>30598</v>
      </c>
      <c r="AC537" s="92">
        <v>30750</v>
      </c>
      <c r="AD537" s="92">
        <v>15687</v>
      </c>
      <c r="AE537" s="92">
        <v>0</v>
      </c>
      <c r="AF537" s="92">
        <v>0</v>
      </c>
      <c r="AG537" s="92">
        <v>0</v>
      </c>
    </row>
    <row r="538" spans="1:35" x14ac:dyDescent="0.25">
      <c r="A538" t="str">
        <f t="shared" si="12"/>
        <v>20-9-29</v>
      </c>
      <c r="B538">
        <v>20</v>
      </c>
      <c r="C538" s="92" t="s">
        <v>1033</v>
      </c>
      <c r="D538" s="92">
        <v>9</v>
      </c>
      <c r="E538" s="92" t="s">
        <v>588</v>
      </c>
      <c r="F538" s="92">
        <v>29</v>
      </c>
      <c r="G538" s="92" t="s">
        <v>825</v>
      </c>
      <c r="H538" s="92"/>
      <c r="I538" s="92">
        <v>0</v>
      </c>
      <c r="J538" s="92">
        <v>0</v>
      </c>
      <c r="K538" s="92">
        <v>1</v>
      </c>
      <c r="L538" s="92">
        <v>4373</v>
      </c>
      <c r="M538" s="92">
        <v>1345</v>
      </c>
      <c r="N538" s="92">
        <v>117</v>
      </c>
      <c r="O538" s="92">
        <v>117</v>
      </c>
      <c r="P538" s="92">
        <v>41927</v>
      </c>
      <c r="Q538" s="92">
        <v>129150</v>
      </c>
      <c r="R538" s="92">
        <v>75624</v>
      </c>
      <c r="S538" s="92">
        <v>0</v>
      </c>
      <c r="T538" s="92">
        <v>0</v>
      </c>
      <c r="U538" s="92">
        <v>0</v>
      </c>
      <c r="V538" s="92">
        <v>0</v>
      </c>
      <c r="W538" s="92">
        <v>0</v>
      </c>
      <c r="X538" s="92">
        <v>0</v>
      </c>
      <c r="Y538" s="92">
        <v>0</v>
      </c>
      <c r="Z538" s="92">
        <v>0</v>
      </c>
      <c r="AA538" s="92">
        <v>0</v>
      </c>
      <c r="AB538" s="92">
        <v>249002</v>
      </c>
      <c r="AC538" s="92">
        <v>161779</v>
      </c>
      <c r="AD538" s="92">
        <v>226405</v>
      </c>
      <c r="AE538" s="92">
        <v>0</v>
      </c>
      <c r="AF538" s="92">
        <v>0</v>
      </c>
      <c r="AG538" s="92">
        <v>0</v>
      </c>
      <c r="AI538" s="250">
        <v>1.6337859999999999E-3</v>
      </c>
    </row>
    <row r="539" spans="1:35" x14ac:dyDescent="0.25">
      <c r="A539" t="str">
        <f t="shared" si="12"/>
        <v>37-9-29</v>
      </c>
      <c r="B539">
        <v>37</v>
      </c>
      <c r="C539" s="92" t="s">
        <v>1049</v>
      </c>
      <c r="D539" s="92">
        <v>9</v>
      </c>
      <c r="E539" s="92" t="s">
        <v>588</v>
      </c>
      <c r="F539" s="92">
        <v>29</v>
      </c>
      <c r="G539" s="92" t="s">
        <v>825</v>
      </c>
      <c r="H539" s="92"/>
      <c r="I539" s="92">
        <v>0</v>
      </c>
      <c r="J539" s="92">
        <v>0</v>
      </c>
      <c r="K539" s="92">
        <v>1</v>
      </c>
      <c r="L539" s="92">
        <v>4373</v>
      </c>
      <c r="M539" s="92">
        <v>1345</v>
      </c>
      <c r="N539" s="92">
        <v>117</v>
      </c>
      <c r="O539" s="92">
        <v>117</v>
      </c>
      <c r="P539" s="92">
        <v>41927</v>
      </c>
      <c r="Q539" s="92">
        <v>129150</v>
      </c>
      <c r="R539" s="92">
        <v>75624</v>
      </c>
      <c r="S539" s="92">
        <v>0</v>
      </c>
      <c r="T539" s="92">
        <v>0</v>
      </c>
      <c r="U539" s="92">
        <v>0</v>
      </c>
      <c r="V539" s="92">
        <v>0</v>
      </c>
      <c r="W539" s="92">
        <v>0</v>
      </c>
      <c r="X539" s="92">
        <v>0</v>
      </c>
      <c r="Y539" s="92">
        <v>0</v>
      </c>
      <c r="Z539" s="92">
        <v>0</v>
      </c>
      <c r="AA539" s="92">
        <v>0</v>
      </c>
      <c r="AB539" s="92">
        <v>249002</v>
      </c>
      <c r="AC539" s="92">
        <v>161779</v>
      </c>
      <c r="AD539" s="92">
        <v>226405</v>
      </c>
      <c r="AE539" s="92">
        <v>0</v>
      </c>
      <c r="AF539" s="92">
        <v>0</v>
      </c>
      <c r="AG539" s="92">
        <v>0</v>
      </c>
      <c r="AI539" s="250">
        <v>1.6337859999999999E-3</v>
      </c>
    </row>
    <row r="540" spans="1:35" x14ac:dyDescent="0.25">
      <c r="A540" t="str">
        <f t="shared" si="12"/>
        <v>18-9-149</v>
      </c>
      <c r="B540">
        <v>18</v>
      </c>
      <c r="C540" s="92" t="s">
        <v>1031</v>
      </c>
      <c r="D540" s="92">
        <v>9</v>
      </c>
      <c r="E540" s="92" t="s">
        <v>588</v>
      </c>
      <c r="F540" s="92">
        <v>149</v>
      </c>
      <c r="G540" s="92" t="s">
        <v>797</v>
      </c>
      <c r="H540" s="92"/>
      <c r="I540" s="92">
        <v>1410</v>
      </c>
      <c r="J540" s="92">
        <v>0</v>
      </c>
      <c r="K540" s="92" t="s">
        <v>1061</v>
      </c>
      <c r="L540" s="92">
        <v>0</v>
      </c>
      <c r="M540" s="92">
        <v>0</v>
      </c>
      <c r="N540" s="92">
        <v>0</v>
      </c>
      <c r="O540" s="92">
        <v>0</v>
      </c>
      <c r="P540" s="92">
        <v>0</v>
      </c>
      <c r="Q540" s="92">
        <v>0</v>
      </c>
      <c r="R540" s="92">
        <v>0</v>
      </c>
      <c r="S540" s="92">
        <v>0</v>
      </c>
      <c r="T540" s="92">
        <v>0</v>
      </c>
      <c r="U540" s="92">
        <v>0</v>
      </c>
      <c r="V540" s="92">
        <v>0</v>
      </c>
      <c r="W540" s="92">
        <v>0</v>
      </c>
      <c r="X540" s="92">
        <v>0</v>
      </c>
      <c r="Y540" s="92">
        <v>0</v>
      </c>
      <c r="Z540" s="92">
        <v>0</v>
      </c>
      <c r="AA540" s="92">
        <v>0</v>
      </c>
      <c r="AB540" s="92">
        <v>9258</v>
      </c>
      <c r="AC540" s="92">
        <v>9269</v>
      </c>
      <c r="AD540" s="92">
        <v>9774</v>
      </c>
      <c r="AE540" s="92">
        <v>0</v>
      </c>
      <c r="AF540" s="92">
        <v>0</v>
      </c>
      <c r="AG540" s="92">
        <v>0</v>
      </c>
      <c r="AI540" s="250">
        <v>6.6254200000000001E-4</v>
      </c>
    </row>
    <row r="541" spans="1:35" x14ac:dyDescent="0.25">
      <c r="A541" t="str">
        <f t="shared" si="12"/>
        <v>25-7-54</v>
      </c>
      <c r="B541">
        <v>25</v>
      </c>
      <c r="C541" s="92" t="s">
        <v>1038</v>
      </c>
      <c r="D541" s="92">
        <v>7</v>
      </c>
      <c r="E541" s="92" t="s">
        <v>586</v>
      </c>
      <c r="F541" s="92">
        <v>54</v>
      </c>
      <c r="G541" s="92" t="s">
        <v>371</v>
      </c>
      <c r="H541" s="92"/>
      <c r="I541" s="92">
        <v>41121</v>
      </c>
      <c r="J541" s="92">
        <v>11923702</v>
      </c>
      <c r="K541" s="92" t="s">
        <v>1061</v>
      </c>
      <c r="L541" s="92">
        <v>2019</v>
      </c>
      <c r="M541" s="92">
        <v>2570</v>
      </c>
      <c r="N541" s="92">
        <v>427</v>
      </c>
      <c r="O541" s="92">
        <v>427</v>
      </c>
      <c r="P541" s="92">
        <v>0</v>
      </c>
      <c r="Q541" s="92">
        <v>0</v>
      </c>
      <c r="R541" s="92">
        <v>0</v>
      </c>
      <c r="S541" s="92">
        <v>0</v>
      </c>
      <c r="T541" s="92">
        <v>0</v>
      </c>
      <c r="U541" s="92">
        <v>0</v>
      </c>
      <c r="V541" s="92">
        <v>0</v>
      </c>
      <c r="W541" s="92">
        <v>0</v>
      </c>
      <c r="X541" s="92">
        <v>0</v>
      </c>
      <c r="Y541" s="92">
        <v>0</v>
      </c>
      <c r="Z541" s="92">
        <v>0</v>
      </c>
      <c r="AA541" s="92">
        <v>0</v>
      </c>
      <c r="AB541" s="92">
        <v>178649</v>
      </c>
      <c r="AC541" s="92">
        <v>179927</v>
      </c>
      <c r="AD541" s="92">
        <v>138624</v>
      </c>
      <c r="AE541" s="92">
        <v>0</v>
      </c>
      <c r="AF541" s="92">
        <v>0</v>
      </c>
      <c r="AG541" s="92">
        <v>0</v>
      </c>
    </row>
    <row r="542" spans="1:35" x14ac:dyDescent="0.25">
      <c r="A542" t="str">
        <f t="shared" si="12"/>
        <v>25-9-31</v>
      </c>
      <c r="B542">
        <v>25</v>
      </c>
      <c r="C542" s="92" t="s">
        <v>1038</v>
      </c>
      <c r="D542" s="92">
        <v>9</v>
      </c>
      <c r="E542" s="92" t="s">
        <v>588</v>
      </c>
      <c r="F542" s="92">
        <v>31</v>
      </c>
      <c r="G542" s="92" t="s">
        <v>380</v>
      </c>
      <c r="H542" s="92"/>
      <c r="I542" s="92">
        <v>4885</v>
      </c>
      <c r="J542" s="92">
        <v>4838867</v>
      </c>
      <c r="K542" s="92" t="s">
        <v>1061</v>
      </c>
      <c r="L542" s="92">
        <v>444</v>
      </c>
      <c r="M542" s="92">
        <v>517</v>
      </c>
      <c r="N542" s="92">
        <v>162</v>
      </c>
      <c r="O542" s="92">
        <v>162</v>
      </c>
      <c r="P542" s="92">
        <v>0</v>
      </c>
      <c r="Q542" s="92">
        <v>0</v>
      </c>
      <c r="R542" s="92">
        <v>0</v>
      </c>
      <c r="S542" s="92">
        <v>0</v>
      </c>
      <c r="T542" s="92">
        <v>0</v>
      </c>
      <c r="U542" s="92">
        <v>0</v>
      </c>
      <c r="V542" s="92">
        <v>0</v>
      </c>
      <c r="W542" s="92">
        <v>0</v>
      </c>
      <c r="X542" s="92">
        <v>0</v>
      </c>
      <c r="Y542" s="92">
        <v>0</v>
      </c>
      <c r="Z542" s="92">
        <v>0</v>
      </c>
      <c r="AA542" s="92">
        <v>0</v>
      </c>
      <c r="AB542" s="92">
        <v>101137</v>
      </c>
      <c r="AC542" s="92">
        <v>109624</v>
      </c>
      <c r="AD542" s="92">
        <v>109624</v>
      </c>
      <c r="AE542" s="92">
        <v>0</v>
      </c>
      <c r="AF542" s="92">
        <v>3195</v>
      </c>
      <c r="AG542" s="92">
        <v>0</v>
      </c>
      <c r="AI542" s="250">
        <v>3.1814799999999998E-4</v>
      </c>
    </row>
    <row r="543" spans="1:35" x14ac:dyDescent="0.25">
      <c r="A543" t="str">
        <f t="shared" si="12"/>
        <v>25-11-24</v>
      </c>
      <c r="B543">
        <v>25</v>
      </c>
      <c r="C543" s="92" t="s">
        <v>1038</v>
      </c>
      <c r="D543" s="92">
        <v>11</v>
      </c>
      <c r="E543" s="92" t="s">
        <v>1062</v>
      </c>
      <c r="F543" s="92">
        <v>24</v>
      </c>
      <c r="G543" s="92" t="s">
        <v>386</v>
      </c>
      <c r="H543" s="92"/>
      <c r="I543" s="92">
        <v>3283</v>
      </c>
      <c r="J543" s="92">
        <v>8789833</v>
      </c>
      <c r="K543" s="92" t="s">
        <v>1061</v>
      </c>
      <c r="L543" s="92">
        <v>0</v>
      </c>
      <c r="M543" s="92">
        <v>795</v>
      </c>
      <c r="N543" s="92">
        <v>217</v>
      </c>
      <c r="O543" s="92">
        <v>217</v>
      </c>
      <c r="P543" s="92">
        <v>0</v>
      </c>
      <c r="Q543" s="92">
        <v>0</v>
      </c>
      <c r="R543" s="92">
        <v>0</v>
      </c>
      <c r="S543" s="92">
        <v>0</v>
      </c>
      <c r="T543" s="92">
        <v>0</v>
      </c>
      <c r="U543" s="92">
        <v>0</v>
      </c>
      <c r="V543" s="92">
        <v>0</v>
      </c>
      <c r="W543" s="92">
        <v>0</v>
      </c>
      <c r="X543" s="92">
        <v>0</v>
      </c>
      <c r="Y543" s="92">
        <v>0</v>
      </c>
      <c r="Z543" s="92">
        <v>0</v>
      </c>
      <c r="AA543" s="92">
        <v>0</v>
      </c>
      <c r="AB543" s="92">
        <v>70497</v>
      </c>
      <c r="AC543" s="92">
        <v>70497</v>
      </c>
      <c r="AD543" s="92">
        <v>73482</v>
      </c>
      <c r="AE543" s="92">
        <v>0</v>
      </c>
      <c r="AF543" s="92">
        <v>0</v>
      </c>
      <c r="AG543" s="92">
        <v>0</v>
      </c>
    </row>
    <row r="544" spans="1:35" x14ac:dyDescent="0.25">
      <c r="A544" t="str">
        <f t="shared" si="12"/>
        <v>25-4-205</v>
      </c>
      <c r="B544">
        <v>25</v>
      </c>
      <c r="C544" s="92" t="s">
        <v>1038</v>
      </c>
      <c r="D544" s="92">
        <v>4</v>
      </c>
      <c r="E544" s="92" t="s">
        <v>66</v>
      </c>
      <c r="F544" s="92">
        <v>205</v>
      </c>
      <c r="G544" s="92" t="s">
        <v>1390</v>
      </c>
      <c r="H544" s="92"/>
      <c r="I544" s="92">
        <v>0</v>
      </c>
      <c r="J544" s="92">
        <v>14397914</v>
      </c>
      <c r="K544" s="92" t="s">
        <v>1061</v>
      </c>
      <c r="L544" s="92">
        <v>4564</v>
      </c>
      <c r="M544" s="92">
        <v>24268</v>
      </c>
      <c r="N544" s="92">
        <v>31</v>
      </c>
      <c r="O544" s="92">
        <v>31</v>
      </c>
      <c r="P544" s="92">
        <v>0</v>
      </c>
      <c r="Q544" s="92">
        <v>0</v>
      </c>
      <c r="R544" s="92">
        <v>0</v>
      </c>
      <c r="S544" s="92">
        <v>0</v>
      </c>
      <c r="T544" s="92">
        <v>0</v>
      </c>
      <c r="U544" s="92">
        <v>0</v>
      </c>
      <c r="V544" s="92">
        <v>0</v>
      </c>
      <c r="W544" s="92">
        <v>0</v>
      </c>
      <c r="X544" s="92">
        <v>0</v>
      </c>
      <c r="Y544" s="92">
        <v>0</v>
      </c>
      <c r="Z544" s="92">
        <v>0</v>
      </c>
      <c r="AA544" s="92">
        <v>0</v>
      </c>
      <c r="AB544" s="92">
        <v>51226</v>
      </c>
      <c r="AC544" s="92">
        <v>53142</v>
      </c>
      <c r="AD544" s="92">
        <v>55351</v>
      </c>
      <c r="AE544" s="92">
        <v>0</v>
      </c>
      <c r="AF544" s="92">
        <v>0</v>
      </c>
      <c r="AG544" s="92">
        <v>0</v>
      </c>
    </row>
    <row r="545" spans="1:35" x14ac:dyDescent="0.25">
      <c r="A545" t="str">
        <f t="shared" si="12"/>
        <v>9-20-8</v>
      </c>
      <c r="B545">
        <v>9</v>
      </c>
      <c r="C545" s="92" t="s">
        <v>1022</v>
      </c>
      <c r="D545" s="92">
        <v>20</v>
      </c>
      <c r="E545" s="92" t="s">
        <v>153</v>
      </c>
      <c r="F545" s="92">
        <v>8</v>
      </c>
      <c r="G545" s="92" t="s">
        <v>723</v>
      </c>
      <c r="H545" s="92"/>
      <c r="I545" s="92">
        <v>5</v>
      </c>
      <c r="J545" s="92">
        <v>1388</v>
      </c>
      <c r="K545" s="92" t="s">
        <v>1061</v>
      </c>
      <c r="L545" s="92">
        <v>0</v>
      </c>
      <c r="M545" s="92">
        <v>97</v>
      </c>
      <c r="N545" s="92">
        <v>23</v>
      </c>
      <c r="O545" s="92">
        <v>23</v>
      </c>
      <c r="P545" s="92">
        <v>0</v>
      </c>
      <c r="Q545" s="92">
        <v>0</v>
      </c>
      <c r="R545" s="92">
        <v>0</v>
      </c>
      <c r="S545" s="92">
        <v>0</v>
      </c>
      <c r="T545" s="92">
        <v>0</v>
      </c>
      <c r="U545" s="92">
        <v>0</v>
      </c>
      <c r="V545" s="92">
        <v>0</v>
      </c>
      <c r="W545" s="92">
        <v>0</v>
      </c>
      <c r="X545" s="92">
        <v>0</v>
      </c>
      <c r="Y545" s="92">
        <v>0</v>
      </c>
      <c r="Z545" s="92">
        <v>0</v>
      </c>
      <c r="AA545" s="92">
        <v>0</v>
      </c>
      <c r="AB545" s="92">
        <v>32294</v>
      </c>
      <c r="AC545" s="92">
        <v>32294</v>
      </c>
      <c r="AD545" s="92">
        <v>32294</v>
      </c>
      <c r="AE545" s="92">
        <v>0</v>
      </c>
      <c r="AF545" s="92">
        <v>0</v>
      </c>
      <c r="AG545" s="92">
        <v>0</v>
      </c>
    </row>
    <row r="546" spans="1:35" x14ac:dyDescent="0.25">
      <c r="A546" t="str">
        <f t="shared" si="12"/>
        <v>10-9-32</v>
      </c>
      <c r="B546">
        <v>10</v>
      </c>
      <c r="C546" s="92" t="s">
        <v>1023</v>
      </c>
      <c r="D546" s="92">
        <v>9</v>
      </c>
      <c r="E546" s="92" t="s">
        <v>588</v>
      </c>
      <c r="F546" s="92">
        <v>32</v>
      </c>
      <c r="G546" s="92" t="s">
        <v>730</v>
      </c>
      <c r="H546" s="92"/>
      <c r="I546" s="92">
        <v>7209</v>
      </c>
      <c r="J546" s="92">
        <v>0</v>
      </c>
      <c r="K546" s="92" t="s">
        <v>1061</v>
      </c>
      <c r="L546" s="92">
        <v>2408</v>
      </c>
      <c r="M546" s="92">
        <v>975</v>
      </c>
      <c r="N546" s="92">
        <v>245</v>
      </c>
      <c r="O546" s="92">
        <v>245</v>
      </c>
      <c r="P546" s="92">
        <v>0</v>
      </c>
      <c r="Q546" s="92">
        <v>0</v>
      </c>
      <c r="R546" s="92">
        <v>0</v>
      </c>
      <c r="S546" s="92">
        <v>0</v>
      </c>
      <c r="T546" s="92">
        <v>0</v>
      </c>
      <c r="U546" s="92">
        <v>0</v>
      </c>
      <c r="V546" s="92">
        <v>0</v>
      </c>
      <c r="W546" s="92">
        <v>0</v>
      </c>
      <c r="X546" s="92">
        <v>0</v>
      </c>
      <c r="Y546" s="92">
        <v>0</v>
      </c>
      <c r="Z546" s="92">
        <v>0</v>
      </c>
      <c r="AA546" s="92">
        <v>0</v>
      </c>
      <c r="AB546" s="92">
        <v>267163</v>
      </c>
      <c r="AC546" s="92">
        <v>278428</v>
      </c>
      <c r="AD546" s="92">
        <v>297612</v>
      </c>
      <c r="AE546" s="92">
        <v>0</v>
      </c>
      <c r="AF546" s="92">
        <v>0</v>
      </c>
      <c r="AG546" s="92">
        <v>0</v>
      </c>
      <c r="AI546" s="250">
        <v>7.14282E-4</v>
      </c>
    </row>
    <row r="547" spans="1:35" x14ac:dyDescent="0.25">
      <c r="A547" t="str">
        <f t="shared" si="12"/>
        <v>28-20-9</v>
      </c>
      <c r="B547">
        <v>28</v>
      </c>
      <c r="C547" s="92" t="s">
        <v>1041</v>
      </c>
      <c r="D547" s="92">
        <v>20</v>
      </c>
      <c r="E547" s="92" t="s">
        <v>153</v>
      </c>
      <c r="F547" s="92">
        <v>9</v>
      </c>
      <c r="G547" s="92" t="s">
        <v>1151</v>
      </c>
      <c r="H547" s="92"/>
      <c r="I547" s="92">
        <v>0</v>
      </c>
      <c r="J547" s="92">
        <v>1079644</v>
      </c>
      <c r="K547" s="92"/>
      <c r="L547" s="92">
        <v>0</v>
      </c>
      <c r="M547" s="92">
        <v>0</v>
      </c>
      <c r="N547" s="92">
        <v>0</v>
      </c>
      <c r="O547" s="92">
        <v>0</v>
      </c>
      <c r="P547" s="92">
        <v>0</v>
      </c>
      <c r="Q547" s="92">
        <v>0</v>
      </c>
      <c r="R547" s="92">
        <v>0</v>
      </c>
      <c r="S547" s="92">
        <v>0</v>
      </c>
      <c r="T547" s="92">
        <v>0</v>
      </c>
      <c r="U547" s="92">
        <v>0</v>
      </c>
      <c r="V547" s="92">
        <v>0</v>
      </c>
      <c r="W547" s="92">
        <v>0</v>
      </c>
      <c r="X547" s="92">
        <v>0</v>
      </c>
      <c r="Y547" s="92">
        <v>0</v>
      </c>
      <c r="Z547" s="92">
        <v>0</v>
      </c>
      <c r="AA547" s="92">
        <v>0</v>
      </c>
      <c r="AB547" s="92">
        <v>400000</v>
      </c>
      <c r="AC547" s="92">
        <v>400000</v>
      </c>
      <c r="AD547" s="92">
        <v>400000</v>
      </c>
      <c r="AE547" s="92">
        <v>0</v>
      </c>
      <c r="AF547" s="92">
        <v>0</v>
      </c>
      <c r="AG547" s="92">
        <v>0</v>
      </c>
    </row>
    <row r="548" spans="1:35" x14ac:dyDescent="0.25">
      <c r="A548" t="str">
        <f t="shared" si="12"/>
        <v>25-11-25</v>
      </c>
      <c r="B548">
        <v>25</v>
      </c>
      <c r="C548" s="92" t="s">
        <v>1038</v>
      </c>
      <c r="D548" s="92">
        <v>11</v>
      </c>
      <c r="E548" s="92" t="s">
        <v>1062</v>
      </c>
      <c r="F548" s="92">
        <v>25</v>
      </c>
      <c r="G548" s="92" t="s">
        <v>387</v>
      </c>
      <c r="H548" s="92"/>
      <c r="I548" s="92">
        <v>0</v>
      </c>
      <c r="J548" s="92">
        <v>1143861</v>
      </c>
      <c r="K548" s="92" t="s">
        <v>1061</v>
      </c>
      <c r="L548" s="92">
        <v>1113</v>
      </c>
      <c r="M548" s="92">
        <v>60</v>
      </c>
      <c r="N548" s="92">
        <v>2</v>
      </c>
      <c r="O548" s="92">
        <v>2</v>
      </c>
      <c r="P548" s="92">
        <v>0</v>
      </c>
      <c r="Q548" s="92">
        <v>0</v>
      </c>
      <c r="R548" s="92">
        <v>0</v>
      </c>
      <c r="S548" s="92">
        <v>0</v>
      </c>
      <c r="T548" s="92">
        <v>0</v>
      </c>
      <c r="U548" s="92">
        <v>0</v>
      </c>
      <c r="V548" s="92">
        <v>0</v>
      </c>
      <c r="W548" s="92">
        <v>0</v>
      </c>
      <c r="X548" s="92">
        <v>0</v>
      </c>
      <c r="Y548" s="92">
        <v>0</v>
      </c>
      <c r="Z548" s="92">
        <v>0</v>
      </c>
      <c r="AA548" s="92">
        <v>0</v>
      </c>
      <c r="AB548" s="92">
        <v>16632</v>
      </c>
      <c r="AC548" s="92">
        <v>16632</v>
      </c>
      <c r="AD548" s="92">
        <v>16632</v>
      </c>
      <c r="AE548" s="92">
        <v>0</v>
      </c>
      <c r="AF548" s="92">
        <v>0</v>
      </c>
      <c r="AG548" s="92">
        <v>0</v>
      </c>
    </row>
    <row r="549" spans="1:35" x14ac:dyDescent="0.25">
      <c r="A549" t="str">
        <f t="shared" si="12"/>
        <v>14-7-55</v>
      </c>
      <c r="B549">
        <v>14</v>
      </c>
      <c r="C549" s="92" t="s">
        <v>1027</v>
      </c>
      <c r="D549" s="92">
        <v>7</v>
      </c>
      <c r="E549" s="92" t="s">
        <v>586</v>
      </c>
      <c r="F549" s="92">
        <v>55</v>
      </c>
      <c r="G549" s="92" t="s">
        <v>228</v>
      </c>
      <c r="H549" s="92"/>
      <c r="I549" s="92">
        <v>0</v>
      </c>
      <c r="J549" s="92">
        <v>4313427</v>
      </c>
      <c r="K549" s="92" t="s">
        <v>1061</v>
      </c>
      <c r="L549" s="92">
        <v>354</v>
      </c>
      <c r="M549" s="92">
        <v>224</v>
      </c>
      <c r="N549" s="92">
        <v>50</v>
      </c>
      <c r="O549" s="92">
        <v>50</v>
      </c>
      <c r="P549" s="92">
        <v>0</v>
      </c>
      <c r="Q549" s="92">
        <v>0</v>
      </c>
      <c r="R549" s="92">
        <v>0</v>
      </c>
      <c r="S549" s="92">
        <v>0</v>
      </c>
      <c r="T549" s="92">
        <v>0</v>
      </c>
      <c r="U549" s="92">
        <v>0</v>
      </c>
      <c r="V549" s="92">
        <v>0</v>
      </c>
      <c r="W549" s="92">
        <v>0</v>
      </c>
      <c r="X549" s="92">
        <v>0</v>
      </c>
      <c r="Y549" s="92">
        <v>0</v>
      </c>
      <c r="Z549" s="92">
        <v>0</v>
      </c>
      <c r="AA549" s="92">
        <v>0</v>
      </c>
      <c r="AB549" s="92">
        <v>28428</v>
      </c>
      <c r="AC549" s="92">
        <v>28428</v>
      </c>
      <c r="AD549" s="92">
        <v>28428</v>
      </c>
      <c r="AE549" s="92">
        <v>0</v>
      </c>
      <c r="AF549" s="92">
        <v>0</v>
      </c>
      <c r="AG549" s="92">
        <v>0</v>
      </c>
    </row>
    <row r="550" spans="1:35" x14ac:dyDescent="0.25">
      <c r="A550" t="str">
        <f t="shared" si="12"/>
        <v>18-9-168</v>
      </c>
      <c r="B550">
        <v>18</v>
      </c>
      <c r="C550" s="92" t="s">
        <v>1031</v>
      </c>
      <c r="D550" s="92">
        <v>9</v>
      </c>
      <c r="E550" s="92" t="s">
        <v>588</v>
      </c>
      <c r="F550" s="92">
        <v>168</v>
      </c>
      <c r="G550" s="92" t="s">
        <v>801</v>
      </c>
      <c r="H550" s="92"/>
      <c r="I550" s="92">
        <v>2310</v>
      </c>
      <c r="J550" s="92">
        <v>0</v>
      </c>
      <c r="K550" s="92" t="s">
        <v>1061</v>
      </c>
      <c r="L550" s="92">
        <v>0</v>
      </c>
      <c r="M550" s="92">
        <v>0</v>
      </c>
      <c r="N550" s="92">
        <v>0</v>
      </c>
      <c r="O550" s="92">
        <v>0</v>
      </c>
      <c r="P550" s="92">
        <v>0</v>
      </c>
      <c r="Q550" s="92">
        <v>0</v>
      </c>
      <c r="R550" s="92">
        <v>0</v>
      </c>
      <c r="S550" s="92">
        <v>0</v>
      </c>
      <c r="T550" s="92">
        <v>0</v>
      </c>
      <c r="U550" s="92">
        <v>0</v>
      </c>
      <c r="V550" s="92">
        <v>0</v>
      </c>
      <c r="W550" s="92">
        <v>0</v>
      </c>
      <c r="X550" s="92">
        <v>0</v>
      </c>
      <c r="Y550" s="92">
        <v>0</v>
      </c>
      <c r="Z550" s="92">
        <v>0</v>
      </c>
      <c r="AA550" s="92">
        <v>0</v>
      </c>
      <c r="AB550" s="92">
        <v>7091</v>
      </c>
      <c r="AC550" s="92">
        <v>7331</v>
      </c>
      <c r="AD550" s="92">
        <v>7780</v>
      </c>
      <c r="AE550" s="92">
        <v>0</v>
      </c>
      <c r="AF550" s="92">
        <v>0</v>
      </c>
      <c r="AG550" s="92">
        <v>0</v>
      </c>
      <c r="AI550" s="250">
        <v>9.07232E-4</v>
      </c>
    </row>
    <row r="551" spans="1:35" x14ac:dyDescent="0.25">
      <c r="A551" t="str">
        <f t="shared" si="12"/>
        <v>6-7-56</v>
      </c>
      <c r="B551">
        <v>6</v>
      </c>
      <c r="C551" s="92" t="s">
        <v>1020</v>
      </c>
      <c r="D551" s="92">
        <v>7</v>
      </c>
      <c r="E551" s="92" t="s">
        <v>586</v>
      </c>
      <c r="F551" s="92">
        <v>56</v>
      </c>
      <c r="G551" s="92" t="s">
        <v>141</v>
      </c>
      <c r="H551" s="92"/>
      <c r="I551" s="92">
        <v>0</v>
      </c>
      <c r="J551" s="92">
        <v>5270136</v>
      </c>
      <c r="K551" s="92" t="s">
        <v>1061</v>
      </c>
      <c r="L551" s="92">
        <v>226</v>
      </c>
      <c r="M551" s="92">
        <v>764</v>
      </c>
      <c r="N551" s="92">
        <v>349</v>
      </c>
      <c r="O551" s="92">
        <v>349</v>
      </c>
      <c r="P551" s="92">
        <v>0</v>
      </c>
      <c r="Q551" s="92">
        <v>0</v>
      </c>
      <c r="R551" s="92">
        <v>0</v>
      </c>
      <c r="S551" s="92">
        <v>0</v>
      </c>
      <c r="T551" s="92">
        <v>0</v>
      </c>
      <c r="U551" s="92">
        <v>0</v>
      </c>
      <c r="V551" s="92">
        <v>0</v>
      </c>
      <c r="W551" s="92">
        <v>0</v>
      </c>
      <c r="X551" s="92">
        <v>0</v>
      </c>
      <c r="Y551" s="92">
        <v>0</v>
      </c>
      <c r="Z551" s="92">
        <v>0</v>
      </c>
      <c r="AA551" s="92">
        <v>0</v>
      </c>
      <c r="AB551" s="92">
        <v>85286</v>
      </c>
      <c r="AC551" s="92">
        <v>88986</v>
      </c>
      <c r="AD551" s="92">
        <v>93614</v>
      </c>
      <c r="AE551" s="92">
        <v>0</v>
      </c>
      <c r="AF551" s="92">
        <v>0</v>
      </c>
      <c r="AG551" s="92">
        <v>0</v>
      </c>
    </row>
    <row r="552" spans="1:35" x14ac:dyDescent="0.25">
      <c r="A552" t="str">
        <f t="shared" si="12"/>
        <v>41-7-57</v>
      </c>
      <c r="B552">
        <v>41</v>
      </c>
      <c r="C552" s="92" t="s">
        <v>1052</v>
      </c>
      <c r="D552" s="92">
        <v>7</v>
      </c>
      <c r="E552" s="92" t="s">
        <v>586</v>
      </c>
      <c r="F552" s="92">
        <v>57</v>
      </c>
      <c r="G552" s="92" t="s">
        <v>547</v>
      </c>
      <c r="H552" s="92"/>
      <c r="I552" s="92">
        <v>808</v>
      </c>
      <c r="J552" s="92">
        <v>636556</v>
      </c>
      <c r="K552" s="92" t="s">
        <v>1061</v>
      </c>
      <c r="L552" s="92">
        <v>156</v>
      </c>
      <c r="M552" s="92">
        <v>0</v>
      </c>
      <c r="N552" s="92">
        <v>0</v>
      </c>
      <c r="O552" s="92">
        <v>0</v>
      </c>
      <c r="P552" s="92">
        <v>0</v>
      </c>
      <c r="Q552" s="92">
        <v>0</v>
      </c>
      <c r="R552" s="92">
        <v>0</v>
      </c>
      <c r="S552" s="92">
        <v>0</v>
      </c>
      <c r="T552" s="92">
        <v>0</v>
      </c>
      <c r="U552" s="92">
        <v>0</v>
      </c>
      <c r="V552" s="92">
        <v>0</v>
      </c>
      <c r="W552" s="92">
        <v>0</v>
      </c>
      <c r="X552" s="92">
        <v>0</v>
      </c>
      <c r="Y552" s="92">
        <v>0</v>
      </c>
      <c r="Z552" s="92">
        <v>0</v>
      </c>
      <c r="AA552" s="92">
        <v>0</v>
      </c>
      <c r="AB552" s="92">
        <v>9266</v>
      </c>
      <c r="AC552" s="92">
        <v>9828</v>
      </c>
      <c r="AD552" s="92">
        <v>10493</v>
      </c>
      <c r="AE552" s="92">
        <v>0</v>
      </c>
      <c r="AF552" s="92">
        <v>0</v>
      </c>
      <c r="AG552" s="92">
        <v>0</v>
      </c>
    </row>
    <row r="553" spans="1:35" x14ac:dyDescent="0.25">
      <c r="A553" t="str">
        <f t="shared" si="12"/>
        <v>24-7-58</v>
      </c>
      <c r="B553">
        <v>24</v>
      </c>
      <c r="C553" s="92" t="s">
        <v>1037</v>
      </c>
      <c r="D553" s="92">
        <v>7</v>
      </c>
      <c r="E553" s="92" t="s">
        <v>586</v>
      </c>
      <c r="F553" s="92">
        <v>58</v>
      </c>
      <c r="G553" s="92" t="s">
        <v>351</v>
      </c>
      <c r="H553" s="92"/>
      <c r="I553" s="92">
        <v>1145</v>
      </c>
      <c r="J553" s="92">
        <v>76141513</v>
      </c>
      <c r="K553" s="92" t="s">
        <v>1061</v>
      </c>
      <c r="L553" s="92">
        <v>626</v>
      </c>
      <c r="M553" s="92">
        <v>431</v>
      </c>
      <c r="N553" s="92">
        <v>207</v>
      </c>
      <c r="O553" s="92">
        <v>207</v>
      </c>
      <c r="P553" s="92">
        <v>0</v>
      </c>
      <c r="Q553" s="92">
        <v>0</v>
      </c>
      <c r="R553" s="92">
        <v>0</v>
      </c>
      <c r="S553" s="92">
        <v>0</v>
      </c>
      <c r="T553" s="92">
        <v>0</v>
      </c>
      <c r="U553" s="92">
        <v>0</v>
      </c>
      <c r="V553" s="92">
        <v>0</v>
      </c>
      <c r="W553" s="92">
        <v>0</v>
      </c>
      <c r="X553" s="92">
        <v>0</v>
      </c>
      <c r="Y553" s="92">
        <v>0</v>
      </c>
      <c r="Z553" s="92">
        <v>0</v>
      </c>
      <c r="AA553" s="92">
        <v>0</v>
      </c>
      <c r="AB553" s="92">
        <v>106336</v>
      </c>
      <c r="AC553" s="92">
        <v>110878</v>
      </c>
      <c r="AD553" s="92">
        <v>110878</v>
      </c>
      <c r="AE553" s="92">
        <v>0</v>
      </c>
      <c r="AF553" s="92">
        <v>0</v>
      </c>
      <c r="AG553" s="92">
        <v>0</v>
      </c>
    </row>
    <row r="554" spans="1:35" x14ac:dyDescent="0.25">
      <c r="A554" t="str">
        <f t="shared" si="12"/>
        <v>24-9-33</v>
      </c>
      <c r="B554">
        <v>24</v>
      </c>
      <c r="C554" s="92" t="s">
        <v>1037</v>
      </c>
      <c r="D554" s="92">
        <v>9</v>
      </c>
      <c r="E554" s="92" t="s">
        <v>588</v>
      </c>
      <c r="F554" s="92">
        <v>33</v>
      </c>
      <c r="G554" s="92" t="s">
        <v>858</v>
      </c>
      <c r="H554" s="92"/>
      <c r="I554" s="92">
        <v>0</v>
      </c>
      <c r="J554" s="92">
        <v>848000</v>
      </c>
      <c r="K554" s="92">
        <v>1</v>
      </c>
      <c r="L554" s="92">
        <v>2204</v>
      </c>
      <c r="M554" s="92">
        <v>949</v>
      </c>
      <c r="N554" s="92">
        <v>0</v>
      </c>
      <c r="O554" s="92">
        <v>0</v>
      </c>
      <c r="P554" s="92">
        <v>0</v>
      </c>
      <c r="Q554" s="92">
        <v>0</v>
      </c>
      <c r="R554" s="92">
        <v>0</v>
      </c>
      <c r="S554" s="92">
        <v>0</v>
      </c>
      <c r="T554" s="92">
        <v>0</v>
      </c>
      <c r="U554" s="92">
        <v>0</v>
      </c>
      <c r="V554" s="92">
        <v>0</v>
      </c>
      <c r="W554" s="92">
        <v>0</v>
      </c>
      <c r="X554" s="92">
        <v>0</v>
      </c>
      <c r="Y554" s="92">
        <v>0</v>
      </c>
      <c r="Z554" s="92">
        <v>0</v>
      </c>
      <c r="AA554" s="92">
        <v>0</v>
      </c>
      <c r="AB554" s="92">
        <v>205182</v>
      </c>
      <c r="AC554" s="92">
        <v>215037</v>
      </c>
      <c r="AD554" s="92">
        <v>224979</v>
      </c>
      <c r="AE554" s="92">
        <v>0</v>
      </c>
      <c r="AF554" s="92">
        <v>0</v>
      </c>
      <c r="AG554" s="92">
        <v>0</v>
      </c>
      <c r="AI554" s="250">
        <v>5.6494100000000001E-4</v>
      </c>
    </row>
    <row r="555" spans="1:35" x14ac:dyDescent="0.25">
      <c r="A555" t="str">
        <f t="shared" si="12"/>
        <v>42-9-33</v>
      </c>
      <c r="B555">
        <v>42</v>
      </c>
      <c r="C555" s="92" t="s">
        <v>1196</v>
      </c>
      <c r="D555" s="92">
        <v>9</v>
      </c>
      <c r="E555" s="92" t="s">
        <v>588</v>
      </c>
      <c r="F555" s="92">
        <v>33</v>
      </c>
      <c r="G555" s="92" t="s">
        <v>858</v>
      </c>
      <c r="H555" s="92"/>
      <c r="I555" s="92">
        <v>0</v>
      </c>
      <c r="J555" s="92">
        <v>0</v>
      </c>
      <c r="K555" s="92">
        <v>1</v>
      </c>
      <c r="L555" s="92">
        <v>2204</v>
      </c>
      <c r="M555" s="92">
        <v>949</v>
      </c>
      <c r="N555" s="92">
        <v>0</v>
      </c>
      <c r="O555" s="92">
        <v>0</v>
      </c>
      <c r="P555" s="92">
        <v>0</v>
      </c>
      <c r="Q555" s="92">
        <v>0</v>
      </c>
      <c r="R555" s="92">
        <v>0</v>
      </c>
      <c r="S555" s="92">
        <v>0</v>
      </c>
      <c r="T555" s="92">
        <v>0</v>
      </c>
      <c r="U555" s="92">
        <v>0</v>
      </c>
      <c r="V555" s="92">
        <v>0</v>
      </c>
      <c r="W555" s="92">
        <v>0</v>
      </c>
      <c r="X555" s="92">
        <v>0</v>
      </c>
      <c r="Y555" s="92">
        <v>0</v>
      </c>
      <c r="Z555" s="92">
        <v>0</v>
      </c>
      <c r="AA555" s="92">
        <v>0</v>
      </c>
      <c r="AB555" s="92">
        <v>205182</v>
      </c>
      <c r="AC555" s="92">
        <v>215037</v>
      </c>
      <c r="AD555" s="92">
        <v>224979</v>
      </c>
      <c r="AE555" s="92">
        <v>0</v>
      </c>
      <c r="AF555" s="92">
        <v>0</v>
      </c>
      <c r="AG555" s="92">
        <v>0</v>
      </c>
      <c r="AI555" s="250">
        <v>5.6494100000000001E-4</v>
      </c>
    </row>
    <row r="556" spans="1:35" x14ac:dyDescent="0.25">
      <c r="A556" t="str">
        <f t="shared" si="12"/>
        <v>24-11-26</v>
      </c>
      <c r="B556">
        <v>24</v>
      </c>
      <c r="C556" s="92" t="s">
        <v>1037</v>
      </c>
      <c r="D556" s="92">
        <v>11</v>
      </c>
      <c r="E556" s="92" t="s">
        <v>1062</v>
      </c>
      <c r="F556" s="92">
        <v>26</v>
      </c>
      <c r="G556" s="92" t="s">
        <v>355</v>
      </c>
      <c r="H556" s="92"/>
      <c r="I556" s="92">
        <v>823</v>
      </c>
      <c r="J556" s="92">
        <v>22151831</v>
      </c>
      <c r="K556" s="92" t="s">
        <v>1061</v>
      </c>
      <c r="L556" s="92">
        <v>2801</v>
      </c>
      <c r="M556" s="92">
        <v>942</v>
      </c>
      <c r="N556" s="92">
        <v>90</v>
      </c>
      <c r="O556" s="92">
        <v>88</v>
      </c>
      <c r="P556" s="92">
        <v>0</v>
      </c>
      <c r="Q556" s="92">
        <v>0</v>
      </c>
      <c r="R556" s="92">
        <v>0</v>
      </c>
      <c r="S556" s="92">
        <v>0</v>
      </c>
      <c r="T556" s="92">
        <v>0</v>
      </c>
      <c r="U556" s="92">
        <v>0</v>
      </c>
      <c r="V556" s="92">
        <v>0</v>
      </c>
      <c r="W556" s="92">
        <v>0</v>
      </c>
      <c r="X556" s="92">
        <v>0</v>
      </c>
      <c r="Y556" s="92">
        <v>0</v>
      </c>
      <c r="Z556" s="92">
        <v>0</v>
      </c>
      <c r="AA556" s="92">
        <v>0</v>
      </c>
      <c r="AB556" s="92">
        <v>210101</v>
      </c>
      <c r="AC556" s="92">
        <v>219085</v>
      </c>
      <c r="AD556" s="92">
        <v>209912</v>
      </c>
      <c r="AE556" s="92">
        <v>0</v>
      </c>
      <c r="AF556" s="92">
        <v>0</v>
      </c>
      <c r="AG556" s="92">
        <v>0</v>
      </c>
    </row>
    <row r="557" spans="1:35" x14ac:dyDescent="0.25">
      <c r="A557" t="str">
        <f t="shared" si="12"/>
        <v>24-4-87</v>
      </c>
      <c r="B557">
        <v>24</v>
      </c>
      <c r="C557" s="92" t="s">
        <v>1037</v>
      </c>
      <c r="D557" s="92">
        <v>4</v>
      </c>
      <c r="E557" s="92" t="s">
        <v>66</v>
      </c>
      <c r="F557" s="92">
        <v>87</v>
      </c>
      <c r="G557" s="92" t="s">
        <v>854</v>
      </c>
      <c r="H557" s="92"/>
      <c r="I557" s="92">
        <v>0</v>
      </c>
      <c r="J557" s="92">
        <v>25138470</v>
      </c>
      <c r="K557" s="92">
        <v>1</v>
      </c>
      <c r="L557" s="92">
        <v>7669</v>
      </c>
      <c r="M557" s="92">
        <v>3284</v>
      </c>
      <c r="N557" s="92">
        <v>192</v>
      </c>
      <c r="O557" s="92">
        <v>192</v>
      </c>
      <c r="P557" s="92">
        <v>0</v>
      </c>
      <c r="Q557" s="92">
        <v>0</v>
      </c>
      <c r="R557" s="92">
        <v>0</v>
      </c>
      <c r="S557" s="92">
        <v>0</v>
      </c>
      <c r="T557" s="92">
        <v>0</v>
      </c>
      <c r="U557" s="92">
        <v>0</v>
      </c>
      <c r="V557" s="92">
        <v>0</v>
      </c>
      <c r="W557" s="92">
        <v>0</v>
      </c>
      <c r="X557" s="92">
        <v>0</v>
      </c>
      <c r="Y557" s="92">
        <v>0</v>
      </c>
      <c r="Z557" s="92">
        <v>0</v>
      </c>
      <c r="AA557" s="92">
        <v>0</v>
      </c>
      <c r="AB557" s="92">
        <v>19911</v>
      </c>
      <c r="AC557" s="92">
        <v>20733</v>
      </c>
      <c r="AD557" s="92">
        <v>21508</v>
      </c>
      <c r="AE557" s="92">
        <v>0</v>
      </c>
      <c r="AF557" s="92">
        <v>0</v>
      </c>
      <c r="AG557" s="92">
        <v>0</v>
      </c>
    </row>
    <row r="558" spans="1:35" x14ac:dyDescent="0.25">
      <c r="A558" t="str">
        <f t="shared" si="12"/>
        <v>42-4-87</v>
      </c>
      <c r="B558">
        <v>42</v>
      </c>
      <c r="C558" s="92" t="s">
        <v>1196</v>
      </c>
      <c r="D558" s="92">
        <v>4</v>
      </c>
      <c r="E558" s="92" t="s">
        <v>66</v>
      </c>
      <c r="F558" s="92">
        <v>87</v>
      </c>
      <c r="G558" s="92" t="s">
        <v>854</v>
      </c>
      <c r="H558" s="92"/>
      <c r="I558" s="92">
        <v>0</v>
      </c>
      <c r="J558" s="92">
        <v>3159719</v>
      </c>
      <c r="K558" s="92">
        <v>1</v>
      </c>
      <c r="L558" s="92">
        <v>7669</v>
      </c>
      <c r="M558" s="92">
        <v>3284</v>
      </c>
      <c r="N558" s="92">
        <v>192</v>
      </c>
      <c r="O558" s="92">
        <v>192</v>
      </c>
      <c r="P558" s="92">
        <v>0</v>
      </c>
      <c r="Q558" s="92">
        <v>0</v>
      </c>
      <c r="R558" s="92">
        <v>0</v>
      </c>
      <c r="S558" s="92">
        <v>0</v>
      </c>
      <c r="T558" s="92">
        <v>0</v>
      </c>
      <c r="U558" s="92">
        <v>0</v>
      </c>
      <c r="V558" s="92">
        <v>0</v>
      </c>
      <c r="W558" s="92">
        <v>0</v>
      </c>
      <c r="X558" s="92">
        <v>0</v>
      </c>
      <c r="Y558" s="92">
        <v>0</v>
      </c>
      <c r="Z558" s="92">
        <v>0</v>
      </c>
      <c r="AA558" s="92">
        <v>0</v>
      </c>
      <c r="AB558" s="92">
        <v>19911</v>
      </c>
      <c r="AC558" s="92">
        <v>20733</v>
      </c>
      <c r="AD558" s="92">
        <v>21508</v>
      </c>
      <c r="AE558" s="92">
        <v>0</v>
      </c>
      <c r="AF558" s="92">
        <v>0</v>
      </c>
      <c r="AG558" s="92">
        <v>0</v>
      </c>
    </row>
    <row r="559" spans="1:35" x14ac:dyDescent="0.25">
      <c r="A559" t="str">
        <f t="shared" si="12"/>
        <v>7-7-59</v>
      </c>
      <c r="B559">
        <v>7</v>
      </c>
      <c r="C559" s="92" t="s">
        <v>1057</v>
      </c>
      <c r="D559" s="92">
        <v>7</v>
      </c>
      <c r="E559" s="92" t="s">
        <v>586</v>
      </c>
      <c r="F559" s="92">
        <v>59</v>
      </c>
      <c r="G559" s="92" t="s">
        <v>163</v>
      </c>
      <c r="H559" s="92"/>
      <c r="I559" s="92">
        <v>0</v>
      </c>
      <c r="J559" s="92">
        <v>16219953</v>
      </c>
      <c r="K559" s="92" t="s">
        <v>1061</v>
      </c>
      <c r="L559" s="92">
        <v>31</v>
      </c>
      <c r="M559" s="92">
        <v>1061</v>
      </c>
      <c r="N559" s="92">
        <v>204</v>
      </c>
      <c r="O559" s="92">
        <v>204</v>
      </c>
      <c r="P559" s="92">
        <v>0</v>
      </c>
      <c r="Q559" s="92">
        <v>0</v>
      </c>
      <c r="R559" s="92">
        <v>0</v>
      </c>
      <c r="S559" s="92">
        <v>0</v>
      </c>
      <c r="T559" s="92">
        <v>0</v>
      </c>
      <c r="U559" s="92">
        <v>17</v>
      </c>
      <c r="V559" s="92">
        <v>0</v>
      </c>
      <c r="W559" s="92">
        <v>0</v>
      </c>
      <c r="X559" s="92">
        <v>0</v>
      </c>
      <c r="Y559" s="92">
        <v>0</v>
      </c>
      <c r="Z559" s="92">
        <v>0</v>
      </c>
      <c r="AA559" s="92">
        <v>0</v>
      </c>
      <c r="AB559" s="92">
        <v>344984</v>
      </c>
      <c r="AC559" s="92">
        <v>361315</v>
      </c>
      <c r="AD559" s="92">
        <v>379833</v>
      </c>
      <c r="AE559" s="92">
        <v>0</v>
      </c>
      <c r="AF559" s="92">
        <v>0</v>
      </c>
      <c r="AG559" s="92">
        <v>0</v>
      </c>
    </row>
    <row r="560" spans="1:35" x14ac:dyDescent="0.25">
      <c r="A560" t="str">
        <f t="shared" si="12"/>
        <v>22-9-34</v>
      </c>
      <c r="B560">
        <v>22</v>
      </c>
      <c r="C560" s="92" t="s">
        <v>1035</v>
      </c>
      <c r="D560" s="92">
        <v>9</v>
      </c>
      <c r="E560" s="92" t="s">
        <v>588</v>
      </c>
      <c r="F560" s="92">
        <v>34</v>
      </c>
      <c r="G560" s="92" t="s">
        <v>843</v>
      </c>
      <c r="H560" s="92"/>
      <c r="I560" s="92">
        <v>21035</v>
      </c>
      <c r="J560" s="92">
        <v>0</v>
      </c>
      <c r="K560" s="92">
        <v>1</v>
      </c>
      <c r="L560" s="92">
        <v>5129</v>
      </c>
      <c r="M560" s="92">
        <v>287</v>
      </c>
      <c r="N560" s="92">
        <v>116</v>
      </c>
      <c r="O560" s="92">
        <v>116</v>
      </c>
      <c r="P560" s="92">
        <v>0</v>
      </c>
      <c r="Q560" s="92">
        <v>0</v>
      </c>
      <c r="R560" s="92">
        <v>0</v>
      </c>
      <c r="S560" s="92">
        <v>0</v>
      </c>
      <c r="T560" s="92">
        <v>0</v>
      </c>
      <c r="U560" s="92">
        <v>0</v>
      </c>
      <c r="V560" s="92">
        <v>0</v>
      </c>
      <c r="W560" s="92">
        <v>0</v>
      </c>
      <c r="X560" s="92">
        <v>0</v>
      </c>
      <c r="Y560" s="92">
        <v>0</v>
      </c>
      <c r="Z560" s="92">
        <v>0</v>
      </c>
      <c r="AA560" s="92">
        <v>0</v>
      </c>
      <c r="AB560" s="92">
        <v>30028</v>
      </c>
      <c r="AC560" s="92">
        <v>31139</v>
      </c>
      <c r="AD560" s="92">
        <v>32385</v>
      </c>
      <c r="AE560" s="92">
        <v>0</v>
      </c>
      <c r="AF560" s="92">
        <v>0</v>
      </c>
      <c r="AG560" s="92">
        <v>0</v>
      </c>
      <c r="AI560" s="250">
        <v>3.36029E-4</v>
      </c>
    </row>
    <row r="561" spans="1:35" x14ac:dyDescent="0.25">
      <c r="A561" t="str">
        <f t="shared" si="12"/>
        <v>26-9-34</v>
      </c>
      <c r="B561">
        <v>26</v>
      </c>
      <c r="C561" s="92" t="s">
        <v>1039</v>
      </c>
      <c r="D561" s="92">
        <v>9</v>
      </c>
      <c r="E561" s="92" t="s">
        <v>588</v>
      </c>
      <c r="F561" s="92">
        <v>34</v>
      </c>
      <c r="G561" s="92" t="s">
        <v>843</v>
      </c>
      <c r="H561" s="92"/>
      <c r="I561" s="92">
        <v>21035</v>
      </c>
      <c r="J561" s="92">
        <v>0</v>
      </c>
      <c r="K561" s="92">
        <v>1</v>
      </c>
      <c r="L561" s="92">
        <v>5129</v>
      </c>
      <c r="M561" s="92">
        <v>287</v>
      </c>
      <c r="N561" s="92">
        <v>116</v>
      </c>
      <c r="O561" s="92">
        <v>116</v>
      </c>
      <c r="P561" s="92">
        <v>0</v>
      </c>
      <c r="Q561" s="92">
        <v>0</v>
      </c>
      <c r="R561" s="92">
        <v>0</v>
      </c>
      <c r="S561" s="92">
        <v>0</v>
      </c>
      <c r="T561" s="92">
        <v>0</v>
      </c>
      <c r="U561" s="92">
        <v>0</v>
      </c>
      <c r="V561" s="92">
        <v>0</v>
      </c>
      <c r="W561" s="92">
        <v>0</v>
      </c>
      <c r="X561" s="92">
        <v>0</v>
      </c>
      <c r="Y561" s="92">
        <v>0</v>
      </c>
      <c r="Z561" s="92">
        <v>0</v>
      </c>
      <c r="AA561" s="92">
        <v>0</v>
      </c>
      <c r="AB561" s="92">
        <v>30028</v>
      </c>
      <c r="AC561" s="92">
        <v>31139</v>
      </c>
      <c r="AD561" s="92">
        <v>32385</v>
      </c>
      <c r="AE561" s="92">
        <v>0</v>
      </c>
      <c r="AF561" s="92">
        <v>0</v>
      </c>
      <c r="AG561" s="92">
        <v>0</v>
      </c>
      <c r="AI561" s="250">
        <v>3.36029E-4</v>
      </c>
    </row>
    <row r="562" spans="1:35" x14ac:dyDescent="0.25">
      <c r="A562" t="str">
        <f t="shared" si="12"/>
        <v>42-14-53</v>
      </c>
      <c r="B562">
        <v>42</v>
      </c>
      <c r="C562" s="92" t="s">
        <v>1196</v>
      </c>
      <c r="D562" s="92">
        <v>14</v>
      </c>
      <c r="E562" s="92" t="s">
        <v>571</v>
      </c>
      <c r="F562" s="92">
        <v>53</v>
      </c>
      <c r="G562" s="92" t="s">
        <v>561</v>
      </c>
      <c r="H562" s="92"/>
      <c r="I562" s="92">
        <v>74</v>
      </c>
      <c r="J562" s="92">
        <v>28068587</v>
      </c>
      <c r="K562" s="92" t="s">
        <v>1061</v>
      </c>
      <c r="L562" s="92">
        <v>1884</v>
      </c>
      <c r="M562" s="92">
        <v>272</v>
      </c>
      <c r="N562" s="92">
        <v>39</v>
      </c>
      <c r="O562" s="92">
        <v>39</v>
      </c>
      <c r="P562" s="92">
        <v>0</v>
      </c>
      <c r="Q562" s="92">
        <v>0</v>
      </c>
      <c r="R562" s="92">
        <v>0</v>
      </c>
      <c r="S562" s="92">
        <v>0</v>
      </c>
      <c r="T562" s="92">
        <v>0</v>
      </c>
      <c r="U562" s="92">
        <v>0</v>
      </c>
      <c r="V562" s="92">
        <v>0</v>
      </c>
      <c r="W562" s="92">
        <v>0</v>
      </c>
      <c r="X562" s="92">
        <v>0</v>
      </c>
      <c r="Y562" s="92">
        <v>0</v>
      </c>
      <c r="Z562" s="92">
        <v>0</v>
      </c>
      <c r="AA562" s="92">
        <v>0</v>
      </c>
      <c r="AB562" s="92">
        <v>58576</v>
      </c>
      <c r="AC562" s="92">
        <f>60590+30000</f>
        <v>90590</v>
      </c>
      <c r="AD562" s="92">
        <v>93847</v>
      </c>
      <c r="AE562" s="92">
        <v>0</v>
      </c>
      <c r="AF562" s="92">
        <v>0</v>
      </c>
      <c r="AG562" s="92">
        <v>0</v>
      </c>
      <c r="AI562" s="250">
        <v>3.9413499999999999E-4</v>
      </c>
    </row>
    <row r="563" spans="1:35" x14ac:dyDescent="0.25">
      <c r="A563" t="str">
        <f t="shared" si="12"/>
        <v>42-4-170</v>
      </c>
      <c r="B563">
        <v>42</v>
      </c>
      <c r="C563" s="92" t="s">
        <v>1196</v>
      </c>
      <c r="D563" s="92">
        <v>4</v>
      </c>
      <c r="E563" s="92" t="s">
        <v>66</v>
      </c>
      <c r="F563" s="92">
        <v>170</v>
      </c>
      <c r="G563" s="92" t="s">
        <v>989</v>
      </c>
      <c r="H563" s="92"/>
      <c r="I563" s="92">
        <v>0</v>
      </c>
      <c r="J563" s="92">
        <v>28068587</v>
      </c>
      <c r="K563" s="92" t="s">
        <v>1061</v>
      </c>
      <c r="L563" s="92">
        <v>10018</v>
      </c>
      <c r="M563" s="92">
        <v>2367</v>
      </c>
      <c r="N563" s="92">
        <v>347</v>
      </c>
      <c r="O563" s="92">
        <v>347</v>
      </c>
      <c r="P563" s="92">
        <v>0</v>
      </c>
      <c r="Q563" s="92">
        <v>0</v>
      </c>
      <c r="R563" s="92">
        <v>0</v>
      </c>
      <c r="S563" s="92">
        <v>0</v>
      </c>
      <c r="T563" s="92">
        <v>0</v>
      </c>
      <c r="U563" s="92">
        <v>0</v>
      </c>
      <c r="V563" s="92">
        <v>0</v>
      </c>
      <c r="W563" s="92">
        <v>0</v>
      </c>
      <c r="X563" s="92">
        <v>0</v>
      </c>
      <c r="Y563" s="92">
        <v>0</v>
      </c>
      <c r="Z563" s="92">
        <v>0</v>
      </c>
      <c r="AA563" s="92">
        <v>0</v>
      </c>
      <c r="AB563" s="92">
        <v>31804</v>
      </c>
      <c r="AC563" s="92">
        <v>32858</v>
      </c>
      <c r="AD563" s="92">
        <v>34012</v>
      </c>
      <c r="AE563" s="92">
        <v>0</v>
      </c>
      <c r="AF563" s="92">
        <v>0</v>
      </c>
      <c r="AG563" s="92">
        <v>0</v>
      </c>
    </row>
    <row r="564" spans="1:35" x14ac:dyDescent="0.25">
      <c r="A564" t="str">
        <f t="shared" si="12"/>
        <v>25-9-181</v>
      </c>
      <c r="B564">
        <v>25</v>
      </c>
      <c r="C564" s="92" t="s">
        <v>1038</v>
      </c>
      <c r="D564" s="92">
        <v>9</v>
      </c>
      <c r="E564" s="92" t="s">
        <v>588</v>
      </c>
      <c r="F564" s="92">
        <v>181</v>
      </c>
      <c r="G564" s="92" t="s">
        <v>381</v>
      </c>
      <c r="H564" s="92"/>
      <c r="I564" s="92">
        <v>252</v>
      </c>
      <c r="J564" s="92">
        <v>0</v>
      </c>
      <c r="K564" s="92" t="s">
        <v>1061</v>
      </c>
      <c r="L564" s="92">
        <v>0</v>
      </c>
      <c r="M564" s="92">
        <v>39</v>
      </c>
      <c r="N564" s="92">
        <v>0</v>
      </c>
      <c r="O564" s="92">
        <v>0</v>
      </c>
      <c r="P564" s="92">
        <v>0</v>
      </c>
      <c r="Q564" s="92">
        <v>0</v>
      </c>
      <c r="R564" s="92">
        <v>0</v>
      </c>
      <c r="S564" s="92">
        <v>0</v>
      </c>
      <c r="T564" s="92">
        <v>0</v>
      </c>
      <c r="U564" s="92">
        <v>0</v>
      </c>
      <c r="V564" s="92">
        <v>0</v>
      </c>
      <c r="W564" s="92">
        <v>0</v>
      </c>
      <c r="X564" s="92">
        <v>0</v>
      </c>
      <c r="Y564" s="92">
        <v>0</v>
      </c>
      <c r="Z564" s="92">
        <v>0</v>
      </c>
      <c r="AA564" s="92">
        <v>0</v>
      </c>
      <c r="AB564" s="92">
        <v>14427</v>
      </c>
      <c r="AC564" s="92">
        <v>15047</v>
      </c>
      <c r="AD564" s="92">
        <v>15619</v>
      </c>
      <c r="AE564" s="92">
        <v>0</v>
      </c>
      <c r="AF564" s="92">
        <v>0</v>
      </c>
      <c r="AG564" s="92">
        <v>0</v>
      </c>
      <c r="AI564" s="250">
        <v>3.4319500000000002E-4</v>
      </c>
    </row>
    <row r="565" spans="1:35" x14ac:dyDescent="0.25">
      <c r="A565" t="str">
        <f t="shared" si="12"/>
        <v>1-30-1</v>
      </c>
      <c r="B565">
        <v>1</v>
      </c>
      <c r="C565" s="92" t="s">
        <v>1016</v>
      </c>
      <c r="D565" s="92">
        <v>30</v>
      </c>
      <c r="E565" s="92" t="s">
        <v>590</v>
      </c>
      <c r="F565" s="92">
        <v>1</v>
      </c>
      <c r="G565" s="92" t="s">
        <v>619</v>
      </c>
      <c r="H565" s="92"/>
      <c r="I565" s="92">
        <v>2413</v>
      </c>
      <c r="J565" s="92">
        <v>0</v>
      </c>
      <c r="K565" s="92" t="s">
        <v>1061</v>
      </c>
      <c r="L565" s="92">
        <v>0</v>
      </c>
      <c r="M565" s="92">
        <v>0</v>
      </c>
      <c r="N565" s="92">
        <v>0</v>
      </c>
      <c r="O565" s="92">
        <v>0</v>
      </c>
      <c r="P565" s="92">
        <v>0</v>
      </c>
      <c r="Q565" s="92">
        <v>0</v>
      </c>
      <c r="R565" s="92">
        <v>0</v>
      </c>
      <c r="S565" s="92">
        <v>1538</v>
      </c>
      <c r="T565" s="92">
        <v>0</v>
      </c>
      <c r="U565" s="92">
        <v>360</v>
      </c>
      <c r="V565" s="92">
        <v>0</v>
      </c>
      <c r="W565" s="92">
        <v>0</v>
      </c>
      <c r="X565" s="92">
        <v>0</v>
      </c>
      <c r="Y565" s="92">
        <v>0</v>
      </c>
      <c r="Z565" s="92">
        <v>0</v>
      </c>
      <c r="AA565" s="92">
        <v>0</v>
      </c>
      <c r="AB565" s="92">
        <v>17866</v>
      </c>
      <c r="AC565" s="92">
        <v>21156</v>
      </c>
      <c r="AD565" s="92">
        <v>22716</v>
      </c>
      <c r="AE565" s="92">
        <v>0</v>
      </c>
      <c r="AF565" s="92">
        <v>0</v>
      </c>
      <c r="AG565" s="92">
        <v>0</v>
      </c>
    </row>
    <row r="566" spans="1:35" x14ac:dyDescent="0.25">
      <c r="A566" t="str">
        <f t="shared" si="12"/>
        <v>28-9-38</v>
      </c>
      <c r="B566">
        <v>28</v>
      </c>
      <c r="C566" s="92" t="s">
        <v>1041</v>
      </c>
      <c r="D566" s="92">
        <v>9</v>
      </c>
      <c r="E566" s="92" t="s">
        <v>588</v>
      </c>
      <c r="F566" s="92">
        <v>38</v>
      </c>
      <c r="G566" s="92" t="s">
        <v>419</v>
      </c>
      <c r="H566" s="92"/>
      <c r="I566" s="92">
        <v>0</v>
      </c>
      <c r="J566" s="92">
        <v>1476450</v>
      </c>
      <c r="K566" s="92" t="s">
        <v>1061</v>
      </c>
      <c r="L566" s="92">
        <v>85</v>
      </c>
      <c r="M566" s="92">
        <v>1024</v>
      </c>
      <c r="N566" s="92">
        <v>7</v>
      </c>
      <c r="O566" s="92">
        <v>7</v>
      </c>
      <c r="P566" s="92">
        <v>0</v>
      </c>
      <c r="Q566" s="92">
        <v>0</v>
      </c>
      <c r="R566" s="92">
        <v>0</v>
      </c>
      <c r="S566" s="92">
        <v>0</v>
      </c>
      <c r="T566" s="92">
        <v>0</v>
      </c>
      <c r="U566" s="92">
        <v>0</v>
      </c>
      <c r="V566" s="92">
        <v>0</v>
      </c>
      <c r="W566" s="92">
        <v>0</v>
      </c>
      <c r="X566" s="92">
        <v>0</v>
      </c>
      <c r="Y566" s="92">
        <v>0</v>
      </c>
      <c r="Z566" s="92">
        <v>0</v>
      </c>
      <c r="AA566" s="92">
        <v>0</v>
      </c>
      <c r="AB566" s="92">
        <v>255392</v>
      </c>
      <c r="AC566" s="92">
        <v>268460</v>
      </c>
      <c r="AD566" s="92">
        <v>284634</v>
      </c>
      <c r="AE566" s="92">
        <v>0</v>
      </c>
      <c r="AF566" s="92">
        <v>0</v>
      </c>
      <c r="AG566" s="92">
        <v>0</v>
      </c>
      <c r="AI566" s="250">
        <v>5.2324200000000004E-4</v>
      </c>
    </row>
    <row r="567" spans="1:35" x14ac:dyDescent="0.25">
      <c r="A567" t="str">
        <f t="shared" si="12"/>
        <v>28-19-42</v>
      </c>
      <c r="B567">
        <v>28</v>
      </c>
      <c r="C567" s="92" t="s">
        <v>1041</v>
      </c>
      <c r="D567" s="92">
        <v>19</v>
      </c>
      <c r="E567" s="92" t="s">
        <v>1063</v>
      </c>
      <c r="F567" s="92">
        <v>42</v>
      </c>
      <c r="G567" s="92" t="s">
        <v>1088</v>
      </c>
      <c r="H567" s="92"/>
      <c r="I567" s="92">
        <v>17238</v>
      </c>
      <c r="J567" s="92">
        <v>7765502</v>
      </c>
      <c r="K567" s="92" t="s">
        <v>1061</v>
      </c>
      <c r="L567" s="92">
        <v>0</v>
      </c>
      <c r="M567" s="92">
        <v>77</v>
      </c>
      <c r="N567" s="92">
        <v>8</v>
      </c>
      <c r="O567" s="92">
        <v>8</v>
      </c>
      <c r="P567" s="92">
        <v>0</v>
      </c>
      <c r="Q567" s="92">
        <v>0</v>
      </c>
      <c r="R567" s="92">
        <v>0</v>
      </c>
      <c r="S567" s="92">
        <v>0</v>
      </c>
      <c r="T567" s="92">
        <v>0</v>
      </c>
      <c r="U567" s="92">
        <v>0</v>
      </c>
      <c r="V567" s="92">
        <v>0</v>
      </c>
      <c r="W567" s="92">
        <v>0</v>
      </c>
      <c r="X567" s="92">
        <v>0</v>
      </c>
      <c r="Y567" s="92">
        <v>0</v>
      </c>
      <c r="Z567" s="92">
        <v>0</v>
      </c>
      <c r="AA567" s="92">
        <v>0</v>
      </c>
      <c r="AB567" s="92">
        <v>76338</v>
      </c>
      <c r="AC567" s="92">
        <v>76338</v>
      </c>
      <c r="AD567" s="92">
        <v>76338</v>
      </c>
      <c r="AE567" s="92">
        <v>0</v>
      </c>
      <c r="AF567" s="92">
        <v>0</v>
      </c>
      <c r="AG567" s="92">
        <v>0</v>
      </c>
    </row>
    <row r="568" spans="1:35" x14ac:dyDescent="0.25">
      <c r="A568" t="str">
        <f t="shared" si="12"/>
        <v>28-22-2</v>
      </c>
      <c r="B568">
        <v>28</v>
      </c>
      <c r="C568" s="92" t="s">
        <v>1041</v>
      </c>
      <c r="D568" s="92">
        <v>22</v>
      </c>
      <c r="E568" s="92" t="s">
        <v>595</v>
      </c>
      <c r="F568" s="92">
        <v>2</v>
      </c>
      <c r="G568" s="92" t="s">
        <v>897</v>
      </c>
      <c r="H568" s="92"/>
      <c r="I568" s="92">
        <v>31191</v>
      </c>
      <c r="J568" s="92">
        <v>0</v>
      </c>
      <c r="K568" s="92" t="s">
        <v>1061</v>
      </c>
      <c r="L568" s="92">
        <v>0</v>
      </c>
      <c r="M568" s="92">
        <v>0</v>
      </c>
      <c r="N568" s="92">
        <v>0</v>
      </c>
      <c r="O568" s="92">
        <v>0</v>
      </c>
      <c r="P568" s="92">
        <v>0</v>
      </c>
      <c r="Q568" s="92">
        <v>0</v>
      </c>
      <c r="R568" s="92">
        <v>0</v>
      </c>
      <c r="S568" s="92">
        <v>0</v>
      </c>
      <c r="T568" s="92">
        <v>0</v>
      </c>
      <c r="U568" s="92">
        <v>0</v>
      </c>
      <c r="V568" s="92">
        <v>0</v>
      </c>
      <c r="W568" s="92">
        <v>0</v>
      </c>
      <c r="X568" s="92">
        <v>0</v>
      </c>
      <c r="Y568" s="92">
        <v>0</v>
      </c>
      <c r="Z568" s="92">
        <v>0</v>
      </c>
      <c r="AA568" s="92">
        <v>0</v>
      </c>
      <c r="AB568" s="92">
        <v>129505</v>
      </c>
      <c r="AC568" s="92">
        <v>132095</v>
      </c>
      <c r="AD568" s="92">
        <v>136818</v>
      </c>
      <c r="AE568" s="92">
        <v>0</v>
      </c>
      <c r="AF568" s="92">
        <v>0</v>
      </c>
      <c r="AG568" s="92">
        <v>0</v>
      </c>
    </row>
    <row r="569" spans="1:35" x14ac:dyDescent="0.25">
      <c r="A569" t="str">
        <f t="shared" si="12"/>
        <v>27-7-60</v>
      </c>
      <c r="B569">
        <v>27</v>
      </c>
      <c r="C569" s="92" t="s">
        <v>1040</v>
      </c>
      <c r="D569" s="92">
        <v>7</v>
      </c>
      <c r="E569" s="92" t="s">
        <v>586</v>
      </c>
      <c r="F569" s="92">
        <v>60</v>
      </c>
      <c r="G569" s="92" t="s">
        <v>402</v>
      </c>
      <c r="H569" s="92"/>
      <c r="I569" s="92">
        <v>3322</v>
      </c>
      <c r="J569" s="92">
        <v>77557169</v>
      </c>
      <c r="K569" s="92" t="s">
        <v>1061</v>
      </c>
      <c r="L569" s="92">
        <v>781</v>
      </c>
      <c r="M569" s="92">
        <v>116</v>
      </c>
      <c r="N569" s="92">
        <v>100</v>
      </c>
      <c r="O569" s="92">
        <v>100</v>
      </c>
      <c r="P569" s="92">
        <v>0</v>
      </c>
      <c r="Q569" s="92">
        <v>0</v>
      </c>
      <c r="R569" s="92">
        <v>0</v>
      </c>
      <c r="S569" s="92">
        <v>0</v>
      </c>
      <c r="T569" s="92">
        <v>0</v>
      </c>
      <c r="U569" s="92">
        <v>0</v>
      </c>
      <c r="V569" s="92">
        <v>0</v>
      </c>
      <c r="W569" s="92">
        <v>0</v>
      </c>
      <c r="X569" s="92">
        <v>0</v>
      </c>
      <c r="Y569" s="92">
        <v>0</v>
      </c>
      <c r="Z569" s="92">
        <v>0</v>
      </c>
      <c r="AA569" s="92">
        <v>0</v>
      </c>
      <c r="AB569" s="92">
        <v>21553</v>
      </c>
      <c r="AC569" s="92">
        <v>23083</v>
      </c>
      <c r="AD569" s="92">
        <v>23994</v>
      </c>
      <c r="AE569" s="92">
        <v>0</v>
      </c>
      <c r="AF569" s="92">
        <v>0</v>
      </c>
      <c r="AG569" s="92">
        <v>0</v>
      </c>
    </row>
    <row r="570" spans="1:35" x14ac:dyDescent="0.25">
      <c r="A570" t="str">
        <f t="shared" si="12"/>
        <v>34-7-61</v>
      </c>
      <c r="B570">
        <v>34</v>
      </c>
      <c r="C570" s="92" t="s">
        <v>1047</v>
      </c>
      <c r="D570" s="92">
        <v>7</v>
      </c>
      <c r="E570" s="92" t="s">
        <v>586</v>
      </c>
      <c r="F570" s="92">
        <v>61</v>
      </c>
      <c r="G570" s="92" t="s">
        <v>939</v>
      </c>
      <c r="H570" s="92"/>
      <c r="I570" s="92">
        <v>0</v>
      </c>
      <c r="J570" s="92">
        <v>7477276</v>
      </c>
      <c r="K570" s="92" t="s">
        <v>1061</v>
      </c>
      <c r="L570" s="92">
        <v>2415</v>
      </c>
      <c r="M570" s="92">
        <v>691</v>
      </c>
      <c r="N570" s="92">
        <v>227</v>
      </c>
      <c r="O570" s="92">
        <v>227</v>
      </c>
      <c r="P570" s="92">
        <v>0</v>
      </c>
      <c r="Q570" s="92">
        <v>0</v>
      </c>
      <c r="R570" s="92">
        <v>0</v>
      </c>
      <c r="S570" s="92">
        <v>0</v>
      </c>
      <c r="T570" s="92">
        <v>0</v>
      </c>
      <c r="U570" s="92">
        <v>0</v>
      </c>
      <c r="V570" s="92">
        <v>0</v>
      </c>
      <c r="W570" s="92">
        <v>0</v>
      </c>
      <c r="X570" s="92">
        <v>0</v>
      </c>
      <c r="Y570" s="92">
        <v>0</v>
      </c>
      <c r="Z570" s="92">
        <v>0</v>
      </c>
      <c r="AA570" s="92">
        <v>0</v>
      </c>
      <c r="AB570" s="92">
        <v>65111</v>
      </c>
      <c r="AC570" s="92">
        <v>68739</v>
      </c>
      <c r="AD570" s="92">
        <v>72072</v>
      </c>
      <c r="AE570" s="92">
        <v>0</v>
      </c>
      <c r="AF570" s="92">
        <v>0</v>
      </c>
      <c r="AG570" s="92">
        <v>0</v>
      </c>
    </row>
    <row r="571" spans="1:35" x14ac:dyDescent="0.25">
      <c r="A571" t="str">
        <f t="shared" si="12"/>
        <v>25-4-125</v>
      </c>
      <c r="B571">
        <v>25</v>
      </c>
      <c r="C571" s="92" t="s">
        <v>1038</v>
      </c>
      <c r="D571" s="92">
        <v>4</v>
      </c>
      <c r="E571" s="92" t="s">
        <v>66</v>
      </c>
      <c r="F571" s="92">
        <v>125</v>
      </c>
      <c r="G571" s="92" t="s">
        <v>862</v>
      </c>
      <c r="H571" s="92"/>
      <c r="I571" s="92">
        <v>0</v>
      </c>
      <c r="J571" s="92">
        <v>106</v>
      </c>
      <c r="K571" s="92">
        <v>1</v>
      </c>
      <c r="L571" s="92">
        <v>3844</v>
      </c>
      <c r="M571" s="92">
        <v>4889</v>
      </c>
      <c r="N571" s="92">
        <v>1508</v>
      </c>
      <c r="O571" s="92">
        <v>1508</v>
      </c>
      <c r="P571" s="92">
        <v>0</v>
      </c>
      <c r="Q571" s="92">
        <v>0</v>
      </c>
      <c r="R571" s="92">
        <v>0</v>
      </c>
      <c r="S571" s="92">
        <v>0</v>
      </c>
      <c r="T571" s="92">
        <v>2368</v>
      </c>
      <c r="U571" s="92">
        <v>0</v>
      </c>
      <c r="V571" s="92">
        <v>0</v>
      </c>
      <c r="W571" s="92">
        <v>0</v>
      </c>
      <c r="X571" s="92">
        <v>0</v>
      </c>
      <c r="Y571" s="92">
        <v>0</v>
      </c>
      <c r="Z571" s="92">
        <v>0</v>
      </c>
      <c r="AA571" s="92">
        <v>0</v>
      </c>
      <c r="AB571" s="92">
        <v>15755</v>
      </c>
      <c r="AC571" s="92">
        <v>16314</v>
      </c>
      <c r="AD571" s="92">
        <v>16919</v>
      </c>
      <c r="AE571" s="92">
        <v>0</v>
      </c>
      <c r="AF571" s="92">
        <v>0</v>
      </c>
      <c r="AG571" s="92">
        <v>0</v>
      </c>
    </row>
    <row r="572" spans="1:35" x14ac:dyDescent="0.25">
      <c r="A572" t="str">
        <f t="shared" si="12"/>
        <v>31-4-125</v>
      </c>
      <c r="B572">
        <v>31</v>
      </c>
      <c r="C572" s="92" t="s">
        <v>1044</v>
      </c>
      <c r="D572" s="92">
        <v>4</v>
      </c>
      <c r="E572" s="92" t="s">
        <v>66</v>
      </c>
      <c r="F572" s="92">
        <v>125</v>
      </c>
      <c r="G572" s="92" t="s">
        <v>862</v>
      </c>
      <c r="H572" s="92"/>
      <c r="I572" s="92">
        <v>0</v>
      </c>
      <c r="J572" s="92">
        <v>5396349</v>
      </c>
      <c r="K572" s="92">
        <v>1</v>
      </c>
      <c r="L572" s="92">
        <v>3844</v>
      </c>
      <c r="M572" s="92">
        <v>4889</v>
      </c>
      <c r="N572" s="92">
        <v>1508</v>
      </c>
      <c r="O572" s="92">
        <v>1508</v>
      </c>
      <c r="P572" s="92">
        <v>0</v>
      </c>
      <c r="Q572" s="92">
        <v>0</v>
      </c>
      <c r="R572" s="92">
        <v>0</v>
      </c>
      <c r="S572" s="92">
        <v>0</v>
      </c>
      <c r="T572" s="92">
        <v>2368</v>
      </c>
      <c r="U572" s="92">
        <v>0</v>
      </c>
      <c r="V572" s="92">
        <v>0</v>
      </c>
      <c r="W572" s="92">
        <v>0</v>
      </c>
      <c r="X572" s="92">
        <v>0</v>
      </c>
      <c r="Y572" s="92">
        <v>0</v>
      </c>
      <c r="Z572" s="92">
        <v>0</v>
      </c>
      <c r="AA572" s="92">
        <v>0</v>
      </c>
      <c r="AB572" s="92">
        <v>15755</v>
      </c>
      <c r="AC572" s="92">
        <v>16314</v>
      </c>
      <c r="AD572" s="92">
        <v>16919</v>
      </c>
      <c r="AE572" s="92">
        <v>0</v>
      </c>
      <c r="AF572" s="92">
        <v>0</v>
      </c>
      <c r="AG572" s="92">
        <v>0</v>
      </c>
    </row>
    <row r="573" spans="1:35" x14ac:dyDescent="0.25">
      <c r="A573" t="str">
        <f t="shared" si="12"/>
        <v>35-4-125</v>
      </c>
      <c r="B573">
        <v>35</v>
      </c>
      <c r="C573" s="92" t="s">
        <v>1195</v>
      </c>
      <c r="D573" s="92">
        <v>4</v>
      </c>
      <c r="E573" s="92" t="s">
        <v>66</v>
      </c>
      <c r="F573" s="92">
        <v>125</v>
      </c>
      <c r="G573" s="92" t="s">
        <v>862</v>
      </c>
      <c r="H573" s="92"/>
      <c r="I573" s="92">
        <v>0</v>
      </c>
      <c r="J573" s="92">
        <v>534498</v>
      </c>
      <c r="K573" s="92">
        <v>1</v>
      </c>
      <c r="L573" s="92">
        <v>3844</v>
      </c>
      <c r="M573" s="92">
        <v>4889</v>
      </c>
      <c r="N573" s="92">
        <v>1508</v>
      </c>
      <c r="O573" s="92">
        <v>1508</v>
      </c>
      <c r="P573" s="92">
        <v>0</v>
      </c>
      <c r="Q573" s="92">
        <v>0</v>
      </c>
      <c r="R573" s="92">
        <v>0</v>
      </c>
      <c r="S573" s="92">
        <v>0</v>
      </c>
      <c r="T573" s="92">
        <v>2368</v>
      </c>
      <c r="U573" s="92">
        <v>0</v>
      </c>
      <c r="V573" s="92">
        <v>0</v>
      </c>
      <c r="W573" s="92">
        <v>0</v>
      </c>
      <c r="X573" s="92">
        <v>0</v>
      </c>
      <c r="Y573" s="92">
        <v>0</v>
      </c>
      <c r="Z573" s="92">
        <v>0</v>
      </c>
      <c r="AA573" s="92">
        <v>0</v>
      </c>
      <c r="AB573" s="92">
        <v>15755</v>
      </c>
      <c r="AC573" s="92">
        <v>16314</v>
      </c>
      <c r="AD573" s="92">
        <v>16919</v>
      </c>
      <c r="AE573" s="92">
        <v>0</v>
      </c>
      <c r="AF573" s="92">
        <v>0</v>
      </c>
      <c r="AG573" s="92">
        <v>0</v>
      </c>
    </row>
    <row r="574" spans="1:35" x14ac:dyDescent="0.25">
      <c r="A574" t="str">
        <f t="shared" si="12"/>
        <v>38-11-28</v>
      </c>
      <c r="B574">
        <v>38</v>
      </c>
      <c r="C574" s="92" t="s">
        <v>1050</v>
      </c>
      <c r="D574" s="92">
        <v>11</v>
      </c>
      <c r="E574" s="92" t="s">
        <v>1062</v>
      </c>
      <c r="F574" s="92">
        <v>28</v>
      </c>
      <c r="G574" s="92" t="s">
        <v>1089</v>
      </c>
      <c r="H574" s="92"/>
      <c r="I574" s="92">
        <v>0</v>
      </c>
      <c r="J574" s="92">
        <v>47132427</v>
      </c>
      <c r="K574" s="92" t="s">
        <v>1061</v>
      </c>
      <c r="L574" s="92">
        <v>10086</v>
      </c>
      <c r="M574" s="92">
        <v>7868</v>
      </c>
      <c r="N574" s="92">
        <v>2090</v>
      </c>
      <c r="O574" s="92">
        <v>2023</v>
      </c>
      <c r="P574" s="92">
        <v>0</v>
      </c>
      <c r="Q574" s="92">
        <v>0</v>
      </c>
      <c r="R574" s="92">
        <v>0</v>
      </c>
      <c r="S574" s="92">
        <v>0</v>
      </c>
      <c r="T574" s="92">
        <v>0</v>
      </c>
      <c r="U574" s="92">
        <v>0</v>
      </c>
      <c r="V574" s="92">
        <v>0</v>
      </c>
      <c r="W574" s="92">
        <v>0</v>
      </c>
      <c r="X574" s="92">
        <v>0</v>
      </c>
      <c r="Y574" s="92">
        <v>0</v>
      </c>
      <c r="Z574" s="92">
        <v>0</v>
      </c>
      <c r="AA574" s="92">
        <v>0</v>
      </c>
      <c r="AB574" s="92">
        <v>1016435</v>
      </c>
      <c r="AC574" s="92">
        <v>1070002</v>
      </c>
      <c r="AD574" s="92">
        <v>1120096</v>
      </c>
      <c r="AE574" s="92">
        <v>0</v>
      </c>
      <c r="AF574" s="92">
        <v>0</v>
      </c>
      <c r="AG574" s="92">
        <v>0</v>
      </c>
    </row>
    <row r="575" spans="1:35" x14ac:dyDescent="0.25">
      <c r="A575" t="str">
        <f t="shared" si="12"/>
        <v>14-11-81</v>
      </c>
      <c r="B575">
        <v>14</v>
      </c>
      <c r="C575" s="92" t="s">
        <v>1027</v>
      </c>
      <c r="D575" s="92">
        <v>11</v>
      </c>
      <c r="E575" s="92" t="s">
        <v>1062</v>
      </c>
      <c r="F575" s="92">
        <v>81</v>
      </c>
      <c r="G575" s="176" t="s">
        <v>1271</v>
      </c>
      <c r="H575" s="176"/>
      <c r="I575" s="92">
        <v>0</v>
      </c>
      <c r="J575" s="92">
        <v>142713677</v>
      </c>
      <c r="K575" s="92" t="s">
        <v>1061</v>
      </c>
      <c r="L575" s="92">
        <v>29118</v>
      </c>
      <c r="M575" s="92">
        <v>39351</v>
      </c>
      <c r="N575" s="92">
        <v>8244</v>
      </c>
      <c r="O575" s="92">
        <v>7335</v>
      </c>
      <c r="P575" s="92">
        <v>0</v>
      </c>
      <c r="Q575" s="92">
        <v>0</v>
      </c>
      <c r="R575" s="92">
        <v>0</v>
      </c>
      <c r="S575" s="92">
        <v>0</v>
      </c>
      <c r="T575" s="92">
        <v>0</v>
      </c>
      <c r="U575" s="92">
        <v>0</v>
      </c>
      <c r="V575" s="92">
        <v>0</v>
      </c>
      <c r="W575" s="92">
        <v>0</v>
      </c>
      <c r="X575" s="92">
        <v>0</v>
      </c>
      <c r="Y575" s="92">
        <v>0</v>
      </c>
      <c r="Z575" s="92">
        <v>0</v>
      </c>
      <c r="AA575" s="92">
        <v>0</v>
      </c>
      <c r="AB575" s="92">
        <v>8736723</v>
      </c>
      <c r="AC575" s="92">
        <v>9318593</v>
      </c>
      <c r="AD575" s="92">
        <v>10021138</v>
      </c>
      <c r="AE575" s="92">
        <v>0</v>
      </c>
      <c r="AF575" s="92">
        <v>0</v>
      </c>
      <c r="AG575" s="92">
        <v>0</v>
      </c>
    </row>
    <row r="576" spans="1:35" x14ac:dyDescent="0.25">
      <c r="A576" t="str">
        <f t="shared" si="12"/>
        <v>44-7-202</v>
      </c>
      <c r="B576">
        <v>44</v>
      </c>
      <c r="C576" s="92" t="s">
        <v>1054</v>
      </c>
      <c r="D576" s="92">
        <v>7</v>
      </c>
      <c r="E576" s="92" t="s">
        <v>586</v>
      </c>
      <c r="F576" s="92">
        <v>202</v>
      </c>
      <c r="G576" s="92" t="s">
        <v>579</v>
      </c>
      <c r="H576" s="92"/>
      <c r="I576" s="92">
        <v>36364</v>
      </c>
      <c r="J576" s="92">
        <v>125373038</v>
      </c>
      <c r="K576" s="92" t="s">
        <v>1061</v>
      </c>
      <c r="L576" s="92">
        <v>0</v>
      </c>
      <c r="M576" s="92">
        <v>2986</v>
      </c>
      <c r="N576" s="92">
        <v>736</v>
      </c>
      <c r="O576" s="92">
        <v>736</v>
      </c>
      <c r="P576" s="92">
        <v>0</v>
      </c>
      <c r="Q576" s="92">
        <v>0</v>
      </c>
      <c r="R576" s="92">
        <v>0</v>
      </c>
      <c r="S576" s="92">
        <v>7</v>
      </c>
      <c r="T576" s="92">
        <v>0</v>
      </c>
      <c r="U576" s="92">
        <v>92</v>
      </c>
      <c r="V576" s="92">
        <v>0</v>
      </c>
      <c r="W576" s="92">
        <v>0</v>
      </c>
      <c r="X576" s="92">
        <v>0</v>
      </c>
      <c r="Y576" s="92">
        <v>0</v>
      </c>
      <c r="Z576" s="92">
        <v>0</v>
      </c>
      <c r="AA576" s="92">
        <v>0</v>
      </c>
      <c r="AB576" s="92">
        <v>169050</v>
      </c>
      <c r="AC576" s="92">
        <v>181098</v>
      </c>
      <c r="AD576" s="92">
        <v>191814</v>
      </c>
      <c r="AE576" s="92">
        <v>2042</v>
      </c>
      <c r="AF576" s="92">
        <v>5331</v>
      </c>
      <c r="AG576" s="92">
        <v>5639</v>
      </c>
    </row>
    <row r="577" spans="1:35" x14ac:dyDescent="0.25">
      <c r="A577" t="str">
        <f t="shared" si="12"/>
        <v>27-11-30</v>
      </c>
      <c r="B577">
        <v>27</v>
      </c>
      <c r="C577" s="92" t="s">
        <v>1040</v>
      </c>
      <c r="D577" s="92">
        <v>11</v>
      </c>
      <c r="E577" s="92" t="s">
        <v>1062</v>
      </c>
      <c r="F577" s="92">
        <v>30</v>
      </c>
      <c r="G577" s="92" t="s">
        <v>886</v>
      </c>
      <c r="H577" s="92"/>
      <c r="I577" s="92">
        <v>25771</v>
      </c>
      <c r="J577" s="92">
        <v>69519273</v>
      </c>
      <c r="K577" s="92" t="s">
        <v>1061</v>
      </c>
      <c r="L577" s="92">
        <v>27837</v>
      </c>
      <c r="M577" s="92">
        <v>4121</v>
      </c>
      <c r="N577" s="92">
        <v>2653</v>
      </c>
      <c r="O577" s="92">
        <v>2570</v>
      </c>
      <c r="P577" s="92">
        <v>0</v>
      </c>
      <c r="Q577" s="92">
        <v>0</v>
      </c>
      <c r="R577" s="92">
        <v>0</v>
      </c>
      <c r="S577" s="92">
        <v>0</v>
      </c>
      <c r="T577" s="92">
        <v>0</v>
      </c>
      <c r="U577" s="92">
        <v>0</v>
      </c>
      <c r="V577" s="92">
        <v>0</v>
      </c>
      <c r="W577" s="92">
        <v>0</v>
      </c>
      <c r="X577" s="92">
        <v>0</v>
      </c>
      <c r="Y577" s="92">
        <v>0</v>
      </c>
      <c r="Z577" s="92">
        <v>0</v>
      </c>
      <c r="AA577" s="92">
        <v>0</v>
      </c>
      <c r="AB577" s="92">
        <v>585952</v>
      </c>
      <c r="AC577" s="92">
        <v>652923</v>
      </c>
      <c r="AD577" s="92">
        <v>679215</v>
      </c>
      <c r="AE577" s="92">
        <v>0</v>
      </c>
      <c r="AF577" s="92">
        <v>0</v>
      </c>
      <c r="AG577" s="92">
        <v>0</v>
      </c>
    </row>
    <row r="578" spans="1:35" x14ac:dyDescent="0.25">
      <c r="A578" t="str">
        <f t="shared" si="12"/>
        <v>36-7-62</v>
      </c>
      <c r="B578">
        <v>36</v>
      </c>
      <c r="C578" s="92" t="s">
        <v>1048</v>
      </c>
      <c r="D578" s="92">
        <v>7</v>
      </c>
      <c r="E578" s="92" t="s">
        <v>586</v>
      </c>
      <c r="F578" s="92">
        <v>62</v>
      </c>
      <c r="G578" s="92" t="s">
        <v>504</v>
      </c>
      <c r="H578" s="92"/>
      <c r="I578" s="92">
        <v>0</v>
      </c>
      <c r="J578" s="92">
        <v>10521374</v>
      </c>
      <c r="K578" s="92" t="s">
        <v>1061</v>
      </c>
      <c r="L578" s="92">
        <v>109</v>
      </c>
      <c r="M578" s="92">
        <v>14</v>
      </c>
      <c r="N578" s="92">
        <v>10</v>
      </c>
      <c r="O578" s="92">
        <v>10</v>
      </c>
      <c r="P578" s="92">
        <v>0</v>
      </c>
      <c r="Q578" s="92">
        <v>0</v>
      </c>
      <c r="R578" s="92">
        <v>0</v>
      </c>
      <c r="S578" s="92">
        <v>0</v>
      </c>
      <c r="T578" s="92">
        <v>0</v>
      </c>
      <c r="U578" s="92">
        <v>0</v>
      </c>
      <c r="V578" s="92">
        <v>0</v>
      </c>
      <c r="W578" s="92">
        <v>0</v>
      </c>
      <c r="X578" s="92">
        <v>0</v>
      </c>
      <c r="Y578" s="92">
        <v>0</v>
      </c>
      <c r="Z578" s="92">
        <v>0</v>
      </c>
      <c r="AA578" s="92">
        <v>0</v>
      </c>
      <c r="AB578" s="92">
        <v>2664</v>
      </c>
      <c r="AC578" s="92">
        <v>2748</v>
      </c>
      <c r="AD578" s="92">
        <v>2748</v>
      </c>
      <c r="AE578" s="92">
        <v>0</v>
      </c>
      <c r="AF578" s="92">
        <v>0</v>
      </c>
      <c r="AG578" s="92">
        <v>0</v>
      </c>
    </row>
    <row r="579" spans="1:35" x14ac:dyDescent="0.25">
      <c r="A579" t="str">
        <f t="shared" si="12"/>
        <v>36-17-15</v>
      </c>
      <c r="B579">
        <v>36</v>
      </c>
      <c r="C579" s="92" t="s">
        <v>1048</v>
      </c>
      <c r="D579" s="92">
        <v>17</v>
      </c>
      <c r="E579" s="92" t="s">
        <v>593</v>
      </c>
      <c r="F579" s="92">
        <v>15</v>
      </c>
      <c r="G579" s="92" t="s">
        <v>507</v>
      </c>
      <c r="H579" s="92"/>
      <c r="I579" s="92">
        <v>0</v>
      </c>
      <c r="J579" s="92">
        <v>9722153</v>
      </c>
      <c r="K579" s="92" t="s">
        <v>1061</v>
      </c>
      <c r="L579" s="92">
        <v>131</v>
      </c>
      <c r="M579" s="92">
        <v>17</v>
      </c>
      <c r="N579" s="92">
        <v>11</v>
      </c>
      <c r="O579" s="92">
        <v>11</v>
      </c>
      <c r="P579" s="92">
        <v>0</v>
      </c>
      <c r="Q579" s="92">
        <v>0</v>
      </c>
      <c r="R579" s="92">
        <v>0</v>
      </c>
      <c r="S579" s="92">
        <v>0</v>
      </c>
      <c r="T579" s="92">
        <v>0</v>
      </c>
      <c r="U579" s="92">
        <v>0</v>
      </c>
      <c r="V579" s="92">
        <v>0</v>
      </c>
      <c r="W579" s="92">
        <v>0</v>
      </c>
      <c r="X579" s="92">
        <v>0</v>
      </c>
      <c r="Y579" s="92">
        <v>0</v>
      </c>
      <c r="Z579" s="92">
        <v>0</v>
      </c>
      <c r="AA579" s="92">
        <v>0</v>
      </c>
      <c r="AB579" s="92">
        <v>2940</v>
      </c>
      <c r="AC579" s="92">
        <v>2940</v>
      </c>
      <c r="AD579" s="92">
        <v>2940</v>
      </c>
      <c r="AE579" s="92">
        <v>0</v>
      </c>
      <c r="AF579" s="92">
        <v>0</v>
      </c>
      <c r="AG579" s="92">
        <v>0</v>
      </c>
    </row>
    <row r="580" spans="1:35" x14ac:dyDescent="0.25">
      <c r="A580" t="str">
        <f t="shared" si="12"/>
        <v>14-9-36</v>
      </c>
      <c r="B580">
        <v>14</v>
      </c>
      <c r="C580" s="92" t="s">
        <v>1027</v>
      </c>
      <c r="D580" s="92">
        <v>9</v>
      </c>
      <c r="E580" s="92" t="s">
        <v>588</v>
      </c>
      <c r="F580" s="92">
        <v>36</v>
      </c>
      <c r="G580" s="92" t="s">
        <v>236</v>
      </c>
      <c r="H580" s="92"/>
      <c r="I580" s="92">
        <v>0</v>
      </c>
      <c r="J580" s="92">
        <v>1453000</v>
      </c>
      <c r="K580" s="92">
        <v>1</v>
      </c>
      <c r="L580" s="92">
        <v>7614</v>
      </c>
      <c r="M580" s="92">
        <v>3439</v>
      </c>
      <c r="N580" s="92">
        <v>786</v>
      </c>
      <c r="O580" s="92">
        <v>786</v>
      </c>
      <c r="P580" s="92">
        <v>0</v>
      </c>
      <c r="Q580" s="92">
        <v>0</v>
      </c>
      <c r="R580" s="92">
        <v>0</v>
      </c>
      <c r="S580" s="92">
        <v>0</v>
      </c>
      <c r="T580" s="92">
        <v>0</v>
      </c>
      <c r="U580" s="92">
        <v>0</v>
      </c>
      <c r="V580" s="92">
        <v>0</v>
      </c>
      <c r="W580" s="92">
        <v>0</v>
      </c>
      <c r="X580" s="92">
        <v>0</v>
      </c>
      <c r="Y580" s="92">
        <v>0</v>
      </c>
      <c r="Z580" s="92">
        <v>0</v>
      </c>
      <c r="AA580" s="92">
        <v>0</v>
      </c>
      <c r="AB580" s="92">
        <v>434925</v>
      </c>
      <c r="AC580" s="92">
        <v>457663</v>
      </c>
      <c r="AD580" s="92">
        <v>476877</v>
      </c>
      <c r="AE580" s="92">
        <v>0</v>
      </c>
      <c r="AF580" s="92">
        <v>0</v>
      </c>
      <c r="AG580" s="92">
        <v>0</v>
      </c>
      <c r="AI580" s="250">
        <v>5.8980399999999998E-4</v>
      </c>
    </row>
    <row r="581" spans="1:35" x14ac:dyDescent="0.25">
      <c r="A581" t="str">
        <f t="shared" si="12"/>
        <v>37-9-36</v>
      </c>
      <c r="B581">
        <v>37</v>
      </c>
      <c r="C581" s="92" t="s">
        <v>1049</v>
      </c>
      <c r="D581" s="92">
        <v>9</v>
      </c>
      <c r="E581" s="92" t="s">
        <v>588</v>
      </c>
      <c r="F581" s="92">
        <v>36</v>
      </c>
      <c r="G581" s="92" t="s">
        <v>236</v>
      </c>
      <c r="H581" s="92"/>
      <c r="I581" s="92">
        <v>0</v>
      </c>
      <c r="J581" s="92">
        <v>0</v>
      </c>
      <c r="K581" s="92">
        <v>1</v>
      </c>
      <c r="L581" s="92">
        <v>7614</v>
      </c>
      <c r="M581" s="92">
        <v>3439</v>
      </c>
      <c r="N581" s="92">
        <v>786</v>
      </c>
      <c r="O581" s="92">
        <v>786</v>
      </c>
      <c r="P581" s="92">
        <v>0</v>
      </c>
      <c r="Q581" s="92">
        <v>0</v>
      </c>
      <c r="R581" s="92">
        <v>0</v>
      </c>
      <c r="S581" s="92">
        <v>0</v>
      </c>
      <c r="T581" s="92">
        <v>0</v>
      </c>
      <c r="U581" s="92">
        <v>0</v>
      </c>
      <c r="V581" s="92">
        <v>0</v>
      </c>
      <c r="W581" s="92">
        <v>0</v>
      </c>
      <c r="X581" s="92">
        <v>0</v>
      </c>
      <c r="Y581" s="92">
        <v>0</v>
      </c>
      <c r="Z581" s="92">
        <v>0</v>
      </c>
      <c r="AA581" s="92">
        <v>0</v>
      </c>
      <c r="AB581" s="92">
        <v>434925</v>
      </c>
      <c r="AC581" s="92">
        <v>457663</v>
      </c>
      <c r="AD581" s="92">
        <v>476877</v>
      </c>
      <c r="AE581" s="92">
        <v>0</v>
      </c>
      <c r="AF581" s="92">
        <v>0</v>
      </c>
      <c r="AG581" s="92">
        <v>0</v>
      </c>
      <c r="AI581" s="250">
        <v>5.8980399999999998E-4</v>
      </c>
    </row>
    <row r="582" spans="1:35" x14ac:dyDescent="0.25">
      <c r="A582" t="str">
        <f t="shared" si="12"/>
        <v>37-11-31</v>
      </c>
      <c r="B582">
        <v>37</v>
      </c>
      <c r="C582" s="92" t="s">
        <v>1049</v>
      </c>
      <c r="D582" s="92">
        <v>11</v>
      </c>
      <c r="E582" s="92" t="s">
        <v>1062</v>
      </c>
      <c r="F582" s="92">
        <v>31</v>
      </c>
      <c r="G582" s="92" t="s">
        <v>958</v>
      </c>
      <c r="H582" s="92"/>
      <c r="I582" s="92">
        <v>0</v>
      </c>
      <c r="J582" s="92">
        <v>21900698</v>
      </c>
      <c r="K582" s="92" t="s">
        <v>1061</v>
      </c>
      <c r="L582" s="92">
        <v>2492</v>
      </c>
      <c r="M582" s="92">
        <v>1022</v>
      </c>
      <c r="N582" s="92">
        <v>283</v>
      </c>
      <c r="O582" s="92">
        <v>210</v>
      </c>
      <c r="P582" s="92">
        <v>0</v>
      </c>
      <c r="Q582" s="92">
        <v>0</v>
      </c>
      <c r="R582" s="92">
        <v>0</v>
      </c>
      <c r="S582" s="92">
        <v>0</v>
      </c>
      <c r="T582" s="92">
        <v>0</v>
      </c>
      <c r="U582" s="92">
        <v>0</v>
      </c>
      <c r="V582" s="92">
        <v>0</v>
      </c>
      <c r="W582" s="92">
        <v>0</v>
      </c>
      <c r="X582" s="92">
        <v>0</v>
      </c>
      <c r="Y582" s="92">
        <v>0</v>
      </c>
      <c r="Z582" s="92">
        <v>0</v>
      </c>
      <c r="AA582" s="92">
        <v>0</v>
      </c>
      <c r="AB582" s="92">
        <v>111745</v>
      </c>
      <c r="AC582" s="92">
        <v>118577</v>
      </c>
      <c r="AD582" s="92">
        <v>123327</v>
      </c>
      <c r="AE582" s="92">
        <v>0</v>
      </c>
      <c r="AF582" s="92">
        <v>0</v>
      </c>
      <c r="AG582" s="92">
        <v>0</v>
      </c>
    </row>
    <row r="583" spans="1:35" x14ac:dyDescent="0.25">
      <c r="A583" t="str">
        <f t="shared" si="12"/>
        <v>14-14-66</v>
      </c>
      <c r="B583">
        <v>14</v>
      </c>
      <c r="C583" s="92" t="s">
        <v>1027</v>
      </c>
      <c r="D583" s="92">
        <v>14</v>
      </c>
      <c r="E583" s="92" t="s">
        <v>571</v>
      </c>
      <c r="F583" s="92">
        <v>66</v>
      </c>
      <c r="G583" s="92" t="s">
        <v>1148</v>
      </c>
      <c r="H583" s="92"/>
      <c r="I583" s="92">
        <v>0</v>
      </c>
      <c r="J583" s="92">
        <v>4545943</v>
      </c>
      <c r="K583" s="92">
        <v>1</v>
      </c>
      <c r="L583" s="92">
        <v>0</v>
      </c>
      <c r="M583" s="92">
        <v>0</v>
      </c>
      <c r="N583" s="92">
        <v>0</v>
      </c>
      <c r="O583" s="92">
        <v>0</v>
      </c>
      <c r="P583" s="92">
        <v>0</v>
      </c>
      <c r="Q583" s="92">
        <v>0</v>
      </c>
      <c r="R583" s="92">
        <v>0</v>
      </c>
      <c r="S583" s="92">
        <v>0</v>
      </c>
      <c r="T583" s="92">
        <v>0</v>
      </c>
      <c r="U583" s="92">
        <v>0</v>
      </c>
      <c r="V583" s="92">
        <v>0</v>
      </c>
      <c r="W583" s="92">
        <v>0</v>
      </c>
      <c r="X583" s="92">
        <v>0</v>
      </c>
      <c r="Y583" s="92">
        <v>0</v>
      </c>
      <c r="Z583" s="92">
        <v>0</v>
      </c>
      <c r="AA583" s="92">
        <v>0</v>
      </c>
      <c r="AB583" s="92">
        <v>309900</v>
      </c>
      <c r="AC583" s="92">
        <v>286450</v>
      </c>
      <c r="AD583" s="92">
        <v>323139</v>
      </c>
      <c r="AE583" s="92">
        <v>0</v>
      </c>
      <c r="AF583" s="92">
        <v>0</v>
      </c>
      <c r="AG583" s="92">
        <v>0</v>
      </c>
      <c r="AI583" s="250">
        <v>3.7883200000000001E-4</v>
      </c>
    </row>
    <row r="584" spans="1:35" x14ac:dyDescent="0.25">
      <c r="A584" t="str">
        <f t="shared" si="12"/>
        <v>37-14-66</v>
      </c>
      <c r="B584">
        <v>37</v>
      </c>
      <c r="C584" s="92" t="s">
        <v>1049</v>
      </c>
      <c r="D584" s="92">
        <v>14</v>
      </c>
      <c r="E584" s="92" t="s">
        <v>571</v>
      </c>
      <c r="F584" s="92">
        <v>66</v>
      </c>
      <c r="G584" s="92" t="s">
        <v>1148</v>
      </c>
      <c r="H584" s="92"/>
      <c r="I584" s="92">
        <v>0</v>
      </c>
      <c r="J584" s="92">
        <v>19243116</v>
      </c>
      <c r="K584" s="92">
        <v>1</v>
      </c>
      <c r="L584" s="92">
        <v>0</v>
      </c>
      <c r="M584" s="92">
        <v>0</v>
      </c>
      <c r="N584" s="92">
        <v>0</v>
      </c>
      <c r="O584" s="92">
        <v>0</v>
      </c>
      <c r="P584" s="92">
        <v>0</v>
      </c>
      <c r="Q584" s="92">
        <v>0</v>
      </c>
      <c r="R584" s="92">
        <v>0</v>
      </c>
      <c r="S584" s="92">
        <v>0</v>
      </c>
      <c r="T584" s="92">
        <v>0</v>
      </c>
      <c r="U584" s="92">
        <v>0</v>
      </c>
      <c r="V584" s="92">
        <v>0</v>
      </c>
      <c r="W584" s="92">
        <v>0</v>
      </c>
      <c r="X584" s="92">
        <v>0</v>
      </c>
      <c r="Y584" s="92">
        <v>0</v>
      </c>
      <c r="Z584" s="92">
        <v>0</v>
      </c>
      <c r="AA584" s="92">
        <v>0</v>
      </c>
      <c r="AB584" s="92">
        <v>309900</v>
      </c>
      <c r="AC584" s="92">
        <v>286450</v>
      </c>
      <c r="AD584" s="92">
        <v>323139</v>
      </c>
      <c r="AE584" s="92">
        <v>0</v>
      </c>
      <c r="AF584" s="92">
        <v>0</v>
      </c>
      <c r="AG584" s="92">
        <v>0</v>
      </c>
      <c r="AI584" s="250">
        <v>3.7883200000000001E-4</v>
      </c>
    </row>
    <row r="585" spans="1:35" x14ac:dyDescent="0.25">
      <c r="A585" t="str">
        <f t="shared" si="12"/>
        <v>14-4-149</v>
      </c>
      <c r="B585">
        <v>14</v>
      </c>
      <c r="C585" s="92" t="s">
        <v>1027</v>
      </c>
      <c r="D585" s="92">
        <v>4</v>
      </c>
      <c r="E585" s="92" t="s">
        <v>66</v>
      </c>
      <c r="F585" s="92">
        <v>149</v>
      </c>
      <c r="G585" s="92" t="s">
        <v>758</v>
      </c>
      <c r="H585" s="92"/>
      <c r="I585" s="92">
        <v>0</v>
      </c>
      <c r="J585" s="92">
        <v>4545943</v>
      </c>
      <c r="K585" s="92">
        <v>1</v>
      </c>
      <c r="L585" s="92">
        <v>21535</v>
      </c>
      <c r="M585" s="92">
        <v>15867</v>
      </c>
      <c r="N585" s="92">
        <v>4493</v>
      </c>
      <c r="O585" s="92">
        <v>4493</v>
      </c>
      <c r="P585" s="92">
        <v>0</v>
      </c>
      <c r="Q585" s="92">
        <v>0</v>
      </c>
      <c r="R585" s="92">
        <v>0</v>
      </c>
      <c r="S585" s="92">
        <v>0</v>
      </c>
      <c r="T585" s="92">
        <v>0</v>
      </c>
      <c r="U585" s="92">
        <v>0</v>
      </c>
      <c r="V585" s="92">
        <v>0</v>
      </c>
      <c r="W585" s="92">
        <v>0</v>
      </c>
      <c r="X585" s="92">
        <v>0</v>
      </c>
      <c r="Y585" s="92">
        <v>0</v>
      </c>
      <c r="Z585" s="92">
        <v>0</v>
      </c>
      <c r="AA585" s="92">
        <v>0</v>
      </c>
      <c r="AB585" s="92">
        <v>46320</v>
      </c>
      <c r="AC585" s="92">
        <v>48619</v>
      </c>
      <c r="AD585" s="92">
        <v>50695</v>
      </c>
      <c r="AE585" s="92">
        <v>0</v>
      </c>
      <c r="AF585" s="92">
        <v>0</v>
      </c>
      <c r="AG585" s="92">
        <v>0</v>
      </c>
    </row>
    <row r="586" spans="1:35" x14ac:dyDescent="0.25">
      <c r="A586" t="str">
        <f t="shared" si="12"/>
        <v>37-4-149</v>
      </c>
      <c r="B586">
        <v>37</v>
      </c>
      <c r="C586" s="92" t="s">
        <v>1049</v>
      </c>
      <c r="D586" s="92">
        <v>4</v>
      </c>
      <c r="E586" s="92" t="s">
        <v>66</v>
      </c>
      <c r="F586" s="92">
        <v>149</v>
      </c>
      <c r="G586" s="92" t="s">
        <v>758</v>
      </c>
      <c r="H586" s="92"/>
      <c r="I586" s="92">
        <v>0</v>
      </c>
      <c r="J586" s="92">
        <v>19560770</v>
      </c>
      <c r="K586" s="92">
        <v>1</v>
      </c>
      <c r="L586" s="92">
        <v>21535</v>
      </c>
      <c r="M586" s="92">
        <v>15867</v>
      </c>
      <c r="N586" s="92">
        <v>4493</v>
      </c>
      <c r="O586" s="92">
        <v>4493</v>
      </c>
      <c r="P586" s="92">
        <v>0</v>
      </c>
      <c r="Q586" s="92">
        <v>0</v>
      </c>
      <c r="R586" s="92">
        <v>0</v>
      </c>
      <c r="S586" s="92">
        <v>0</v>
      </c>
      <c r="T586" s="92">
        <v>0</v>
      </c>
      <c r="U586" s="92">
        <v>0</v>
      </c>
      <c r="V586" s="92">
        <v>0</v>
      </c>
      <c r="W586" s="92">
        <v>0</v>
      </c>
      <c r="X586" s="92">
        <v>0</v>
      </c>
      <c r="Y586" s="92">
        <v>0</v>
      </c>
      <c r="Z586" s="92">
        <v>0</v>
      </c>
      <c r="AA586" s="92">
        <v>0</v>
      </c>
      <c r="AB586" s="92">
        <v>46320</v>
      </c>
      <c r="AC586" s="92">
        <v>48619</v>
      </c>
      <c r="AD586" s="92">
        <v>50695</v>
      </c>
      <c r="AE586" s="92">
        <v>0</v>
      </c>
      <c r="AF586" s="92">
        <v>0</v>
      </c>
      <c r="AG586" s="92">
        <v>0</v>
      </c>
    </row>
    <row r="587" spans="1:35" x14ac:dyDescent="0.25">
      <c r="A587" t="str">
        <f t="shared" si="12"/>
        <v>8-12-23</v>
      </c>
      <c r="B587">
        <v>8</v>
      </c>
      <c r="C587" s="92" t="s">
        <v>1021</v>
      </c>
      <c r="D587" s="92">
        <v>12</v>
      </c>
      <c r="E587" s="92" t="s">
        <v>71</v>
      </c>
      <c r="F587" s="92">
        <v>23</v>
      </c>
      <c r="G587" s="92" t="s">
        <v>173</v>
      </c>
      <c r="H587" s="92"/>
      <c r="I587" s="92">
        <v>3036</v>
      </c>
      <c r="J587" s="92">
        <v>11594031</v>
      </c>
      <c r="K587" s="92" t="s">
        <v>1061</v>
      </c>
      <c r="L587" s="92">
        <v>175</v>
      </c>
      <c r="M587" s="92">
        <v>1182</v>
      </c>
      <c r="N587" s="92">
        <v>205</v>
      </c>
      <c r="O587" s="92">
        <v>205</v>
      </c>
      <c r="P587" s="92">
        <v>0</v>
      </c>
      <c r="Q587" s="92">
        <v>0</v>
      </c>
      <c r="R587" s="92">
        <v>0</v>
      </c>
      <c r="S587" s="92">
        <v>0</v>
      </c>
      <c r="T587" s="92">
        <v>0</v>
      </c>
      <c r="U587" s="92">
        <v>0</v>
      </c>
      <c r="V587" s="92">
        <v>0</v>
      </c>
      <c r="W587" s="92">
        <v>0</v>
      </c>
      <c r="X587" s="92">
        <v>0</v>
      </c>
      <c r="Y587" s="92">
        <v>0</v>
      </c>
      <c r="Z587" s="92">
        <v>0</v>
      </c>
      <c r="AA587" s="92">
        <v>0</v>
      </c>
      <c r="AB587" s="92">
        <v>58295</v>
      </c>
      <c r="AC587" s="92">
        <v>59963</v>
      </c>
      <c r="AD587" s="92">
        <v>61469</v>
      </c>
      <c r="AE587" s="92">
        <v>0</v>
      </c>
      <c r="AF587" s="92">
        <v>1893</v>
      </c>
      <c r="AG587" s="92">
        <v>0</v>
      </c>
    </row>
    <row r="588" spans="1:35" x14ac:dyDescent="0.25">
      <c r="A588" t="str">
        <f t="shared" si="12"/>
        <v>8-14-19</v>
      </c>
      <c r="B588">
        <v>8</v>
      </c>
      <c r="C588" s="92" t="s">
        <v>1021</v>
      </c>
      <c r="D588" s="92">
        <v>14</v>
      </c>
      <c r="E588" s="92" t="s">
        <v>571</v>
      </c>
      <c r="F588" s="92">
        <v>19</v>
      </c>
      <c r="G588" s="92" t="s">
        <v>176</v>
      </c>
      <c r="H588" s="92"/>
      <c r="I588" s="92">
        <v>14643</v>
      </c>
      <c r="J588" s="92">
        <v>10952777</v>
      </c>
      <c r="K588" s="92" t="s">
        <v>1061</v>
      </c>
      <c r="L588" s="92">
        <v>204</v>
      </c>
      <c r="M588" s="92">
        <v>961</v>
      </c>
      <c r="N588" s="92">
        <v>133</v>
      </c>
      <c r="O588" s="92">
        <v>133</v>
      </c>
      <c r="P588" s="92">
        <v>0</v>
      </c>
      <c r="Q588" s="92">
        <v>0</v>
      </c>
      <c r="R588" s="92">
        <v>0</v>
      </c>
      <c r="S588" s="92">
        <v>0</v>
      </c>
      <c r="T588" s="92">
        <v>0</v>
      </c>
      <c r="U588" s="92">
        <v>0</v>
      </c>
      <c r="V588" s="92">
        <v>0</v>
      </c>
      <c r="W588" s="92">
        <v>0</v>
      </c>
      <c r="X588" s="92">
        <v>0</v>
      </c>
      <c r="Y588" s="92">
        <v>0</v>
      </c>
      <c r="Z588" s="92">
        <v>0</v>
      </c>
      <c r="AA588" s="92">
        <v>0</v>
      </c>
      <c r="AB588" s="92">
        <v>75202</v>
      </c>
      <c r="AC588" s="92">
        <v>77702</v>
      </c>
      <c r="AD588" s="92">
        <v>81500</v>
      </c>
      <c r="AE588" s="92">
        <v>0</v>
      </c>
      <c r="AF588" s="92">
        <v>0</v>
      </c>
      <c r="AG588" s="92">
        <v>0</v>
      </c>
      <c r="AI588" s="250">
        <v>1.7879899999999999E-4</v>
      </c>
    </row>
    <row r="589" spans="1:35" x14ac:dyDescent="0.25">
      <c r="A589" t="str">
        <f t="shared" si="12"/>
        <v>8-4-27</v>
      </c>
      <c r="B589">
        <v>8</v>
      </c>
      <c r="C589" s="92" t="s">
        <v>1021</v>
      </c>
      <c r="D589" s="92">
        <v>4</v>
      </c>
      <c r="E589" s="92" t="s">
        <v>66</v>
      </c>
      <c r="F589" s="92">
        <v>27</v>
      </c>
      <c r="G589" s="92" t="s">
        <v>700</v>
      </c>
      <c r="H589" s="92"/>
      <c r="I589" s="92">
        <v>0</v>
      </c>
      <c r="J589" s="92">
        <v>11594031</v>
      </c>
      <c r="K589" s="92" t="s">
        <v>1061</v>
      </c>
      <c r="L589" s="92">
        <v>701</v>
      </c>
      <c r="M589" s="92">
        <v>14392</v>
      </c>
      <c r="N589" s="92">
        <v>1410</v>
      </c>
      <c r="O589" s="92">
        <v>1410</v>
      </c>
      <c r="P589" s="92">
        <v>0</v>
      </c>
      <c r="Q589" s="92">
        <v>0</v>
      </c>
      <c r="R589" s="92">
        <v>0</v>
      </c>
      <c r="S589" s="92">
        <v>0</v>
      </c>
      <c r="T589" s="92">
        <v>0</v>
      </c>
      <c r="U589" s="92">
        <v>0</v>
      </c>
      <c r="V589" s="92">
        <v>0</v>
      </c>
      <c r="W589" s="92">
        <v>0</v>
      </c>
      <c r="X589" s="92">
        <v>0</v>
      </c>
      <c r="Y589" s="92">
        <v>0</v>
      </c>
      <c r="Z589" s="92">
        <v>0</v>
      </c>
      <c r="AA589" s="92">
        <v>0</v>
      </c>
      <c r="AB589" s="92">
        <v>24118</v>
      </c>
      <c r="AC589" s="92">
        <v>25420</v>
      </c>
      <c r="AD589" s="92">
        <v>26768</v>
      </c>
      <c r="AE589" s="92">
        <v>0</v>
      </c>
      <c r="AF589" s="92">
        <v>0</v>
      </c>
      <c r="AG589" s="92">
        <v>0</v>
      </c>
    </row>
    <row r="590" spans="1:35" x14ac:dyDescent="0.25">
      <c r="A590" t="str">
        <f t="shared" si="12"/>
        <v>8-9-165</v>
      </c>
      <c r="B590">
        <v>8</v>
      </c>
      <c r="C590" s="92" t="s">
        <v>1021</v>
      </c>
      <c r="D590" s="92">
        <v>9</v>
      </c>
      <c r="E590" s="92" t="s">
        <v>588</v>
      </c>
      <c r="F590" s="92">
        <v>165</v>
      </c>
      <c r="G590" s="92" t="s">
        <v>703</v>
      </c>
      <c r="H590" s="92"/>
      <c r="I590" s="92">
        <v>16239</v>
      </c>
      <c r="J590" s="92">
        <v>5673000</v>
      </c>
      <c r="K590" s="92" t="s">
        <v>1061</v>
      </c>
      <c r="L590" s="92">
        <v>96</v>
      </c>
      <c r="M590" s="92">
        <v>1086</v>
      </c>
      <c r="N590" s="92">
        <v>97</v>
      </c>
      <c r="O590" s="92">
        <v>97</v>
      </c>
      <c r="P590" s="92">
        <v>0</v>
      </c>
      <c r="Q590" s="92">
        <v>0</v>
      </c>
      <c r="R590" s="92">
        <v>0</v>
      </c>
      <c r="S590" s="92">
        <v>0</v>
      </c>
      <c r="T590" s="92">
        <v>0</v>
      </c>
      <c r="U590" s="92">
        <v>0</v>
      </c>
      <c r="V590" s="92">
        <v>0</v>
      </c>
      <c r="W590" s="92">
        <v>0</v>
      </c>
      <c r="X590" s="92">
        <v>0</v>
      </c>
      <c r="Y590" s="92">
        <v>0</v>
      </c>
      <c r="Z590" s="92">
        <v>0</v>
      </c>
      <c r="AA590" s="92">
        <v>0</v>
      </c>
      <c r="AB590" s="92">
        <v>55209</v>
      </c>
      <c r="AC590" s="92">
        <v>39132</v>
      </c>
      <c r="AD590" s="92">
        <v>56689</v>
      </c>
      <c r="AE590" s="92">
        <v>0</v>
      </c>
      <c r="AF590" s="92">
        <v>0</v>
      </c>
      <c r="AG590" s="92">
        <v>0</v>
      </c>
      <c r="AI590" s="250">
        <v>1.4562599999999999E-4</v>
      </c>
    </row>
    <row r="591" spans="1:35" x14ac:dyDescent="0.25">
      <c r="A591" t="str">
        <f t="shared" si="12"/>
        <v>8-9-189</v>
      </c>
      <c r="B591">
        <v>8</v>
      </c>
      <c r="C591" s="92" t="s">
        <v>1021</v>
      </c>
      <c r="D591" s="92">
        <v>9</v>
      </c>
      <c r="E591" s="92" t="s">
        <v>588</v>
      </c>
      <c r="F591" s="92">
        <v>189</v>
      </c>
      <c r="G591" s="92" t="s">
        <v>1166</v>
      </c>
      <c r="H591" s="92"/>
      <c r="I591" s="92">
        <v>30700</v>
      </c>
      <c r="J591" s="92">
        <v>0</v>
      </c>
      <c r="K591" s="92" t="s">
        <v>1061</v>
      </c>
      <c r="L591" s="92">
        <v>0</v>
      </c>
      <c r="M591" s="92">
        <v>0</v>
      </c>
      <c r="N591" s="92">
        <v>104</v>
      </c>
      <c r="O591" s="92">
        <v>104</v>
      </c>
      <c r="P591" s="92">
        <v>0</v>
      </c>
      <c r="Q591" s="92">
        <v>0</v>
      </c>
      <c r="R591" s="92">
        <v>0</v>
      </c>
      <c r="S591" s="92">
        <v>0</v>
      </c>
      <c r="T591" s="92">
        <v>0</v>
      </c>
      <c r="U591" s="92">
        <v>0</v>
      </c>
      <c r="V591" s="92">
        <v>0</v>
      </c>
      <c r="W591" s="92">
        <v>0</v>
      </c>
      <c r="X591" s="92">
        <v>0</v>
      </c>
      <c r="Y591" s="92">
        <v>0</v>
      </c>
      <c r="Z591" s="92">
        <v>0</v>
      </c>
      <c r="AA591" s="92">
        <v>0</v>
      </c>
      <c r="AB591" s="92">
        <v>125240</v>
      </c>
      <c r="AC591" s="92">
        <v>125240</v>
      </c>
      <c r="AD591" s="92">
        <v>126493</v>
      </c>
      <c r="AE591" s="92">
        <v>0</v>
      </c>
      <c r="AF591" s="92">
        <v>0</v>
      </c>
      <c r="AG591" s="92">
        <v>0</v>
      </c>
      <c r="AI591" s="250">
        <v>5.4151799999999995E-4</v>
      </c>
    </row>
    <row r="592" spans="1:35" x14ac:dyDescent="0.25">
      <c r="A592" t="str">
        <f t="shared" si="12"/>
        <v>25-2-25</v>
      </c>
      <c r="B592">
        <v>25</v>
      </c>
      <c r="C592" s="92" t="s">
        <v>1038</v>
      </c>
      <c r="D592" s="92">
        <v>2</v>
      </c>
      <c r="E592" s="92" t="s">
        <v>53</v>
      </c>
      <c r="F592" s="92">
        <v>25</v>
      </c>
      <c r="G592" s="92" t="s">
        <v>361</v>
      </c>
      <c r="H592" s="92"/>
      <c r="I592" s="92">
        <v>0</v>
      </c>
      <c r="J592" s="92">
        <v>43812371</v>
      </c>
      <c r="K592" s="92"/>
      <c r="L592" s="92">
        <v>56559</v>
      </c>
      <c r="M592" s="92">
        <v>45651</v>
      </c>
      <c r="N592" s="92">
        <v>5673</v>
      </c>
      <c r="O592" s="92">
        <v>5673</v>
      </c>
      <c r="P592" s="92">
        <v>0</v>
      </c>
      <c r="Q592" s="92">
        <v>0</v>
      </c>
      <c r="R592" s="92">
        <v>0</v>
      </c>
      <c r="S592" s="92">
        <v>0</v>
      </c>
      <c r="T592" s="92">
        <v>0</v>
      </c>
      <c r="U592" s="92">
        <v>0</v>
      </c>
      <c r="V592" s="92">
        <v>0</v>
      </c>
      <c r="W592" s="92">
        <v>0</v>
      </c>
      <c r="X592" s="92">
        <v>0</v>
      </c>
      <c r="Y592" s="92">
        <v>0</v>
      </c>
      <c r="Z592" s="92">
        <v>0</v>
      </c>
      <c r="AA592" s="92">
        <v>0</v>
      </c>
      <c r="AB592" s="92">
        <v>3054634</v>
      </c>
      <c r="AC592" s="92">
        <v>3831942</v>
      </c>
      <c r="AD592" s="92">
        <v>3687871</v>
      </c>
      <c r="AE592" s="92">
        <v>0</v>
      </c>
      <c r="AF592" s="92">
        <v>0</v>
      </c>
      <c r="AG592" s="92">
        <v>0</v>
      </c>
      <c r="AH592" s="92" t="s">
        <v>1121</v>
      </c>
    </row>
    <row r="593" spans="1:35" x14ac:dyDescent="0.25">
      <c r="A593" t="str">
        <f t="shared" si="12"/>
        <v>25-11-91</v>
      </c>
      <c r="B593">
        <v>25</v>
      </c>
      <c r="C593" s="92" t="s">
        <v>1038</v>
      </c>
      <c r="D593" s="92">
        <v>11</v>
      </c>
      <c r="E593" s="92" t="s">
        <v>1062</v>
      </c>
      <c r="F593" s="92">
        <v>91</v>
      </c>
      <c r="G593" s="92" t="s">
        <v>1236</v>
      </c>
      <c r="H593" s="92">
        <v>1</v>
      </c>
      <c r="I593" s="92">
        <v>0</v>
      </c>
      <c r="J593" s="92">
        <v>22679072</v>
      </c>
      <c r="K593" s="92"/>
      <c r="L593" s="92">
        <v>0</v>
      </c>
      <c r="M593" s="92">
        <v>0</v>
      </c>
      <c r="N593" s="92">
        <v>0</v>
      </c>
      <c r="O593" s="92">
        <v>0</v>
      </c>
      <c r="P593" s="92">
        <v>0</v>
      </c>
      <c r="Q593" s="92">
        <v>0</v>
      </c>
      <c r="R593" s="92">
        <v>0</v>
      </c>
      <c r="S593" s="92">
        <v>0</v>
      </c>
      <c r="T593" s="92">
        <v>0</v>
      </c>
      <c r="U593" s="92">
        <v>0</v>
      </c>
      <c r="V593" s="92">
        <v>0</v>
      </c>
      <c r="W593" s="92">
        <v>0</v>
      </c>
      <c r="X593" s="92">
        <v>0</v>
      </c>
      <c r="Y593" s="92">
        <v>0</v>
      </c>
      <c r="Z593" s="92">
        <v>0</v>
      </c>
      <c r="AA593" s="92">
        <v>0</v>
      </c>
      <c r="AB593" s="92">
        <v>816923</v>
      </c>
      <c r="AC593" s="92">
        <v>194705</v>
      </c>
      <c r="AD593" s="92">
        <v>511174</v>
      </c>
      <c r="AE593" s="92">
        <v>0</v>
      </c>
      <c r="AF593" s="92">
        <v>0</v>
      </c>
      <c r="AG593" s="92">
        <v>0</v>
      </c>
    </row>
    <row r="594" spans="1:35" x14ac:dyDescent="0.25">
      <c r="A594" t="str">
        <f t="shared" si="12"/>
        <v>10-4-29</v>
      </c>
      <c r="B594">
        <v>10</v>
      </c>
      <c r="C594" s="92" t="s">
        <v>1023</v>
      </c>
      <c r="D594" s="92">
        <v>4</v>
      </c>
      <c r="E594" s="92" t="s">
        <v>66</v>
      </c>
      <c r="F594" s="92">
        <v>29</v>
      </c>
      <c r="G594" s="92" t="s">
        <v>725</v>
      </c>
      <c r="H594" s="92"/>
      <c r="I594" s="92">
        <v>0</v>
      </c>
      <c r="J594" s="92">
        <v>70114138</v>
      </c>
      <c r="K594" s="92" t="s">
        <v>1061</v>
      </c>
      <c r="L594" s="92">
        <v>95771</v>
      </c>
      <c r="M594" s="92">
        <v>215334</v>
      </c>
      <c r="N594" s="92">
        <v>48603</v>
      </c>
      <c r="O594" s="92">
        <v>48603</v>
      </c>
      <c r="P594" s="92">
        <v>0</v>
      </c>
      <c r="Q594" s="92">
        <v>0</v>
      </c>
      <c r="R594" s="92">
        <v>0</v>
      </c>
      <c r="S594" s="92">
        <v>3238</v>
      </c>
      <c r="T594" s="92">
        <v>193</v>
      </c>
      <c r="U594" s="92">
        <v>191</v>
      </c>
      <c r="V594" s="92">
        <v>0</v>
      </c>
      <c r="W594" s="92">
        <v>0</v>
      </c>
      <c r="X594" s="92">
        <v>0</v>
      </c>
      <c r="Y594" s="92">
        <v>0</v>
      </c>
      <c r="Z594" s="92">
        <v>0</v>
      </c>
      <c r="AA594" s="92">
        <v>0</v>
      </c>
      <c r="AB594" s="92">
        <v>152135</v>
      </c>
      <c r="AC594" s="92">
        <v>158954</v>
      </c>
      <c r="AD594" s="92">
        <v>166428</v>
      </c>
      <c r="AE594" s="92">
        <v>0</v>
      </c>
      <c r="AF594" s="92">
        <v>0</v>
      </c>
      <c r="AG594" s="92">
        <v>0</v>
      </c>
    </row>
    <row r="595" spans="1:35" x14ac:dyDescent="0.25">
      <c r="A595" t="str">
        <f t="shared" si="12"/>
        <v>2-7-64</v>
      </c>
      <c r="B595">
        <v>2</v>
      </c>
      <c r="C595" s="92" t="s">
        <v>1017</v>
      </c>
      <c r="D595" s="92">
        <v>7</v>
      </c>
      <c r="E595" s="92" t="s">
        <v>586</v>
      </c>
      <c r="F595" s="92">
        <v>64</v>
      </c>
      <c r="G595" s="92" t="s">
        <v>632</v>
      </c>
      <c r="H595" s="92"/>
      <c r="I595" s="92">
        <v>4</v>
      </c>
      <c r="J595" s="92">
        <v>5160822</v>
      </c>
      <c r="K595" s="92" t="s">
        <v>1061</v>
      </c>
      <c r="L595" s="92">
        <v>118</v>
      </c>
      <c r="M595" s="92">
        <v>32</v>
      </c>
      <c r="N595" s="92">
        <v>5</v>
      </c>
      <c r="O595" s="92">
        <v>5</v>
      </c>
      <c r="P595" s="92">
        <v>0</v>
      </c>
      <c r="Q595" s="92">
        <v>0</v>
      </c>
      <c r="R595" s="92">
        <v>0</v>
      </c>
      <c r="S595" s="92">
        <v>0</v>
      </c>
      <c r="T595" s="92">
        <v>0</v>
      </c>
      <c r="U595" s="92">
        <v>0</v>
      </c>
      <c r="V595" s="92">
        <v>0</v>
      </c>
      <c r="W595" s="92">
        <v>0</v>
      </c>
      <c r="X595" s="92">
        <v>0</v>
      </c>
      <c r="Y595" s="92">
        <v>0</v>
      </c>
      <c r="Z595" s="92">
        <v>0</v>
      </c>
      <c r="AA595" s="92">
        <v>0</v>
      </c>
      <c r="AB595" s="92">
        <v>5999</v>
      </c>
      <c r="AC595" s="92">
        <v>6248</v>
      </c>
      <c r="AD595" s="92">
        <v>6480</v>
      </c>
      <c r="AE595" s="92">
        <v>0</v>
      </c>
      <c r="AF595" s="92">
        <v>0</v>
      </c>
      <c r="AG595" s="92">
        <v>0</v>
      </c>
    </row>
    <row r="596" spans="1:35" x14ac:dyDescent="0.25">
      <c r="A596" t="str">
        <f t="shared" si="12"/>
        <v>2-9-123</v>
      </c>
      <c r="B596">
        <v>2</v>
      </c>
      <c r="C596" s="92" t="s">
        <v>1017</v>
      </c>
      <c r="D596" s="92">
        <v>9</v>
      </c>
      <c r="E596" s="92" t="s">
        <v>588</v>
      </c>
      <c r="F596" s="92">
        <v>123</v>
      </c>
      <c r="G596" s="92" t="s">
        <v>636</v>
      </c>
      <c r="H596" s="92"/>
      <c r="I596" s="92">
        <v>0</v>
      </c>
      <c r="J596" s="92">
        <v>0</v>
      </c>
      <c r="K596" s="92" t="s">
        <v>1061</v>
      </c>
      <c r="L596" s="92">
        <v>0</v>
      </c>
      <c r="M596" s="92">
        <v>0</v>
      </c>
      <c r="N596" s="92">
        <v>0</v>
      </c>
      <c r="O596" s="92">
        <v>0</v>
      </c>
      <c r="P596" s="92">
        <v>0</v>
      </c>
      <c r="Q596" s="92">
        <v>0</v>
      </c>
      <c r="R596" s="92">
        <v>0</v>
      </c>
      <c r="S596" s="92">
        <v>0</v>
      </c>
      <c r="T596" s="92">
        <v>0</v>
      </c>
      <c r="U596" s="92">
        <v>0</v>
      </c>
      <c r="V596" s="92">
        <v>0</v>
      </c>
      <c r="W596" s="92">
        <v>0</v>
      </c>
      <c r="X596" s="92">
        <v>0</v>
      </c>
      <c r="Y596" s="92">
        <v>0</v>
      </c>
      <c r="Z596" s="92">
        <v>0</v>
      </c>
      <c r="AA596" s="92">
        <v>0</v>
      </c>
      <c r="AB596" s="92">
        <v>42394</v>
      </c>
      <c r="AC596" s="92">
        <v>44580</v>
      </c>
      <c r="AD596" s="92">
        <v>48073</v>
      </c>
      <c r="AE596" s="92">
        <v>0</v>
      </c>
      <c r="AF596" s="92">
        <v>0</v>
      </c>
      <c r="AG596" s="92">
        <v>0</v>
      </c>
      <c r="AI596" s="250">
        <v>7.3890299999999996E-4</v>
      </c>
    </row>
    <row r="597" spans="1:35" x14ac:dyDescent="0.25">
      <c r="A597" t="str">
        <f t="shared" si="12"/>
        <v>3-7-65</v>
      </c>
      <c r="B597">
        <v>3</v>
      </c>
      <c r="C597" s="92" t="s">
        <v>1018</v>
      </c>
      <c r="D597" s="92">
        <v>7</v>
      </c>
      <c r="E597" s="92" t="s">
        <v>586</v>
      </c>
      <c r="F597" s="92">
        <v>65</v>
      </c>
      <c r="G597" s="92" t="s">
        <v>107</v>
      </c>
      <c r="H597" s="92"/>
      <c r="I597" s="92">
        <v>817</v>
      </c>
      <c r="J597" s="92">
        <v>45432647</v>
      </c>
      <c r="K597" s="92" t="s">
        <v>1061</v>
      </c>
      <c r="L597" s="92">
        <v>201</v>
      </c>
      <c r="M597" s="92">
        <v>123</v>
      </c>
      <c r="N597" s="92">
        <v>80</v>
      </c>
      <c r="O597" s="92">
        <v>80</v>
      </c>
      <c r="P597" s="92">
        <v>0</v>
      </c>
      <c r="Q597" s="92">
        <v>0</v>
      </c>
      <c r="R597" s="92">
        <v>0</v>
      </c>
      <c r="S597" s="92">
        <v>0</v>
      </c>
      <c r="T597" s="92">
        <v>0</v>
      </c>
      <c r="U597" s="92">
        <v>0</v>
      </c>
      <c r="V597" s="92">
        <v>0</v>
      </c>
      <c r="W597" s="92">
        <v>0</v>
      </c>
      <c r="X597" s="92">
        <v>0</v>
      </c>
      <c r="Y597" s="92">
        <v>0</v>
      </c>
      <c r="Z597" s="92">
        <v>0</v>
      </c>
      <c r="AA597" s="92">
        <v>0</v>
      </c>
      <c r="AB597" s="92">
        <v>27551</v>
      </c>
      <c r="AC597" s="92">
        <v>28689</v>
      </c>
      <c r="AD597" s="92">
        <v>28689</v>
      </c>
      <c r="AE597" s="92">
        <v>0</v>
      </c>
      <c r="AF597" s="92">
        <v>0</v>
      </c>
      <c r="AG597" s="92">
        <v>0</v>
      </c>
    </row>
    <row r="598" spans="1:35" x14ac:dyDescent="0.25">
      <c r="A598" t="str">
        <f t="shared" ref="A598:A662" si="13">B598&amp;"-"&amp;D598&amp;"-"&amp;F598</f>
        <v>10-7-66</v>
      </c>
      <c r="B598">
        <v>10</v>
      </c>
      <c r="C598" s="92" t="s">
        <v>1023</v>
      </c>
      <c r="D598" s="92">
        <v>7</v>
      </c>
      <c r="E598" s="92" t="s">
        <v>586</v>
      </c>
      <c r="F598" s="92">
        <v>66</v>
      </c>
      <c r="G598" s="92" t="s">
        <v>203</v>
      </c>
      <c r="H598" s="92"/>
      <c r="I598" s="92">
        <v>0</v>
      </c>
      <c r="J598" s="92">
        <v>15123342</v>
      </c>
      <c r="K598" s="92" t="s">
        <v>1061</v>
      </c>
      <c r="L598" s="92">
        <v>418</v>
      </c>
      <c r="M598" s="92">
        <v>341</v>
      </c>
      <c r="N598" s="92">
        <v>117</v>
      </c>
      <c r="O598" s="92">
        <v>117</v>
      </c>
      <c r="P598" s="92">
        <v>0</v>
      </c>
      <c r="Q598" s="92">
        <v>0</v>
      </c>
      <c r="R598" s="92">
        <v>0</v>
      </c>
      <c r="S598" s="92">
        <v>93</v>
      </c>
      <c r="T598" s="92">
        <v>12</v>
      </c>
      <c r="U598" s="92">
        <v>8</v>
      </c>
      <c r="V598" s="92">
        <v>0</v>
      </c>
      <c r="W598" s="92">
        <v>0</v>
      </c>
      <c r="X598" s="92">
        <v>0</v>
      </c>
      <c r="Y598" s="92">
        <v>0</v>
      </c>
      <c r="Z598" s="92">
        <v>0</v>
      </c>
      <c r="AA598" s="92">
        <v>0</v>
      </c>
      <c r="AB598" s="92">
        <v>143951</v>
      </c>
      <c r="AC598" s="92">
        <v>155626</v>
      </c>
      <c r="AD598" s="92">
        <v>166398</v>
      </c>
      <c r="AE598" s="92">
        <v>0</v>
      </c>
      <c r="AF598" s="92">
        <v>0</v>
      </c>
      <c r="AG598" s="92">
        <v>0</v>
      </c>
    </row>
    <row r="599" spans="1:35" x14ac:dyDescent="0.25">
      <c r="A599" t="str">
        <f t="shared" si="13"/>
        <v>22-9-110</v>
      </c>
      <c r="B599">
        <v>22</v>
      </c>
      <c r="C599" s="92" t="s">
        <v>1035</v>
      </c>
      <c r="D599" s="92">
        <v>9</v>
      </c>
      <c r="E599" s="92" t="s">
        <v>588</v>
      </c>
      <c r="F599" s="92">
        <v>110</v>
      </c>
      <c r="G599" s="92" t="s">
        <v>845</v>
      </c>
      <c r="H599" s="92"/>
      <c r="I599" s="92">
        <v>5703</v>
      </c>
      <c r="J599" s="92">
        <v>0</v>
      </c>
      <c r="K599" s="92" t="s">
        <v>1061</v>
      </c>
      <c r="L599" s="92">
        <v>7</v>
      </c>
      <c r="M599" s="92">
        <v>721</v>
      </c>
      <c r="N599" s="92">
        <v>66</v>
      </c>
      <c r="O599" s="92">
        <v>66</v>
      </c>
      <c r="P599" s="92">
        <v>0</v>
      </c>
      <c r="Q599" s="92">
        <v>0</v>
      </c>
      <c r="R599" s="92">
        <v>0</v>
      </c>
      <c r="S599" s="92">
        <v>0</v>
      </c>
      <c r="T599" s="92">
        <v>0</v>
      </c>
      <c r="U599" s="92">
        <v>0</v>
      </c>
      <c r="V599" s="92">
        <v>0</v>
      </c>
      <c r="W599" s="92">
        <v>0</v>
      </c>
      <c r="X599" s="92">
        <v>0</v>
      </c>
      <c r="Y599" s="92">
        <v>0</v>
      </c>
      <c r="Z599" s="92">
        <v>0</v>
      </c>
      <c r="AA599" s="92">
        <v>0</v>
      </c>
      <c r="AB599" s="92">
        <v>258390</v>
      </c>
      <c r="AC599" s="92">
        <v>271952</v>
      </c>
      <c r="AD599" s="92">
        <v>271952</v>
      </c>
      <c r="AE599" s="92">
        <v>0</v>
      </c>
      <c r="AF599" s="92">
        <v>0</v>
      </c>
      <c r="AG599" s="92">
        <v>0</v>
      </c>
      <c r="AI599" s="250">
        <v>9.5957000000000003E-5</v>
      </c>
    </row>
    <row r="600" spans="1:35" x14ac:dyDescent="0.25">
      <c r="A600" t="str">
        <f t="shared" si="13"/>
        <v>29-17-5</v>
      </c>
      <c r="B600">
        <v>29</v>
      </c>
      <c r="C600" s="92" t="s">
        <v>1042</v>
      </c>
      <c r="D600" s="92">
        <v>17</v>
      </c>
      <c r="E600" s="92" t="s">
        <v>593</v>
      </c>
      <c r="F600" s="92">
        <v>5</v>
      </c>
      <c r="G600" s="92" t="s">
        <v>914</v>
      </c>
      <c r="H600" s="92"/>
      <c r="I600" s="92">
        <v>3323</v>
      </c>
      <c r="J600" s="92">
        <v>5488759</v>
      </c>
      <c r="K600" s="92">
        <v>1</v>
      </c>
      <c r="L600" s="92">
        <v>666</v>
      </c>
      <c r="M600" s="92">
        <v>284</v>
      </c>
      <c r="N600" s="92">
        <v>54</v>
      </c>
      <c r="O600" s="92">
        <v>54</v>
      </c>
      <c r="P600" s="92">
        <v>0</v>
      </c>
      <c r="Q600" s="92">
        <v>0</v>
      </c>
      <c r="R600" s="92">
        <v>0</v>
      </c>
      <c r="S600" s="92">
        <v>8</v>
      </c>
      <c r="T600" s="92">
        <v>17</v>
      </c>
      <c r="U600" s="92">
        <v>0</v>
      </c>
      <c r="V600" s="92">
        <v>0</v>
      </c>
      <c r="W600" s="92">
        <v>0</v>
      </c>
      <c r="X600" s="92">
        <v>0</v>
      </c>
      <c r="Y600" s="92">
        <v>0</v>
      </c>
      <c r="Z600" s="92">
        <v>0</v>
      </c>
      <c r="AA600" s="92">
        <v>0</v>
      </c>
      <c r="AB600" s="92">
        <v>20967</v>
      </c>
      <c r="AC600" s="92">
        <v>20791</v>
      </c>
      <c r="AD600" s="92">
        <v>21764</v>
      </c>
      <c r="AE600" s="92">
        <v>0</v>
      </c>
      <c r="AF600" s="92">
        <v>0</v>
      </c>
      <c r="AG600" s="92">
        <v>0</v>
      </c>
    </row>
    <row r="601" spans="1:35" x14ac:dyDescent="0.25">
      <c r="A601" t="str">
        <f t="shared" si="13"/>
        <v>35-17-5</v>
      </c>
      <c r="B601">
        <v>35</v>
      </c>
      <c r="C601" s="92" t="s">
        <v>1195</v>
      </c>
      <c r="D601" s="92">
        <v>17</v>
      </c>
      <c r="E601" s="92" t="s">
        <v>593</v>
      </c>
      <c r="F601" s="92">
        <v>5</v>
      </c>
      <c r="G601" s="92" t="s">
        <v>914</v>
      </c>
      <c r="H601" s="92"/>
      <c r="I601" s="92">
        <v>3323</v>
      </c>
      <c r="J601" s="92">
        <v>1374573</v>
      </c>
      <c r="K601" s="92">
        <v>1</v>
      </c>
      <c r="L601" s="92">
        <v>666</v>
      </c>
      <c r="M601" s="92">
        <v>284</v>
      </c>
      <c r="N601" s="92">
        <v>54</v>
      </c>
      <c r="O601" s="92">
        <v>54</v>
      </c>
      <c r="P601" s="92">
        <v>0</v>
      </c>
      <c r="Q601" s="92">
        <v>0</v>
      </c>
      <c r="R601" s="92">
        <v>0</v>
      </c>
      <c r="S601" s="92">
        <v>8</v>
      </c>
      <c r="T601" s="92">
        <v>17</v>
      </c>
      <c r="U601" s="92">
        <v>0</v>
      </c>
      <c r="V601" s="92">
        <v>0</v>
      </c>
      <c r="W601" s="92">
        <v>0</v>
      </c>
      <c r="X601" s="92">
        <v>0</v>
      </c>
      <c r="Y601" s="92">
        <v>0</v>
      </c>
      <c r="Z601" s="92">
        <v>0</v>
      </c>
      <c r="AA601" s="92">
        <v>0</v>
      </c>
      <c r="AB601" s="92">
        <v>20967</v>
      </c>
      <c r="AC601" s="92">
        <v>20791</v>
      </c>
      <c r="AD601" s="92">
        <v>21764</v>
      </c>
      <c r="AE601" s="92">
        <v>0</v>
      </c>
      <c r="AF601" s="92">
        <v>0</v>
      </c>
      <c r="AG601" s="92">
        <v>0</v>
      </c>
    </row>
    <row r="602" spans="1:35" x14ac:dyDescent="0.25">
      <c r="A602" t="str">
        <f t="shared" si="13"/>
        <v>3-9-131</v>
      </c>
      <c r="B602">
        <v>3</v>
      </c>
      <c r="C602" s="92" t="s">
        <v>1018</v>
      </c>
      <c r="D602" s="92">
        <v>9</v>
      </c>
      <c r="E602" s="92" t="s">
        <v>588</v>
      </c>
      <c r="F602" s="92">
        <v>131</v>
      </c>
      <c r="G602" s="92" t="s">
        <v>648</v>
      </c>
      <c r="H602" s="92"/>
      <c r="I602" s="92">
        <v>3902</v>
      </c>
      <c r="J602" s="92">
        <v>0</v>
      </c>
      <c r="K602" s="92" t="s">
        <v>1061</v>
      </c>
      <c r="L602" s="92">
        <v>0</v>
      </c>
      <c r="M602" s="92">
        <v>0</v>
      </c>
      <c r="N602" s="92">
        <v>0</v>
      </c>
      <c r="O602" s="92">
        <v>0</v>
      </c>
      <c r="P602" s="92">
        <v>0</v>
      </c>
      <c r="Q602" s="92">
        <v>0</v>
      </c>
      <c r="R602" s="92">
        <v>0</v>
      </c>
      <c r="S602" s="92">
        <v>0</v>
      </c>
      <c r="T602" s="92">
        <v>0</v>
      </c>
      <c r="U602" s="92">
        <v>0</v>
      </c>
      <c r="V602" s="92">
        <v>0</v>
      </c>
      <c r="W602" s="92">
        <v>0</v>
      </c>
      <c r="X602" s="92">
        <v>0</v>
      </c>
      <c r="Y602" s="92">
        <v>0</v>
      </c>
      <c r="Z602" s="92">
        <v>0</v>
      </c>
      <c r="AA602" s="92">
        <v>0</v>
      </c>
      <c r="AB602" s="92">
        <v>38876</v>
      </c>
      <c r="AC602" s="92">
        <v>41910</v>
      </c>
      <c r="AD602" s="92">
        <v>44760</v>
      </c>
      <c r="AE602" s="92">
        <v>0</v>
      </c>
      <c r="AF602" s="92">
        <v>0</v>
      </c>
      <c r="AG602" s="92">
        <v>0</v>
      </c>
      <c r="AI602" s="250">
        <v>3.4696400000000001E-4</v>
      </c>
    </row>
    <row r="603" spans="1:35" x14ac:dyDescent="0.25">
      <c r="A603" t="str">
        <f t="shared" si="13"/>
        <v>10-15-7</v>
      </c>
      <c r="B603">
        <v>10</v>
      </c>
      <c r="C603" s="92" t="s">
        <v>1023</v>
      </c>
      <c r="D603" s="92">
        <v>15</v>
      </c>
      <c r="E603" s="92" t="s">
        <v>152</v>
      </c>
      <c r="F603" s="92">
        <v>7</v>
      </c>
      <c r="G603" s="92" t="s">
        <v>734</v>
      </c>
      <c r="H603" s="92"/>
      <c r="I603" s="92">
        <v>0</v>
      </c>
      <c r="J603" s="92">
        <v>339582</v>
      </c>
      <c r="K603" s="92">
        <v>1</v>
      </c>
      <c r="L603" s="92">
        <v>670</v>
      </c>
      <c r="M603" s="92">
        <v>984</v>
      </c>
      <c r="N603" s="92">
        <v>247</v>
      </c>
      <c r="O603" s="92">
        <v>247</v>
      </c>
      <c r="P603" s="92">
        <v>0</v>
      </c>
      <c r="Q603" s="92">
        <v>0</v>
      </c>
      <c r="R603" s="92">
        <v>0</v>
      </c>
      <c r="S603" s="92">
        <v>0</v>
      </c>
      <c r="T603" s="92">
        <v>0</v>
      </c>
      <c r="U603" s="92">
        <v>0</v>
      </c>
      <c r="V603" s="92">
        <v>0</v>
      </c>
      <c r="W603" s="92">
        <v>0</v>
      </c>
      <c r="X603" s="92">
        <v>0</v>
      </c>
      <c r="Y603" s="92">
        <v>0</v>
      </c>
      <c r="Z603" s="92">
        <v>0</v>
      </c>
      <c r="AA603" s="92">
        <v>0</v>
      </c>
      <c r="AB603" s="92">
        <v>192633</v>
      </c>
      <c r="AC603" s="92">
        <v>202195</v>
      </c>
      <c r="AD603" s="92">
        <v>210894</v>
      </c>
      <c r="AE603" s="92">
        <v>0</v>
      </c>
      <c r="AF603" s="92">
        <v>0</v>
      </c>
      <c r="AG603" s="92">
        <v>0</v>
      </c>
    </row>
    <row r="604" spans="1:35" x14ac:dyDescent="0.25">
      <c r="A604" t="str">
        <f t="shared" si="13"/>
        <v>26-15-7</v>
      </c>
      <c r="B604">
        <v>26</v>
      </c>
      <c r="C604" s="92" t="s">
        <v>1039</v>
      </c>
      <c r="D604" s="92">
        <v>15</v>
      </c>
      <c r="E604" s="92" t="s">
        <v>152</v>
      </c>
      <c r="F604" s="92">
        <v>7</v>
      </c>
      <c r="G604" s="92" t="s">
        <v>734</v>
      </c>
      <c r="H604" s="92"/>
      <c r="I604" s="92">
        <v>0</v>
      </c>
      <c r="J604" s="92">
        <v>4338157</v>
      </c>
      <c r="K604" s="92">
        <v>1</v>
      </c>
      <c r="L604" s="92">
        <v>670</v>
      </c>
      <c r="M604" s="92">
        <v>984</v>
      </c>
      <c r="N604" s="92">
        <v>247</v>
      </c>
      <c r="O604" s="92">
        <v>247</v>
      </c>
      <c r="P604" s="92">
        <v>0</v>
      </c>
      <c r="Q604" s="92">
        <v>0</v>
      </c>
      <c r="R604" s="92">
        <v>0</v>
      </c>
      <c r="S604" s="92">
        <v>0</v>
      </c>
      <c r="T604" s="92">
        <v>0</v>
      </c>
      <c r="U604" s="92">
        <v>0</v>
      </c>
      <c r="V604" s="92">
        <v>0</v>
      </c>
      <c r="W604" s="92">
        <v>0</v>
      </c>
      <c r="X604" s="92">
        <v>0</v>
      </c>
      <c r="Y604" s="92">
        <v>0</v>
      </c>
      <c r="Z604" s="92">
        <v>0</v>
      </c>
      <c r="AA604" s="92">
        <v>0</v>
      </c>
      <c r="AB604" s="92">
        <v>192633</v>
      </c>
      <c r="AC604" s="92">
        <v>202195</v>
      </c>
      <c r="AD604" s="92">
        <v>210894</v>
      </c>
      <c r="AE604" s="92">
        <v>0</v>
      </c>
      <c r="AF604" s="92">
        <v>0</v>
      </c>
      <c r="AG604" s="92">
        <v>0</v>
      </c>
    </row>
    <row r="605" spans="1:35" x14ac:dyDescent="0.25">
      <c r="A605" t="str">
        <f t="shared" si="13"/>
        <v>10-9-114</v>
      </c>
      <c r="B605">
        <v>10</v>
      </c>
      <c r="C605" s="92" t="s">
        <v>1023</v>
      </c>
      <c r="D605" s="92">
        <v>9</v>
      </c>
      <c r="E605" s="92" t="s">
        <v>588</v>
      </c>
      <c r="F605" s="92">
        <v>114</v>
      </c>
      <c r="G605" s="92" t="s">
        <v>731</v>
      </c>
      <c r="H605" s="92"/>
      <c r="I605" s="92">
        <v>0</v>
      </c>
      <c r="J605" s="92">
        <v>0</v>
      </c>
      <c r="K605" s="92">
        <v>1</v>
      </c>
      <c r="L605" s="92">
        <v>17196</v>
      </c>
      <c r="M605" s="92">
        <v>10903</v>
      </c>
      <c r="N605" s="92">
        <v>2790</v>
      </c>
      <c r="O605" s="92">
        <v>2790</v>
      </c>
      <c r="P605" s="92">
        <v>0</v>
      </c>
      <c r="Q605" s="92">
        <v>0</v>
      </c>
      <c r="R605" s="92">
        <v>0</v>
      </c>
      <c r="S605" s="92">
        <v>0</v>
      </c>
      <c r="T605" s="92">
        <v>0</v>
      </c>
      <c r="U605" s="92">
        <v>0</v>
      </c>
      <c r="V605" s="92">
        <v>0</v>
      </c>
      <c r="W605" s="92">
        <v>0</v>
      </c>
      <c r="X605" s="92">
        <v>0</v>
      </c>
      <c r="Y605" s="92">
        <v>0</v>
      </c>
      <c r="Z605" s="92">
        <v>0</v>
      </c>
      <c r="AA605" s="92">
        <v>0</v>
      </c>
      <c r="AB605" s="92">
        <v>1781168</v>
      </c>
      <c r="AC605" s="92">
        <v>1829721</v>
      </c>
      <c r="AD605" s="92">
        <v>1955348</v>
      </c>
      <c r="AE605" s="92">
        <v>45525</v>
      </c>
      <c r="AF605" s="92">
        <v>0</v>
      </c>
      <c r="AG605" s="92">
        <v>0</v>
      </c>
      <c r="AI605" s="250">
        <v>5.2261099999999997E-4</v>
      </c>
    </row>
    <row r="606" spans="1:35" x14ac:dyDescent="0.25">
      <c r="A606" t="str">
        <f t="shared" si="13"/>
        <v>26-9-114</v>
      </c>
      <c r="B606">
        <v>26</v>
      </c>
      <c r="C606" s="92" t="s">
        <v>1039</v>
      </c>
      <c r="D606" s="92">
        <v>9</v>
      </c>
      <c r="E606" s="92" t="s">
        <v>588</v>
      </c>
      <c r="F606" s="92">
        <v>114</v>
      </c>
      <c r="G606" s="92" t="s">
        <v>731</v>
      </c>
      <c r="H606" s="92"/>
      <c r="I606" s="92">
        <v>0</v>
      </c>
      <c r="J606" s="92">
        <v>0</v>
      </c>
      <c r="K606" s="92">
        <v>1</v>
      </c>
      <c r="L606" s="92">
        <v>17196</v>
      </c>
      <c r="M606" s="92">
        <v>10903</v>
      </c>
      <c r="N606" s="92">
        <v>2790</v>
      </c>
      <c r="O606" s="92">
        <v>2790</v>
      </c>
      <c r="P606" s="92">
        <v>0</v>
      </c>
      <c r="Q606" s="92">
        <v>0</v>
      </c>
      <c r="R606" s="92">
        <v>0</v>
      </c>
      <c r="S606" s="92">
        <v>0</v>
      </c>
      <c r="T606" s="92">
        <v>0</v>
      </c>
      <c r="U606" s="92">
        <v>0</v>
      </c>
      <c r="V606" s="92">
        <v>0</v>
      </c>
      <c r="W606" s="92">
        <v>0</v>
      </c>
      <c r="X606" s="92">
        <v>0</v>
      </c>
      <c r="Y606" s="92">
        <v>0</v>
      </c>
      <c r="Z606" s="92">
        <v>0</v>
      </c>
      <c r="AA606" s="92">
        <v>0</v>
      </c>
      <c r="AB606" s="92">
        <v>1781168</v>
      </c>
      <c r="AC606" s="92">
        <v>1829721</v>
      </c>
      <c r="AD606" s="92">
        <v>1955348</v>
      </c>
      <c r="AE606" s="92">
        <v>45525</v>
      </c>
      <c r="AF606" s="92">
        <v>0</v>
      </c>
      <c r="AG606" s="92">
        <v>0</v>
      </c>
      <c r="AI606" s="250">
        <v>5.2261099999999997E-4</v>
      </c>
    </row>
    <row r="607" spans="1:35" x14ac:dyDescent="0.25">
      <c r="A607" t="str">
        <f t="shared" si="13"/>
        <v>33-9-114</v>
      </c>
      <c r="B607">
        <v>33</v>
      </c>
      <c r="C607" s="92" t="s">
        <v>1046</v>
      </c>
      <c r="D607" s="92">
        <v>9</v>
      </c>
      <c r="E607" s="92" t="s">
        <v>588</v>
      </c>
      <c r="F607" s="92">
        <v>114</v>
      </c>
      <c r="G607" s="92" t="s">
        <v>731</v>
      </c>
      <c r="H607" s="92"/>
      <c r="I607" s="92">
        <v>0</v>
      </c>
      <c r="J607" s="92">
        <v>0</v>
      </c>
      <c r="K607" s="92">
        <v>1</v>
      </c>
      <c r="L607" s="92">
        <v>17196</v>
      </c>
      <c r="M607" s="92">
        <v>10903</v>
      </c>
      <c r="N607" s="92">
        <v>2790</v>
      </c>
      <c r="O607" s="92">
        <v>2790</v>
      </c>
      <c r="P607" s="92">
        <v>0</v>
      </c>
      <c r="Q607" s="92">
        <v>0</v>
      </c>
      <c r="R607" s="92">
        <v>0</v>
      </c>
      <c r="S607" s="92">
        <v>0</v>
      </c>
      <c r="T607" s="92">
        <v>0</v>
      </c>
      <c r="U607" s="92">
        <v>0</v>
      </c>
      <c r="V607" s="92">
        <v>0</v>
      </c>
      <c r="W607" s="92">
        <v>0</v>
      </c>
      <c r="X607" s="92">
        <v>0</v>
      </c>
      <c r="Y607" s="92">
        <v>0</v>
      </c>
      <c r="Z607" s="92">
        <v>0</v>
      </c>
      <c r="AA607" s="92">
        <v>0</v>
      </c>
      <c r="AB607" s="92">
        <v>1781168</v>
      </c>
      <c r="AC607" s="92">
        <v>1829721</v>
      </c>
      <c r="AD607" s="92">
        <v>1955348</v>
      </c>
      <c r="AE607" s="92">
        <v>45525</v>
      </c>
      <c r="AF607" s="92">
        <v>0</v>
      </c>
      <c r="AG607" s="92">
        <v>0</v>
      </c>
      <c r="AI607" s="250">
        <v>5.2261099999999997E-4</v>
      </c>
    </row>
    <row r="608" spans="1:35" x14ac:dyDescent="0.25">
      <c r="A608" t="str">
        <f t="shared" si="13"/>
        <v>26-2-26</v>
      </c>
      <c r="B608">
        <v>26</v>
      </c>
      <c r="C608" s="92" t="s">
        <v>1039</v>
      </c>
      <c r="D608" s="92">
        <v>2</v>
      </c>
      <c r="E608" s="92" t="s">
        <v>53</v>
      </c>
      <c r="F608" s="92">
        <v>26</v>
      </c>
      <c r="G608" s="92" t="s">
        <v>389</v>
      </c>
      <c r="H608" s="92"/>
      <c r="I608" s="92">
        <v>228830</v>
      </c>
      <c r="J608" s="92">
        <v>118822362</v>
      </c>
      <c r="K608" s="92" t="s">
        <v>1061</v>
      </c>
      <c r="L608" s="92">
        <v>148557</v>
      </c>
      <c r="M608" s="92">
        <v>66213</v>
      </c>
      <c r="N608" s="92">
        <v>18735</v>
      </c>
      <c r="O608" s="92">
        <v>18735</v>
      </c>
      <c r="P608" s="92">
        <v>0</v>
      </c>
      <c r="Q608" s="92">
        <v>0</v>
      </c>
      <c r="R608" s="92">
        <v>0</v>
      </c>
      <c r="S608" s="92">
        <v>0</v>
      </c>
      <c r="T608" s="92">
        <v>0</v>
      </c>
      <c r="U608" s="92">
        <v>0</v>
      </c>
      <c r="V608" s="92">
        <v>0</v>
      </c>
      <c r="W608" s="92">
        <v>0</v>
      </c>
      <c r="X608" s="92">
        <v>0</v>
      </c>
      <c r="Y608" s="92">
        <v>0</v>
      </c>
      <c r="Z608" s="92">
        <v>0</v>
      </c>
      <c r="AA608" s="92">
        <v>0</v>
      </c>
      <c r="AB608" s="92">
        <f>7539312+935000</f>
        <v>8474312</v>
      </c>
      <c r="AC608" s="92">
        <f>7760547+975000</f>
        <v>8735547</v>
      </c>
      <c r="AD608" s="92">
        <f>8332572+975000</f>
        <v>9307572</v>
      </c>
      <c r="AE608" s="92">
        <v>0</v>
      </c>
      <c r="AF608" s="92">
        <v>0</v>
      </c>
      <c r="AG608" s="92">
        <v>0</v>
      </c>
    </row>
    <row r="609" spans="1:35" x14ac:dyDescent="0.25">
      <c r="A609" t="str">
        <f t="shared" si="13"/>
        <v>26-11-92</v>
      </c>
      <c r="B609">
        <v>26</v>
      </c>
      <c r="C609" s="92" t="s">
        <v>1039</v>
      </c>
      <c r="D609" s="92">
        <v>11</v>
      </c>
      <c r="E609" s="92" t="s">
        <v>1062</v>
      </c>
      <c r="F609" s="92">
        <v>92</v>
      </c>
      <c r="G609" s="92" t="s">
        <v>1237</v>
      </c>
      <c r="H609" s="92">
        <v>1</v>
      </c>
      <c r="I609" s="92">
        <v>0</v>
      </c>
      <c r="J609" s="92">
        <v>118822362</v>
      </c>
      <c r="K609" s="92" t="s">
        <v>1061</v>
      </c>
      <c r="L609" s="92">
        <v>0</v>
      </c>
      <c r="M609" s="92">
        <v>0</v>
      </c>
      <c r="N609" s="92">
        <v>0</v>
      </c>
      <c r="O609" s="92">
        <v>0</v>
      </c>
      <c r="P609" s="92">
        <v>0</v>
      </c>
      <c r="Q609" s="92">
        <v>0</v>
      </c>
      <c r="R609" s="92">
        <v>0</v>
      </c>
      <c r="S609" s="92">
        <v>0</v>
      </c>
      <c r="T609" s="92">
        <v>0</v>
      </c>
      <c r="U609" s="92">
        <v>0</v>
      </c>
      <c r="V609" s="92">
        <v>0</v>
      </c>
      <c r="W609" s="92">
        <v>0</v>
      </c>
      <c r="X609" s="92">
        <v>0</v>
      </c>
      <c r="Y609" s="92">
        <v>0</v>
      </c>
      <c r="Z609" s="92">
        <v>0</v>
      </c>
      <c r="AA609" s="92">
        <v>0</v>
      </c>
      <c r="AB609" s="92">
        <v>935000</v>
      </c>
      <c r="AC609" s="92">
        <v>975000</v>
      </c>
      <c r="AD609" s="92">
        <v>975000</v>
      </c>
      <c r="AE609" s="92">
        <v>0</v>
      </c>
      <c r="AF609" s="92">
        <v>0</v>
      </c>
      <c r="AG609" s="92">
        <v>0</v>
      </c>
    </row>
    <row r="610" spans="1:35" x14ac:dyDescent="0.25">
      <c r="A610" t="str">
        <f t="shared" si="13"/>
        <v>26-4-96</v>
      </c>
      <c r="B610">
        <v>26</v>
      </c>
      <c r="C610" s="92" t="s">
        <v>1039</v>
      </c>
      <c r="D610" s="92">
        <v>4</v>
      </c>
      <c r="E610" s="92" t="s">
        <v>66</v>
      </c>
      <c r="F610" s="92">
        <v>96</v>
      </c>
      <c r="G610" s="92" t="s">
        <v>868</v>
      </c>
      <c r="H610" s="92"/>
      <c r="I610" s="92">
        <v>0</v>
      </c>
      <c r="J610" s="92">
        <v>61672932</v>
      </c>
      <c r="K610" s="92">
        <v>1</v>
      </c>
      <c r="L610" s="92">
        <v>38534</v>
      </c>
      <c r="M610" s="92">
        <v>42758</v>
      </c>
      <c r="N610" s="92">
        <v>18352</v>
      </c>
      <c r="O610" s="92">
        <v>18352</v>
      </c>
      <c r="P610" s="92">
        <v>0</v>
      </c>
      <c r="Q610" s="92">
        <v>0</v>
      </c>
      <c r="R610" s="92">
        <v>0</v>
      </c>
      <c r="S610" s="92">
        <v>0</v>
      </c>
      <c r="T610" s="92">
        <v>0</v>
      </c>
      <c r="U610" s="92">
        <v>0</v>
      </c>
      <c r="V610" s="92">
        <v>0</v>
      </c>
      <c r="W610" s="92">
        <v>0</v>
      </c>
      <c r="X610" s="92">
        <v>0</v>
      </c>
      <c r="Y610" s="92">
        <v>0</v>
      </c>
      <c r="Z610" s="92">
        <v>0</v>
      </c>
      <c r="AA610" s="92">
        <v>0</v>
      </c>
      <c r="AB610" s="92">
        <v>40893</v>
      </c>
      <c r="AC610" s="92">
        <v>43047</v>
      </c>
      <c r="AD610" s="92">
        <v>46000</v>
      </c>
      <c r="AE610" s="92">
        <v>0</v>
      </c>
      <c r="AF610" s="92">
        <v>0</v>
      </c>
      <c r="AG610" s="92">
        <v>0</v>
      </c>
    </row>
    <row r="611" spans="1:35" x14ac:dyDescent="0.25">
      <c r="A611" t="str">
        <f t="shared" si="13"/>
        <v>33-4-96</v>
      </c>
      <c r="B611">
        <v>33</v>
      </c>
      <c r="C611" s="92" t="s">
        <v>1046</v>
      </c>
      <c r="D611" s="92">
        <v>4</v>
      </c>
      <c r="E611" s="92" t="s">
        <v>66</v>
      </c>
      <c r="F611" s="92">
        <v>96</v>
      </c>
      <c r="G611" s="92" t="s">
        <v>868</v>
      </c>
      <c r="H611" s="92"/>
      <c r="I611" s="92">
        <v>0</v>
      </c>
      <c r="J611" s="92">
        <v>717077</v>
      </c>
      <c r="K611" s="92">
        <v>1</v>
      </c>
      <c r="L611" s="92">
        <v>38534</v>
      </c>
      <c r="M611" s="92">
        <v>42758</v>
      </c>
      <c r="N611" s="92">
        <v>18352</v>
      </c>
      <c r="O611" s="92">
        <v>18352</v>
      </c>
      <c r="P611" s="92">
        <v>0</v>
      </c>
      <c r="Q611" s="92">
        <v>0</v>
      </c>
      <c r="R611" s="92">
        <v>0</v>
      </c>
      <c r="S611" s="92">
        <v>0</v>
      </c>
      <c r="T611" s="92">
        <v>0</v>
      </c>
      <c r="U611" s="92">
        <v>0</v>
      </c>
      <c r="V611" s="92">
        <v>0</v>
      </c>
      <c r="W611" s="92">
        <v>0</v>
      </c>
      <c r="X611" s="92">
        <v>0</v>
      </c>
      <c r="Y611" s="92">
        <v>0</v>
      </c>
      <c r="Z611" s="92">
        <v>0</v>
      </c>
      <c r="AA611" s="92">
        <v>0</v>
      </c>
      <c r="AB611" s="92">
        <v>40893</v>
      </c>
      <c r="AC611" s="92">
        <v>43047</v>
      </c>
      <c r="AD611" s="92">
        <v>46000</v>
      </c>
      <c r="AE611" s="92">
        <v>0</v>
      </c>
      <c r="AF611" s="92">
        <v>0</v>
      </c>
      <c r="AG611" s="92">
        <v>0</v>
      </c>
    </row>
    <row r="612" spans="1:35" x14ac:dyDescent="0.25">
      <c r="A612" t="str">
        <f t="shared" si="13"/>
        <v>27-9-39</v>
      </c>
      <c r="B612">
        <v>27</v>
      </c>
      <c r="C612" s="92" t="s">
        <v>1040</v>
      </c>
      <c r="D612" s="92">
        <v>9</v>
      </c>
      <c r="E612" s="92" t="s">
        <v>588</v>
      </c>
      <c r="F612" s="92">
        <v>39</v>
      </c>
      <c r="G612" s="92" t="s">
        <v>884</v>
      </c>
      <c r="H612" s="92"/>
      <c r="I612" s="92">
        <v>377</v>
      </c>
      <c r="J612" s="92">
        <v>910644</v>
      </c>
      <c r="K612" s="92" t="s">
        <v>1061</v>
      </c>
      <c r="L612" s="92">
        <v>15684</v>
      </c>
      <c r="M612" s="92">
        <v>4197</v>
      </c>
      <c r="N612" s="92">
        <v>1695</v>
      </c>
      <c r="O612" s="92">
        <v>1695</v>
      </c>
      <c r="P612" s="92">
        <v>0</v>
      </c>
      <c r="Q612" s="92">
        <v>0</v>
      </c>
      <c r="R612" s="92">
        <v>0</v>
      </c>
      <c r="S612" s="92">
        <v>0</v>
      </c>
      <c r="T612" s="92">
        <v>0</v>
      </c>
      <c r="U612" s="92">
        <v>0</v>
      </c>
      <c r="V612" s="92">
        <v>0</v>
      </c>
      <c r="W612" s="92">
        <v>0</v>
      </c>
      <c r="X612" s="92">
        <v>0</v>
      </c>
      <c r="Y612" s="92">
        <v>0</v>
      </c>
      <c r="Z612" s="92">
        <v>0</v>
      </c>
      <c r="AA612" s="92">
        <v>0</v>
      </c>
      <c r="AB612" s="92">
        <v>484316</v>
      </c>
      <c r="AC612" s="92">
        <v>512145</v>
      </c>
      <c r="AD612" s="92">
        <v>535101</v>
      </c>
      <c r="AE612" s="92">
        <v>0</v>
      </c>
      <c r="AF612" s="92">
        <v>0</v>
      </c>
      <c r="AG612" s="92">
        <v>0</v>
      </c>
      <c r="AI612" s="250">
        <v>4.1270100000000002E-4</v>
      </c>
    </row>
    <row r="613" spans="1:35" x14ac:dyDescent="0.25">
      <c r="A613" t="str">
        <f t="shared" si="13"/>
        <v>27-2-27</v>
      </c>
      <c r="B613">
        <v>27</v>
      </c>
      <c r="C613" s="92" t="s">
        <v>1040</v>
      </c>
      <c r="D613" s="92">
        <v>2</v>
      </c>
      <c r="E613" s="92" t="s">
        <v>53</v>
      </c>
      <c r="F613" s="92">
        <v>27</v>
      </c>
      <c r="G613" s="92" t="s">
        <v>397</v>
      </c>
      <c r="H613" s="92"/>
      <c r="I613" s="92">
        <v>254806</v>
      </c>
      <c r="J613" s="92">
        <v>147899680</v>
      </c>
      <c r="K613" s="92" t="s">
        <v>1061</v>
      </c>
      <c r="L613" s="92">
        <v>208574</v>
      </c>
      <c r="M613" s="92">
        <v>92655</v>
      </c>
      <c r="N613" s="92">
        <v>37969</v>
      </c>
      <c r="O613" s="92">
        <v>37969</v>
      </c>
      <c r="P613" s="92">
        <v>0</v>
      </c>
      <c r="Q613" s="92">
        <v>0</v>
      </c>
      <c r="R613" s="92">
        <v>0</v>
      </c>
      <c r="S613" s="92">
        <v>0</v>
      </c>
      <c r="T613" s="92">
        <v>0</v>
      </c>
      <c r="U613" s="92">
        <v>0</v>
      </c>
      <c r="V613" s="92">
        <v>0</v>
      </c>
      <c r="W613" s="92">
        <v>0</v>
      </c>
      <c r="X613" s="92">
        <v>0</v>
      </c>
      <c r="Y613" s="92">
        <v>0</v>
      </c>
      <c r="Z613" s="92">
        <v>0</v>
      </c>
      <c r="AA613" s="92">
        <v>0</v>
      </c>
      <c r="AB613" s="92">
        <v>8667930</v>
      </c>
      <c r="AC613" s="92">
        <v>9198483</v>
      </c>
      <c r="AD613" s="92">
        <v>9761171</v>
      </c>
      <c r="AE613" s="92">
        <v>0</v>
      </c>
      <c r="AF613" s="92">
        <v>0</v>
      </c>
      <c r="AG613" s="92">
        <v>0</v>
      </c>
    </row>
    <row r="614" spans="1:35" x14ac:dyDescent="0.25">
      <c r="A614" t="str">
        <f t="shared" si="13"/>
        <v>27-7-205</v>
      </c>
      <c r="B614">
        <v>27</v>
      </c>
      <c r="C614" s="92" t="s">
        <v>1040</v>
      </c>
      <c r="D614" s="92">
        <v>7</v>
      </c>
      <c r="E614" s="92" t="s">
        <v>586</v>
      </c>
      <c r="F614" s="92">
        <v>205</v>
      </c>
      <c r="G614" s="92" t="s">
        <v>883</v>
      </c>
      <c r="H614" s="92"/>
      <c r="I614" s="92">
        <v>66453</v>
      </c>
      <c r="J614" s="92">
        <v>70342511</v>
      </c>
      <c r="K614" s="92" t="s">
        <v>1061</v>
      </c>
      <c r="L614" s="92">
        <v>0</v>
      </c>
      <c r="M614" s="92">
        <v>0</v>
      </c>
      <c r="N614" s="92">
        <v>1983</v>
      </c>
      <c r="O614" s="92">
        <v>1983</v>
      </c>
      <c r="P614" s="92">
        <v>0</v>
      </c>
      <c r="Q614" s="92">
        <v>0</v>
      </c>
      <c r="R614" s="92">
        <v>0</v>
      </c>
      <c r="S614" s="92">
        <v>0</v>
      </c>
      <c r="T614" s="92">
        <v>0</v>
      </c>
      <c r="U614" s="92">
        <v>0</v>
      </c>
      <c r="V614" s="92">
        <v>0</v>
      </c>
      <c r="W614" s="92">
        <v>0</v>
      </c>
      <c r="X614" s="92">
        <v>0</v>
      </c>
      <c r="Y614" s="92">
        <v>0</v>
      </c>
      <c r="Z614" s="92">
        <v>0</v>
      </c>
      <c r="AA614" s="92">
        <v>0</v>
      </c>
      <c r="AB614" s="92">
        <v>498017</v>
      </c>
      <c r="AC614" s="92">
        <v>500000</v>
      </c>
      <c r="AD614" s="92">
        <v>498017</v>
      </c>
      <c r="AE614" s="92">
        <v>0</v>
      </c>
      <c r="AF614" s="92">
        <v>0</v>
      </c>
      <c r="AG614" s="92">
        <v>0</v>
      </c>
    </row>
    <row r="615" spans="1:35" x14ac:dyDescent="0.25">
      <c r="A615" t="str">
        <f t="shared" si="13"/>
        <v>27-17-13</v>
      </c>
      <c r="B615">
        <v>27</v>
      </c>
      <c r="C615" s="92" t="s">
        <v>1040</v>
      </c>
      <c r="D615" s="92">
        <v>17</v>
      </c>
      <c r="E615" s="92" t="s">
        <v>593</v>
      </c>
      <c r="F615" s="92">
        <v>13</v>
      </c>
      <c r="G615" s="92" t="s">
        <v>1239</v>
      </c>
      <c r="H615" s="92"/>
      <c r="I615" s="92">
        <v>20180</v>
      </c>
      <c r="J615" s="92">
        <v>77967952</v>
      </c>
      <c r="K615" s="92" t="s">
        <v>1061</v>
      </c>
      <c r="L615" s="92">
        <v>15744</v>
      </c>
      <c r="M615" s="92">
        <v>8456</v>
      </c>
      <c r="N615" s="92">
        <v>3539</v>
      </c>
      <c r="O615" s="92">
        <v>3539</v>
      </c>
      <c r="P615" s="92">
        <v>0</v>
      </c>
      <c r="Q615" s="92">
        <v>0</v>
      </c>
      <c r="R615" s="92">
        <v>0</v>
      </c>
      <c r="S615" s="92">
        <v>0</v>
      </c>
      <c r="T615" s="92">
        <v>0</v>
      </c>
      <c r="U615" s="92">
        <v>0</v>
      </c>
      <c r="V615" s="92">
        <v>0</v>
      </c>
      <c r="W615" s="92">
        <v>0</v>
      </c>
      <c r="X615" s="92">
        <v>0</v>
      </c>
      <c r="Y615" s="92">
        <v>0</v>
      </c>
      <c r="Z615" s="92">
        <v>0</v>
      </c>
      <c r="AA615" s="92">
        <v>0</v>
      </c>
      <c r="AB615" s="92">
        <v>889019</v>
      </c>
      <c r="AC615" s="92">
        <v>934908</v>
      </c>
      <c r="AD615" s="92">
        <v>963164</v>
      </c>
      <c r="AE615" s="92">
        <v>0</v>
      </c>
      <c r="AF615" s="92">
        <v>0</v>
      </c>
      <c r="AG615" s="92">
        <v>0</v>
      </c>
    </row>
    <row r="616" spans="1:35" x14ac:dyDescent="0.25">
      <c r="A616" t="str">
        <f t="shared" si="13"/>
        <v>27-11-32</v>
      </c>
      <c r="B616">
        <v>27</v>
      </c>
      <c r="C616" s="92" t="s">
        <v>1040</v>
      </c>
      <c r="D616" s="92">
        <v>11</v>
      </c>
      <c r="E616" s="92" t="s">
        <v>1062</v>
      </c>
      <c r="F616" s="92">
        <v>32</v>
      </c>
      <c r="G616" s="92" t="s">
        <v>1238</v>
      </c>
      <c r="H616" s="92"/>
      <c r="I616" s="92">
        <v>0</v>
      </c>
      <c r="J616" s="92">
        <v>78380408</v>
      </c>
      <c r="K616" s="92" t="s">
        <v>1061</v>
      </c>
      <c r="L616" s="92">
        <v>39037</v>
      </c>
      <c r="M616" s="92">
        <v>18820</v>
      </c>
      <c r="N616" s="92">
        <v>9029</v>
      </c>
      <c r="O616" s="92">
        <v>8615</v>
      </c>
      <c r="P616" s="92">
        <v>0</v>
      </c>
      <c r="Q616" s="92">
        <v>0</v>
      </c>
      <c r="R616" s="92">
        <v>0</v>
      </c>
      <c r="S616" s="92">
        <v>0</v>
      </c>
      <c r="T616" s="92">
        <v>0</v>
      </c>
      <c r="U616" s="92">
        <v>0</v>
      </c>
      <c r="V616" s="92">
        <v>0</v>
      </c>
      <c r="W616" s="92">
        <v>0</v>
      </c>
      <c r="X616" s="92">
        <v>0</v>
      </c>
      <c r="Y616" s="92">
        <v>0</v>
      </c>
      <c r="Z616" s="92">
        <v>0</v>
      </c>
      <c r="AA616" s="92">
        <v>0</v>
      </c>
      <c r="AB616" s="92">
        <v>2269333</v>
      </c>
      <c r="AC616" s="92">
        <v>2386240</v>
      </c>
      <c r="AD616" s="92">
        <v>2509794</v>
      </c>
      <c r="AE616" s="92">
        <v>0</v>
      </c>
      <c r="AF616" s="92">
        <v>0</v>
      </c>
      <c r="AG616" s="92">
        <v>0</v>
      </c>
    </row>
    <row r="617" spans="1:35" x14ac:dyDescent="0.25">
      <c r="A617" t="str">
        <f t="shared" si="13"/>
        <v>24-4-100</v>
      </c>
      <c r="B617">
        <v>24</v>
      </c>
      <c r="C617" s="92" t="s">
        <v>1037</v>
      </c>
      <c r="D617" s="92">
        <v>4</v>
      </c>
      <c r="E617" s="92" t="s">
        <v>66</v>
      </c>
      <c r="F617" s="92">
        <v>100</v>
      </c>
      <c r="G617" s="92" t="s">
        <v>855</v>
      </c>
      <c r="H617" s="92"/>
      <c r="I617" s="92">
        <v>0</v>
      </c>
      <c r="J617" s="92">
        <v>23255533</v>
      </c>
      <c r="K617" s="92">
        <v>1</v>
      </c>
      <c r="L617" s="92">
        <v>52714</v>
      </c>
      <c r="M617" s="92">
        <v>47907</v>
      </c>
      <c r="N617" s="92">
        <v>28159</v>
      </c>
      <c r="O617" s="92">
        <v>28159</v>
      </c>
      <c r="P617" s="92">
        <v>0</v>
      </c>
      <c r="Q617" s="92">
        <v>0</v>
      </c>
      <c r="R617" s="92">
        <v>0</v>
      </c>
      <c r="S617" s="92">
        <v>0</v>
      </c>
      <c r="T617" s="92">
        <v>0</v>
      </c>
      <c r="U617" s="92">
        <v>0</v>
      </c>
      <c r="V617" s="92">
        <v>0</v>
      </c>
      <c r="W617" s="92">
        <v>0</v>
      </c>
      <c r="X617" s="92">
        <v>0</v>
      </c>
      <c r="Y617" s="92">
        <v>0</v>
      </c>
      <c r="Z617" s="92">
        <v>0</v>
      </c>
      <c r="AA617" s="92">
        <v>0</v>
      </c>
      <c r="AB617" s="92">
        <v>105226</v>
      </c>
      <c r="AC617" s="92">
        <v>110468</v>
      </c>
      <c r="AD617" s="92">
        <v>116015</v>
      </c>
      <c r="AE617" s="92">
        <v>0</v>
      </c>
      <c r="AF617" s="92">
        <v>0</v>
      </c>
      <c r="AG617" s="92">
        <v>0</v>
      </c>
    </row>
    <row r="618" spans="1:35" x14ac:dyDescent="0.25">
      <c r="A618" t="str">
        <f t="shared" si="13"/>
        <v>27-4-100</v>
      </c>
      <c r="B618">
        <v>27</v>
      </c>
      <c r="C618" s="92" t="s">
        <v>1040</v>
      </c>
      <c r="D618" s="92">
        <v>4</v>
      </c>
      <c r="E618" s="92" t="s">
        <v>66</v>
      </c>
      <c r="F618" s="92">
        <v>100</v>
      </c>
      <c r="G618" s="92" t="s">
        <v>855</v>
      </c>
      <c r="H618" s="92"/>
      <c r="I618" s="92">
        <v>0</v>
      </c>
      <c r="J618" s="92">
        <v>77797027</v>
      </c>
      <c r="K618" s="92">
        <v>1</v>
      </c>
      <c r="L618" s="92">
        <v>52714</v>
      </c>
      <c r="M618" s="92">
        <v>47907</v>
      </c>
      <c r="N618" s="92">
        <v>28159</v>
      </c>
      <c r="O618" s="92">
        <v>28159</v>
      </c>
      <c r="P618" s="92">
        <v>0</v>
      </c>
      <c r="Q618" s="92">
        <v>0</v>
      </c>
      <c r="R618" s="92">
        <v>0</v>
      </c>
      <c r="S618" s="92">
        <v>0</v>
      </c>
      <c r="T618" s="92">
        <v>0</v>
      </c>
      <c r="U618" s="92">
        <v>0</v>
      </c>
      <c r="V618" s="92">
        <v>0</v>
      </c>
      <c r="W618" s="92">
        <v>0</v>
      </c>
      <c r="X618" s="92">
        <v>0</v>
      </c>
      <c r="Y618" s="92">
        <v>0</v>
      </c>
      <c r="Z618" s="92">
        <v>0</v>
      </c>
      <c r="AA618" s="92">
        <v>0</v>
      </c>
      <c r="AB618" s="92">
        <v>105226</v>
      </c>
      <c r="AC618" s="92">
        <v>110468</v>
      </c>
      <c r="AD618" s="92">
        <v>116015</v>
      </c>
      <c r="AE618" s="92">
        <v>0</v>
      </c>
      <c r="AF618" s="92">
        <v>0</v>
      </c>
      <c r="AG618" s="92">
        <v>0</v>
      </c>
    </row>
    <row r="619" spans="1:35" x14ac:dyDescent="0.25">
      <c r="A619" t="str">
        <f t="shared" si="13"/>
        <v>32-4-100</v>
      </c>
      <c r="B619">
        <v>32</v>
      </c>
      <c r="C619" s="92" t="s">
        <v>1045</v>
      </c>
      <c r="D619" s="92">
        <v>4</v>
      </c>
      <c r="E619" s="92" t="s">
        <v>66</v>
      </c>
      <c r="F619" s="92">
        <v>100</v>
      </c>
      <c r="G619" s="92" t="s">
        <v>855</v>
      </c>
      <c r="H619" s="92"/>
      <c r="I619" s="92">
        <v>0</v>
      </c>
      <c r="J619" s="92">
        <v>538499</v>
      </c>
      <c r="K619" s="92">
        <v>1</v>
      </c>
      <c r="L619" s="92">
        <v>52714</v>
      </c>
      <c r="M619" s="92">
        <v>47907</v>
      </c>
      <c r="N619" s="92">
        <v>28159</v>
      </c>
      <c r="O619" s="92">
        <v>28159</v>
      </c>
      <c r="P619" s="92">
        <v>0</v>
      </c>
      <c r="Q619" s="92">
        <v>0</v>
      </c>
      <c r="R619" s="92">
        <v>0</v>
      </c>
      <c r="S619" s="92">
        <v>0</v>
      </c>
      <c r="T619" s="92">
        <v>0</v>
      </c>
      <c r="U619" s="92">
        <v>0</v>
      </c>
      <c r="V619" s="92">
        <v>0</v>
      </c>
      <c r="W619" s="92">
        <v>0</v>
      </c>
      <c r="X619" s="92">
        <v>0</v>
      </c>
      <c r="Y619" s="92">
        <v>0</v>
      </c>
      <c r="Z619" s="92">
        <v>0</v>
      </c>
      <c r="AA619" s="92">
        <v>0</v>
      </c>
      <c r="AB619" s="92">
        <v>105226</v>
      </c>
      <c r="AC619" s="92">
        <v>110468</v>
      </c>
      <c r="AD619" s="92">
        <v>116015</v>
      </c>
      <c r="AE619" s="92">
        <v>0</v>
      </c>
      <c r="AF619" s="92">
        <v>0</v>
      </c>
      <c r="AG619" s="92">
        <v>0</v>
      </c>
    </row>
    <row r="620" spans="1:35" x14ac:dyDescent="0.25">
      <c r="A620" t="str">
        <f t="shared" si="13"/>
        <v>1-7-67</v>
      </c>
      <c r="B620">
        <v>1</v>
      </c>
      <c r="C620" s="92" t="s">
        <v>1016</v>
      </c>
      <c r="D620" s="92">
        <v>7</v>
      </c>
      <c r="E620" s="92" t="s">
        <v>586</v>
      </c>
      <c r="F620" s="92">
        <v>67</v>
      </c>
      <c r="G620" s="92" t="s">
        <v>84</v>
      </c>
      <c r="H620" s="92"/>
      <c r="I620" s="92">
        <v>689</v>
      </c>
      <c r="J620" s="92">
        <v>107457129</v>
      </c>
      <c r="K620" s="92" t="s">
        <v>1061</v>
      </c>
      <c r="L620" s="92">
        <v>1</v>
      </c>
      <c r="M620" s="92">
        <v>326</v>
      </c>
      <c r="N620" s="92">
        <v>63</v>
      </c>
      <c r="O620" s="92">
        <v>63</v>
      </c>
      <c r="P620" s="92">
        <v>0</v>
      </c>
      <c r="Q620" s="92">
        <v>0</v>
      </c>
      <c r="R620" s="92">
        <v>0</v>
      </c>
      <c r="S620" s="92">
        <v>0</v>
      </c>
      <c r="T620" s="92">
        <v>0</v>
      </c>
      <c r="U620" s="92">
        <v>2</v>
      </c>
      <c r="V620" s="92">
        <v>0</v>
      </c>
      <c r="W620" s="92">
        <v>0</v>
      </c>
      <c r="X620" s="92">
        <v>0</v>
      </c>
      <c r="Y620" s="92">
        <v>0</v>
      </c>
      <c r="Z620" s="92">
        <v>0</v>
      </c>
      <c r="AA620" s="92">
        <v>0</v>
      </c>
      <c r="AB620" s="92">
        <v>0</v>
      </c>
      <c r="AC620" s="92">
        <v>41946</v>
      </c>
      <c r="AD620" s="92">
        <v>43862</v>
      </c>
      <c r="AE620" s="92">
        <v>0</v>
      </c>
      <c r="AF620" s="92">
        <v>0</v>
      </c>
      <c r="AG620" s="92">
        <v>0</v>
      </c>
    </row>
    <row r="621" spans="1:35" x14ac:dyDescent="0.25">
      <c r="A621" t="str">
        <f t="shared" si="13"/>
        <v>18-20-12</v>
      </c>
      <c r="B621">
        <v>18</v>
      </c>
      <c r="C621" s="92" t="s">
        <v>1031</v>
      </c>
      <c r="D621" s="92">
        <v>20</v>
      </c>
      <c r="E621" s="92" t="s">
        <v>153</v>
      </c>
      <c r="F621" s="92">
        <v>12</v>
      </c>
      <c r="G621" s="92" t="s">
        <v>810</v>
      </c>
      <c r="H621" s="92"/>
      <c r="I621" s="92">
        <v>105</v>
      </c>
      <c r="J621" s="92">
        <v>53280</v>
      </c>
      <c r="K621" s="92" t="s">
        <v>1061</v>
      </c>
      <c r="L621" s="92">
        <v>0</v>
      </c>
      <c r="M621" s="92">
        <v>9</v>
      </c>
      <c r="N621" s="92">
        <v>0</v>
      </c>
      <c r="O621" s="92">
        <v>0</v>
      </c>
      <c r="P621" s="92">
        <v>0</v>
      </c>
      <c r="Q621" s="92">
        <v>0</v>
      </c>
      <c r="R621" s="92">
        <v>0</v>
      </c>
      <c r="S621" s="92">
        <v>0</v>
      </c>
      <c r="T621" s="92">
        <v>0</v>
      </c>
      <c r="U621" s="92">
        <v>0</v>
      </c>
      <c r="V621" s="92">
        <v>0</v>
      </c>
      <c r="W621" s="92">
        <v>0</v>
      </c>
      <c r="X621" s="92">
        <v>0</v>
      </c>
      <c r="Y621" s="92">
        <v>0</v>
      </c>
      <c r="Z621" s="92">
        <v>0</v>
      </c>
      <c r="AA621" s="92">
        <v>0</v>
      </c>
      <c r="AB621" s="92">
        <v>4191</v>
      </c>
      <c r="AC621" s="92">
        <v>4191</v>
      </c>
      <c r="AD621" s="92">
        <v>1130</v>
      </c>
      <c r="AE621" s="92">
        <v>0</v>
      </c>
      <c r="AF621" s="92">
        <v>0</v>
      </c>
      <c r="AG621" s="92">
        <v>0</v>
      </c>
    </row>
    <row r="622" spans="1:35" x14ac:dyDescent="0.25">
      <c r="A622" t="str">
        <f t="shared" si="13"/>
        <v>25-7-68</v>
      </c>
      <c r="B622">
        <v>25</v>
      </c>
      <c r="C622" s="92" t="s">
        <v>1038</v>
      </c>
      <c r="D622" s="92">
        <v>7</v>
      </c>
      <c r="E622" s="92" t="s">
        <v>586</v>
      </c>
      <c r="F622" s="92">
        <v>68</v>
      </c>
      <c r="G622" s="92" t="s">
        <v>372</v>
      </c>
      <c r="H622" s="92"/>
      <c r="I622" s="92">
        <v>0</v>
      </c>
      <c r="J622" s="92">
        <v>1679318</v>
      </c>
      <c r="K622" s="92">
        <v>1</v>
      </c>
      <c r="L622" s="92">
        <v>54</v>
      </c>
      <c r="M622" s="92">
        <v>99</v>
      </c>
      <c r="N622" s="92">
        <v>18</v>
      </c>
      <c r="O622" s="92">
        <v>18</v>
      </c>
      <c r="P622" s="92">
        <v>0</v>
      </c>
      <c r="Q622" s="92">
        <v>0</v>
      </c>
      <c r="R622" s="92">
        <v>0</v>
      </c>
      <c r="S622" s="92">
        <v>0</v>
      </c>
      <c r="T622" s="92">
        <v>0</v>
      </c>
      <c r="U622" s="92">
        <v>0</v>
      </c>
      <c r="V622" s="92">
        <v>0</v>
      </c>
      <c r="W622" s="92">
        <v>0</v>
      </c>
      <c r="X622" s="92">
        <v>0</v>
      </c>
      <c r="Y622" s="92">
        <v>0</v>
      </c>
      <c r="Z622" s="92">
        <v>0</v>
      </c>
      <c r="AA622" s="92">
        <v>0</v>
      </c>
      <c r="AB622" s="92">
        <v>8680</v>
      </c>
      <c r="AC622" s="92">
        <v>9125</v>
      </c>
      <c r="AD622" s="92">
        <v>9487</v>
      </c>
      <c r="AE622" s="92">
        <v>0</v>
      </c>
      <c r="AF622" s="92">
        <v>0</v>
      </c>
      <c r="AG622" s="92">
        <v>0</v>
      </c>
    </row>
    <row r="623" spans="1:35" x14ac:dyDescent="0.25">
      <c r="A623" t="str">
        <f t="shared" si="13"/>
        <v>31-7-68</v>
      </c>
      <c r="B623">
        <v>31</v>
      </c>
      <c r="C623" s="92" t="s">
        <v>1044</v>
      </c>
      <c r="D623" s="92">
        <v>7</v>
      </c>
      <c r="E623" s="92" t="s">
        <v>586</v>
      </c>
      <c r="F623" s="92">
        <v>68</v>
      </c>
      <c r="G623" s="92" t="s">
        <v>372</v>
      </c>
      <c r="H623" s="92"/>
      <c r="I623" s="92">
        <v>0</v>
      </c>
      <c r="J623" s="92">
        <v>2132225</v>
      </c>
      <c r="K623" s="92">
        <v>1</v>
      </c>
      <c r="L623" s="92">
        <v>54</v>
      </c>
      <c r="M623" s="92">
        <v>99</v>
      </c>
      <c r="N623" s="92">
        <v>18</v>
      </c>
      <c r="O623" s="92">
        <v>18</v>
      </c>
      <c r="P623" s="92">
        <v>0</v>
      </c>
      <c r="Q623" s="92">
        <v>0</v>
      </c>
      <c r="R623" s="92">
        <v>0</v>
      </c>
      <c r="S623" s="92">
        <v>0</v>
      </c>
      <c r="T623" s="92">
        <v>0</v>
      </c>
      <c r="U623" s="92">
        <v>0</v>
      </c>
      <c r="V623" s="92">
        <v>0</v>
      </c>
      <c r="W623" s="92">
        <v>0</v>
      </c>
      <c r="X623" s="92">
        <v>0</v>
      </c>
      <c r="Y623" s="92">
        <v>0</v>
      </c>
      <c r="Z623" s="92">
        <v>0</v>
      </c>
      <c r="AA623" s="92">
        <v>0</v>
      </c>
      <c r="AB623" s="92">
        <v>8680</v>
      </c>
      <c r="AC623" s="92">
        <v>9125</v>
      </c>
      <c r="AD623" s="92">
        <v>9487</v>
      </c>
      <c r="AE623" s="92">
        <v>0</v>
      </c>
      <c r="AF623" s="92">
        <v>0</v>
      </c>
      <c r="AG623" s="92">
        <v>0</v>
      </c>
    </row>
    <row r="624" spans="1:35" x14ac:dyDescent="0.25">
      <c r="A624" t="str">
        <f t="shared" si="13"/>
        <v>25-9-41</v>
      </c>
      <c r="B624">
        <v>25</v>
      </c>
      <c r="C624" s="92" t="s">
        <v>1038</v>
      </c>
      <c r="D624" s="92">
        <v>9</v>
      </c>
      <c r="E624" s="92" t="s">
        <v>588</v>
      </c>
      <c r="F624" s="92">
        <v>41</v>
      </c>
      <c r="G624" s="92" t="s">
        <v>382</v>
      </c>
      <c r="H624" s="92"/>
      <c r="I624" s="92">
        <v>2891</v>
      </c>
      <c r="J624" s="92">
        <v>2099576</v>
      </c>
      <c r="K624" s="92">
        <v>1</v>
      </c>
      <c r="L624" s="92">
        <v>93</v>
      </c>
      <c r="M624" s="92">
        <v>452</v>
      </c>
      <c r="N624" s="92">
        <v>80</v>
      </c>
      <c r="O624" s="92">
        <v>80</v>
      </c>
      <c r="P624" s="92">
        <v>0</v>
      </c>
      <c r="Q624" s="92">
        <v>0</v>
      </c>
      <c r="R624" s="92">
        <v>0</v>
      </c>
      <c r="S624" s="92">
        <v>0</v>
      </c>
      <c r="T624" s="92">
        <v>0</v>
      </c>
      <c r="U624" s="92">
        <v>0</v>
      </c>
      <c r="V624" s="92">
        <v>0</v>
      </c>
      <c r="W624" s="92">
        <v>0</v>
      </c>
      <c r="X624" s="92">
        <v>0</v>
      </c>
      <c r="Y624" s="92">
        <v>0</v>
      </c>
      <c r="Z624" s="92">
        <v>0</v>
      </c>
      <c r="AA624" s="92">
        <v>0</v>
      </c>
      <c r="AB624" s="92">
        <v>52987</v>
      </c>
      <c r="AC624" s="92">
        <v>56927</v>
      </c>
      <c r="AD624" s="92">
        <v>59607</v>
      </c>
      <c r="AE624" s="92">
        <v>0</v>
      </c>
      <c r="AF624" s="92">
        <v>0</v>
      </c>
      <c r="AG624" s="92">
        <v>0</v>
      </c>
      <c r="AI624" s="250">
        <v>2.5553300000000001E-4</v>
      </c>
    </row>
    <row r="625" spans="1:35" x14ac:dyDescent="0.25">
      <c r="A625" t="str">
        <f t="shared" si="13"/>
        <v>31-9-41</v>
      </c>
      <c r="B625">
        <v>31</v>
      </c>
      <c r="C625" s="92" t="s">
        <v>1044</v>
      </c>
      <c r="D625" s="92">
        <v>9</v>
      </c>
      <c r="E625" s="92" t="s">
        <v>588</v>
      </c>
      <c r="F625" s="92">
        <v>41</v>
      </c>
      <c r="G625" s="92" t="s">
        <v>382</v>
      </c>
      <c r="H625" s="92"/>
      <c r="I625" s="92">
        <v>2891</v>
      </c>
      <c r="J625" s="92">
        <v>653897</v>
      </c>
      <c r="K625" s="92">
        <v>1</v>
      </c>
      <c r="L625" s="92">
        <v>93</v>
      </c>
      <c r="M625" s="92">
        <v>452</v>
      </c>
      <c r="N625" s="92">
        <v>80</v>
      </c>
      <c r="O625" s="92">
        <v>80</v>
      </c>
      <c r="P625" s="92">
        <v>0</v>
      </c>
      <c r="Q625" s="92">
        <v>0</v>
      </c>
      <c r="R625" s="92">
        <v>0</v>
      </c>
      <c r="S625" s="92">
        <v>0</v>
      </c>
      <c r="T625" s="92">
        <v>0</v>
      </c>
      <c r="U625" s="92">
        <v>0</v>
      </c>
      <c r="V625" s="92">
        <v>0</v>
      </c>
      <c r="W625" s="92">
        <v>0</v>
      </c>
      <c r="X625" s="92">
        <v>0</v>
      </c>
      <c r="Y625" s="92">
        <v>0</v>
      </c>
      <c r="Z625" s="92">
        <v>0</v>
      </c>
      <c r="AA625" s="92">
        <v>0</v>
      </c>
      <c r="AB625" s="92">
        <v>52987</v>
      </c>
      <c r="AC625" s="92">
        <v>56927</v>
      </c>
      <c r="AD625" s="92">
        <v>59607</v>
      </c>
      <c r="AE625" s="92">
        <v>0</v>
      </c>
      <c r="AF625" s="92">
        <v>0</v>
      </c>
      <c r="AG625" s="92">
        <v>0</v>
      </c>
      <c r="AI625" s="250">
        <v>2.5553300000000001E-4</v>
      </c>
    </row>
    <row r="626" spans="1:35" x14ac:dyDescent="0.25">
      <c r="A626" t="str">
        <f t="shared" si="13"/>
        <v>31-11-33</v>
      </c>
      <c r="B626">
        <v>31</v>
      </c>
      <c r="C626" s="92" t="s">
        <v>1044</v>
      </c>
      <c r="D626" s="92">
        <v>11</v>
      </c>
      <c r="E626" s="92" t="s">
        <v>1062</v>
      </c>
      <c r="F626" s="92">
        <v>33</v>
      </c>
      <c r="G626" s="92" t="s">
        <v>928</v>
      </c>
      <c r="H626" s="92"/>
      <c r="I626" s="92">
        <v>24041</v>
      </c>
      <c r="J626" s="92">
        <v>2573919</v>
      </c>
      <c r="K626" s="92" t="s">
        <v>1061</v>
      </c>
      <c r="L626" s="92">
        <v>473</v>
      </c>
      <c r="M626" s="92">
        <v>683</v>
      </c>
      <c r="N626" s="92">
        <v>154</v>
      </c>
      <c r="O626" s="92">
        <v>113</v>
      </c>
      <c r="P626" s="92">
        <v>0</v>
      </c>
      <c r="Q626" s="92">
        <v>0</v>
      </c>
      <c r="R626" s="92">
        <v>0</v>
      </c>
      <c r="S626" s="92">
        <v>0</v>
      </c>
      <c r="T626" s="92">
        <v>0</v>
      </c>
      <c r="U626" s="92">
        <v>0</v>
      </c>
      <c r="V626" s="92">
        <v>0</v>
      </c>
      <c r="W626" s="92">
        <v>0</v>
      </c>
      <c r="X626" s="92">
        <v>0</v>
      </c>
      <c r="Y626" s="92">
        <v>0</v>
      </c>
      <c r="Z626" s="92">
        <v>0</v>
      </c>
      <c r="AA626" s="92">
        <v>0</v>
      </c>
      <c r="AB626" s="92">
        <v>33690</v>
      </c>
      <c r="AC626" s="92">
        <v>40690</v>
      </c>
      <c r="AD626" s="92">
        <v>40731</v>
      </c>
      <c r="AE626" s="92">
        <v>0</v>
      </c>
      <c r="AF626" s="92">
        <v>0</v>
      </c>
      <c r="AG626" s="92">
        <v>0</v>
      </c>
    </row>
    <row r="627" spans="1:35" x14ac:dyDescent="0.25">
      <c r="A627" t="str">
        <f t="shared" si="13"/>
        <v>25-4-123</v>
      </c>
      <c r="B627">
        <v>25</v>
      </c>
      <c r="C627" s="92" t="s">
        <v>1038</v>
      </c>
      <c r="D627" s="92">
        <v>4</v>
      </c>
      <c r="E627" s="92" t="s">
        <v>66</v>
      </c>
      <c r="F627" s="92">
        <v>123</v>
      </c>
      <c r="G627" s="92" t="s">
        <v>861</v>
      </c>
      <c r="H627" s="92"/>
      <c r="I627" s="92">
        <v>0</v>
      </c>
      <c r="J627" s="92">
        <v>2422387</v>
      </c>
      <c r="K627" s="92">
        <v>1</v>
      </c>
      <c r="L627" s="92">
        <v>2308</v>
      </c>
      <c r="M627" s="92">
        <v>3869</v>
      </c>
      <c r="N627" s="92">
        <v>11</v>
      </c>
      <c r="O627" s="92">
        <v>11</v>
      </c>
      <c r="P627" s="92">
        <v>0</v>
      </c>
      <c r="Q627" s="92">
        <v>0</v>
      </c>
      <c r="R627" s="92">
        <v>0</v>
      </c>
      <c r="S627" s="92">
        <v>0</v>
      </c>
      <c r="T627" s="92">
        <v>0</v>
      </c>
      <c r="U627" s="92">
        <v>0</v>
      </c>
      <c r="V627" s="92">
        <v>0</v>
      </c>
      <c r="W627" s="92">
        <v>0</v>
      </c>
      <c r="X627" s="92">
        <v>0</v>
      </c>
      <c r="Y627" s="92">
        <v>0</v>
      </c>
      <c r="Z627" s="92">
        <v>0</v>
      </c>
      <c r="AA627" s="92">
        <v>0</v>
      </c>
      <c r="AB627" s="92">
        <v>12547</v>
      </c>
      <c r="AC627" s="92">
        <v>13078</v>
      </c>
      <c r="AD627" s="92">
        <v>13580</v>
      </c>
      <c r="AE627" s="92">
        <v>0</v>
      </c>
      <c r="AF627" s="92">
        <v>0</v>
      </c>
      <c r="AG627" s="92">
        <v>0</v>
      </c>
    </row>
    <row r="628" spans="1:35" x14ac:dyDescent="0.25">
      <c r="A628" t="str">
        <f t="shared" si="13"/>
        <v>31-4-123</v>
      </c>
      <c r="B628">
        <v>31</v>
      </c>
      <c r="C628" s="92" t="s">
        <v>1044</v>
      </c>
      <c r="D628" s="92">
        <v>4</v>
      </c>
      <c r="E628" s="92" t="s">
        <v>66</v>
      </c>
      <c r="F628" s="92">
        <v>123</v>
      </c>
      <c r="G628" s="92" t="s">
        <v>861</v>
      </c>
      <c r="H628" s="92"/>
      <c r="I628" s="92">
        <v>0</v>
      </c>
      <c r="J628" s="92">
        <v>1835803</v>
      </c>
      <c r="K628" s="92">
        <v>1</v>
      </c>
      <c r="L628" s="92">
        <v>2308</v>
      </c>
      <c r="M628" s="92">
        <v>3869</v>
      </c>
      <c r="N628" s="92">
        <v>11</v>
      </c>
      <c r="O628" s="92">
        <v>11</v>
      </c>
      <c r="P628" s="92">
        <v>0</v>
      </c>
      <c r="Q628" s="92">
        <v>0</v>
      </c>
      <c r="R628" s="92">
        <v>0</v>
      </c>
      <c r="S628" s="92">
        <v>0</v>
      </c>
      <c r="T628" s="92">
        <v>0</v>
      </c>
      <c r="U628" s="92">
        <v>0</v>
      </c>
      <c r="V628" s="92">
        <v>0</v>
      </c>
      <c r="W628" s="92">
        <v>0</v>
      </c>
      <c r="X628" s="92">
        <v>0</v>
      </c>
      <c r="Y628" s="92">
        <v>0</v>
      </c>
      <c r="Z628" s="92">
        <v>0</v>
      </c>
      <c r="AA628" s="92">
        <v>0</v>
      </c>
      <c r="AB628" s="92">
        <v>12547</v>
      </c>
      <c r="AC628" s="92">
        <v>13078</v>
      </c>
      <c r="AD628" s="92">
        <v>13580</v>
      </c>
      <c r="AE628" s="92">
        <v>0</v>
      </c>
      <c r="AF628" s="92">
        <v>0</v>
      </c>
      <c r="AG628" s="92">
        <v>0</v>
      </c>
    </row>
    <row r="629" spans="1:35" x14ac:dyDescent="0.25">
      <c r="A629" t="str">
        <f t="shared" si="13"/>
        <v>28-4-159</v>
      </c>
      <c r="B629">
        <v>28</v>
      </c>
      <c r="C629" s="92" t="s">
        <v>1041</v>
      </c>
      <c r="D629" s="92">
        <v>4</v>
      </c>
      <c r="E629" s="92" t="s">
        <v>66</v>
      </c>
      <c r="F629" s="92">
        <v>159</v>
      </c>
      <c r="G629" s="92" t="s">
        <v>889</v>
      </c>
      <c r="H629" s="92"/>
      <c r="I629" s="92">
        <v>0</v>
      </c>
      <c r="J629" s="92">
        <v>30082993</v>
      </c>
      <c r="K629" s="92">
        <v>1</v>
      </c>
      <c r="L629" s="92">
        <v>1760</v>
      </c>
      <c r="M629" s="92">
        <v>59701</v>
      </c>
      <c r="N629" s="92">
        <v>10610</v>
      </c>
      <c r="O629" s="92">
        <v>10610</v>
      </c>
      <c r="P629" s="92">
        <v>0</v>
      </c>
      <c r="Q629" s="92">
        <v>0</v>
      </c>
      <c r="R629" s="92">
        <v>0</v>
      </c>
      <c r="S629" s="92">
        <v>2428</v>
      </c>
      <c r="T629" s="92">
        <v>0</v>
      </c>
      <c r="U629" s="92">
        <v>0</v>
      </c>
      <c r="V629" s="92">
        <v>0</v>
      </c>
      <c r="W629" s="92">
        <v>0</v>
      </c>
      <c r="X629" s="92">
        <v>0</v>
      </c>
      <c r="Y629" s="92">
        <v>0</v>
      </c>
      <c r="Z629" s="92">
        <v>0</v>
      </c>
      <c r="AA629" s="92">
        <v>0</v>
      </c>
      <c r="AB629" s="92">
        <v>51703</v>
      </c>
      <c r="AC629" s="92">
        <v>53419</v>
      </c>
      <c r="AD629" s="92">
        <v>55468</v>
      </c>
      <c r="AE629" s="92">
        <v>0</v>
      </c>
      <c r="AF629" s="92">
        <v>0</v>
      </c>
      <c r="AG629" s="92">
        <v>0</v>
      </c>
    </row>
    <row r="630" spans="1:35" x14ac:dyDescent="0.25">
      <c r="A630" t="str">
        <f t="shared" si="13"/>
        <v>40-4-159</v>
      </c>
      <c r="B630">
        <v>40</v>
      </c>
      <c r="C630" s="92" t="s">
        <v>1051</v>
      </c>
      <c r="D630" s="92">
        <v>4</v>
      </c>
      <c r="E630" s="92" t="s">
        <v>66</v>
      </c>
      <c r="F630" s="92">
        <v>159</v>
      </c>
      <c r="G630" s="92" t="s">
        <v>889</v>
      </c>
      <c r="H630" s="92"/>
      <c r="I630" s="92">
        <v>0</v>
      </c>
      <c r="J630" s="92">
        <v>47187669</v>
      </c>
      <c r="K630" s="92">
        <v>1</v>
      </c>
      <c r="L630" s="92">
        <v>1760</v>
      </c>
      <c r="M630" s="92">
        <v>59701</v>
      </c>
      <c r="N630" s="92">
        <v>10610</v>
      </c>
      <c r="O630" s="92">
        <v>10610</v>
      </c>
      <c r="P630" s="92">
        <v>0</v>
      </c>
      <c r="Q630" s="92">
        <v>0</v>
      </c>
      <c r="R630" s="92">
        <v>0</v>
      </c>
      <c r="S630" s="92">
        <v>2428</v>
      </c>
      <c r="T630" s="92">
        <v>0</v>
      </c>
      <c r="U630" s="92">
        <v>0</v>
      </c>
      <c r="V630" s="92">
        <v>0</v>
      </c>
      <c r="W630" s="92">
        <v>0</v>
      </c>
      <c r="X630" s="92">
        <v>0</v>
      </c>
      <c r="Y630" s="92">
        <v>0</v>
      </c>
      <c r="Z630" s="92">
        <v>0</v>
      </c>
      <c r="AA630" s="92">
        <v>0</v>
      </c>
      <c r="AB630" s="92">
        <v>51703</v>
      </c>
      <c r="AC630" s="92">
        <v>53419</v>
      </c>
      <c r="AD630" s="92">
        <v>55468</v>
      </c>
      <c r="AE630" s="92">
        <v>0</v>
      </c>
      <c r="AF630" s="92">
        <v>0</v>
      </c>
      <c r="AG630" s="92">
        <v>0</v>
      </c>
    </row>
    <row r="631" spans="1:35" x14ac:dyDescent="0.25">
      <c r="A631" t="str">
        <f t="shared" si="13"/>
        <v>18-4-113</v>
      </c>
      <c r="B631">
        <v>18</v>
      </c>
      <c r="C631" s="92" t="s">
        <v>1031</v>
      </c>
      <c r="D631" s="92">
        <v>4</v>
      </c>
      <c r="E631" s="92" t="s">
        <v>66</v>
      </c>
      <c r="F631" s="92">
        <v>113</v>
      </c>
      <c r="G631" s="92" t="s">
        <v>786</v>
      </c>
      <c r="H631" s="92"/>
      <c r="I631" s="92">
        <v>0</v>
      </c>
      <c r="J631" s="92">
        <v>179358</v>
      </c>
      <c r="K631" s="92">
        <v>1</v>
      </c>
      <c r="L631" s="92">
        <v>21284</v>
      </c>
      <c r="M631" s="92">
        <v>15381</v>
      </c>
      <c r="N631" s="92">
        <v>2562</v>
      </c>
      <c r="O631" s="92">
        <v>2562</v>
      </c>
      <c r="P631" s="92">
        <v>0</v>
      </c>
      <c r="Q631" s="92">
        <v>0</v>
      </c>
      <c r="R631" s="92">
        <v>0</v>
      </c>
      <c r="S631" s="92">
        <v>370</v>
      </c>
      <c r="T631" s="92">
        <v>700</v>
      </c>
      <c r="U631" s="92">
        <v>0</v>
      </c>
      <c r="V631" s="92">
        <v>0</v>
      </c>
      <c r="W631" s="92">
        <v>0</v>
      </c>
      <c r="X631" s="92">
        <v>0</v>
      </c>
      <c r="Y631" s="92">
        <v>0</v>
      </c>
      <c r="Z631" s="92">
        <v>0</v>
      </c>
      <c r="AA631" s="92">
        <v>0</v>
      </c>
      <c r="AB631" s="92">
        <v>29164</v>
      </c>
      <c r="AC631" s="92">
        <v>30286</v>
      </c>
      <c r="AD631" s="92">
        <v>31393</v>
      </c>
      <c r="AE631" s="92">
        <v>0</v>
      </c>
      <c r="AF631" s="92">
        <v>0</v>
      </c>
      <c r="AG631" s="92">
        <v>0</v>
      </c>
    </row>
    <row r="632" spans="1:35" x14ac:dyDescent="0.25">
      <c r="A632" t="str">
        <f t="shared" si="13"/>
        <v>29-4-113</v>
      </c>
      <c r="B632">
        <v>29</v>
      </c>
      <c r="C632" s="92" t="s">
        <v>1042</v>
      </c>
      <c r="D632" s="92">
        <v>4</v>
      </c>
      <c r="E632" s="92" t="s">
        <v>66</v>
      </c>
      <c r="F632" s="92">
        <v>113</v>
      </c>
      <c r="G632" s="92" t="s">
        <v>786</v>
      </c>
      <c r="H632" s="92"/>
      <c r="I632" s="92">
        <v>0</v>
      </c>
      <c r="J632" s="92">
        <v>5459661</v>
      </c>
      <c r="K632" s="92">
        <v>1</v>
      </c>
      <c r="L632" s="92">
        <v>21284</v>
      </c>
      <c r="M632" s="92">
        <v>15381</v>
      </c>
      <c r="N632" s="92">
        <v>2562</v>
      </c>
      <c r="O632" s="92">
        <v>2562</v>
      </c>
      <c r="P632" s="92">
        <v>0</v>
      </c>
      <c r="Q632" s="92">
        <v>0</v>
      </c>
      <c r="R632" s="92">
        <v>0</v>
      </c>
      <c r="S632" s="92">
        <v>370</v>
      </c>
      <c r="T632" s="92">
        <v>700</v>
      </c>
      <c r="U632" s="92">
        <v>0</v>
      </c>
      <c r="V632" s="92">
        <v>0</v>
      </c>
      <c r="W632" s="92">
        <v>0</v>
      </c>
      <c r="X632" s="92">
        <v>0</v>
      </c>
      <c r="Y632" s="92">
        <v>0</v>
      </c>
      <c r="Z632" s="92">
        <v>0</v>
      </c>
      <c r="AA632" s="92">
        <v>0</v>
      </c>
      <c r="AB632" s="92">
        <v>29164</v>
      </c>
      <c r="AC632" s="92">
        <v>30286</v>
      </c>
      <c r="AD632" s="92">
        <v>31393</v>
      </c>
      <c r="AE632" s="92">
        <v>0</v>
      </c>
      <c r="AF632" s="92">
        <v>0</v>
      </c>
      <c r="AG632" s="92">
        <v>0</v>
      </c>
    </row>
    <row r="633" spans="1:35" x14ac:dyDescent="0.25">
      <c r="A633" t="str">
        <f t="shared" si="13"/>
        <v>35-4-113</v>
      </c>
      <c r="B633">
        <v>35</v>
      </c>
      <c r="C633" s="92" t="s">
        <v>1195</v>
      </c>
      <c r="D633" s="92">
        <v>4</v>
      </c>
      <c r="E633" s="92" t="s">
        <v>66</v>
      </c>
      <c r="F633" s="92">
        <v>113</v>
      </c>
      <c r="G633" s="92" t="s">
        <v>786</v>
      </c>
      <c r="H633" s="92"/>
      <c r="I633" s="92">
        <v>0</v>
      </c>
      <c r="J633" s="92">
        <v>1374573</v>
      </c>
      <c r="K633" s="92">
        <v>1</v>
      </c>
      <c r="L633" s="92">
        <v>21284</v>
      </c>
      <c r="M633" s="92">
        <v>15381</v>
      </c>
      <c r="N633" s="92">
        <v>2562</v>
      </c>
      <c r="O633" s="92">
        <v>2562</v>
      </c>
      <c r="P633" s="92">
        <v>0</v>
      </c>
      <c r="Q633" s="92">
        <v>0</v>
      </c>
      <c r="R633" s="92">
        <v>0</v>
      </c>
      <c r="S633" s="92">
        <v>370</v>
      </c>
      <c r="T633" s="92">
        <v>700</v>
      </c>
      <c r="U633" s="92">
        <v>0</v>
      </c>
      <c r="V633" s="92">
        <v>0</v>
      </c>
      <c r="W633" s="92">
        <v>0</v>
      </c>
      <c r="X633" s="92">
        <v>0</v>
      </c>
      <c r="Y633" s="92">
        <v>0</v>
      </c>
      <c r="Z633" s="92">
        <v>0</v>
      </c>
      <c r="AA633" s="92">
        <v>0</v>
      </c>
      <c r="AB633" s="92">
        <v>29164</v>
      </c>
      <c r="AC633" s="92">
        <v>30286</v>
      </c>
      <c r="AD633" s="92">
        <v>31393</v>
      </c>
      <c r="AE633" s="92">
        <v>0</v>
      </c>
      <c r="AF633" s="92">
        <v>0</v>
      </c>
      <c r="AG633" s="92">
        <v>0</v>
      </c>
    </row>
    <row r="634" spans="1:35" x14ac:dyDescent="0.25">
      <c r="A634" t="str">
        <f t="shared" si="13"/>
        <v>7-7-70</v>
      </c>
      <c r="B634">
        <v>7</v>
      </c>
      <c r="C634" s="92" t="s">
        <v>1057</v>
      </c>
      <c r="D634" s="92">
        <v>7</v>
      </c>
      <c r="E634" s="92" t="s">
        <v>586</v>
      </c>
      <c r="F634" s="92">
        <v>70</v>
      </c>
      <c r="G634" s="92" t="s">
        <v>164</v>
      </c>
      <c r="H634" s="92"/>
      <c r="I634" s="92">
        <v>9</v>
      </c>
      <c r="J634" s="92">
        <v>11624306</v>
      </c>
      <c r="K634" s="92" t="s">
        <v>1061</v>
      </c>
      <c r="L634" s="92">
        <v>0</v>
      </c>
      <c r="M634" s="92">
        <v>107</v>
      </c>
      <c r="N634" s="92">
        <v>19</v>
      </c>
      <c r="O634" s="92">
        <v>19</v>
      </c>
      <c r="P634" s="92">
        <v>0</v>
      </c>
      <c r="Q634" s="92">
        <v>0</v>
      </c>
      <c r="R634" s="92">
        <v>0</v>
      </c>
      <c r="S634" s="92">
        <v>5.12</v>
      </c>
      <c r="T634" s="92">
        <v>1</v>
      </c>
      <c r="U634" s="92">
        <v>0</v>
      </c>
      <c r="V634" s="92">
        <v>0</v>
      </c>
      <c r="W634" s="92">
        <v>0</v>
      </c>
      <c r="X634" s="92">
        <v>0</v>
      </c>
      <c r="Y634" s="92">
        <v>0</v>
      </c>
      <c r="Z634" s="92">
        <v>0</v>
      </c>
      <c r="AA634" s="92">
        <v>0</v>
      </c>
      <c r="AB634" s="92">
        <v>74606</v>
      </c>
      <c r="AC634" s="92">
        <v>77467</v>
      </c>
      <c r="AD634" s="92">
        <v>80605</v>
      </c>
      <c r="AE634" s="92">
        <v>0</v>
      </c>
      <c r="AF634" s="92">
        <v>0</v>
      </c>
      <c r="AG634" s="92">
        <v>0</v>
      </c>
    </row>
    <row r="635" spans="1:35" x14ac:dyDescent="0.25">
      <c r="A635" t="str">
        <f t="shared" si="13"/>
        <v>7-9-194</v>
      </c>
      <c r="B635">
        <v>7</v>
      </c>
      <c r="C635" s="92" t="s">
        <v>1057</v>
      </c>
      <c r="D635" s="92">
        <v>9</v>
      </c>
      <c r="E635" s="92" t="s">
        <v>588</v>
      </c>
      <c r="F635" s="92">
        <v>194</v>
      </c>
      <c r="G635" s="92" t="s">
        <v>1345</v>
      </c>
      <c r="H635" s="92"/>
      <c r="I635" s="92">
        <v>0</v>
      </c>
      <c r="J635" s="92">
        <v>0</v>
      </c>
      <c r="K635" s="92" t="s">
        <v>1061</v>
      </c>
      <c r="L635" s="92">
        <v>0</v>
      </c>
      <c r="M635" s="92">
        <v>0</v>
      </c>
      <c r="N635" s="92">
        <v>0</v>
      </c>
      <c r="O635" s="92">
        <v>0</v>
      </c>
      <c r="P635" s="92">
        <v>0</v>
      </c>
      <c r="Q635" s="92">
        <v>0</v>
      </c>
      <c r="R635" s="92">
        <v>0</v>
      </c>
      <c r="S635" s="92">
        <v>0</v>
      </c>
      <c r="T635" s="92">
        <v>0</v>
      </c>
      <c r="U635" s="92">
        <v>0</v>
      </c>
      <c r="V635" s="92">
        <v>0</v>
      </c>
      <c r="W635" s="92">
        <v>0</v>
      </c>
      <c r="X635" s="92">
        <v>0</v>
      </c>
      <c r="Y635" s="92">
        <v>0</v>
      </c>
      <c r="Z635" s="92">
        <v>0</v>
      </c>
      <c r="AA635" s="92">
        <v>0</v>
      </c>
      <c r="AB635" s="92">
        <v>0</v>
      </c>
      <c r="AC635" s="92">
        <v>0</v>
      </c>
      <c r="AD635" s="92">
        <v>3465068</v>
      </c>
      <c r="AE635" s="92">
        <v>0</v>
      </c>
      <c r="AF635" s="92">
        <v>0</v>
      </c>
      <c r="AG635" s="92">
        <v>0</v>
      </c>
      <c r="AI635" s="250">
        <v>4.9827699999999999E-4</v>
      </c>
    </row>
    <row r="636" spans="1:35" x14ac:dyDescent="0.25">
      <c r="A636" t="str">
        <f t="shared" si="13"/>
        <v>25-7-71</v>
      </c>
      <c r="B636">
        <v>25</v>
      </c>
      <c r="C636" s="92" t="s">
        <v>1038</v>
      </c>
      <c r="D636" s="92">
        <v>7</v>
      </c>
      <c r="E636" s="92" t="s">
        <v>586</v>
      </c>
      <c r="F636" s="92">
        <v>71</v>
      </c>
      <c r="G636" s="92" t="s">
        <v>373</v>
      </c>
      <c r="H636" s="92"/>
      <c r="I636" s="92">
        <v>0</v>
      </c>
      <c r="J636" s="92">
        <v>171627</v>
      </c>
      <c r="K636" s="92" t="s">
        <v>1061</v>
      </c>
      <c r="L636" s="92">
        <v>83</v>
      </c>
      <c r="M636" s="92">
        <v>44</v>
      </c>
      <c r="N636" s="92">
        <v>4</v>
      </c>
      <c r="O636" s="92">
        <v>4</v>
      </c>
      <c r="P636" s="92">
        <v>0</v>
      </c>
      <c r="Q636" s="92">
        <v>0</v>
      </c>
      <c r="R636" s="92">
        <v>0</v>
      </c>
      <c r="S636" s="92">
        <v>0</v>
      </c>
      <c r="T636" s="92">
        <v>0</v>
      </c>
      <c r="U636" s="92">
        <v>0</v>
      </c>
      <c r="V636" s="92">
        <v>0</v>
      </c>
      <c r="W636" s="92">
        <v>0</v>
      </c>
      <c r="X636" s="92">
        <v>0</v>
      </c>
      <c r="Y636" s="92">
        <v>0</v>
      </c>
      <c r="Z636" s="92">
        <v>0</v>
      </c>
      <c r="AA636" s="92">
        <v>0</v>
      </c>
      <c r="AB636" s="92">
        <v>1858</v>
      </c>
      <c r="AC636" s="92">
        <v>1918</v>
      </c>
      <c r="AD636" s="92">
        <v>1918</v>
      </c>
      <c r="AE636" s="92">
        <v>0</v>
      </c>
      <c r="AF636" s="92">
        <v>0</v>
      </c>
      <c r="AG636" s="92">
        <v>0</v>
      </c>
    </row>
    <row r="637" spans="1:35" x14ac:dyDescent="0.25">
      <c r="A637" t="str">
        <f t="shared" si="13"/>
        <v>25-11-34</v>
      </c>
      <c r="B637">
        <v>25</v>
      </c>
      <c r="C637" s="92" t="s">
        <v>1038</v>
      </c>
      <c r="D637" s="92">
        <v>11</v>
      </c>
      <c r="E637" s="92" t="s">
        <v>1062</v>
      </c>
      <c r="F637" s="92">
        <v>34</v>
      </c>
      <c r="G637" s="92" t="s">
        <v>864</v>
      </c>
      <c r="H637" s="92"/>
      <c r="I637" s="92">
        <v>900</v>
      </c>
      <c r="J637" s="92">
        <v>873177</v>
      </c>
      <c r="K637" s="92" t="s">
        <v>1061</v>
      </c>
      <c r="L637" s="92">
        <v>782</v>
      </c>
      <c r="M637" s="92">
        <v>449</v>
      </c>
      <c r="N637" s="92">
        <v>35</v>
      </c>
      <c r="O637" s="92">
        <v>35</v>
      </c>
      <c r="P637" s="92">
        <v>0</v>
      </c>
      <c r="Q637" s="92">
        <v>0</v>
      </c>
      <c r="R637" s="92">
        <v>0</v>
      </c>
      <c r="S637" s="92">
        <v>0</v>
      </c>
      <c r="T637" s="92">
        <v>0</v>
      </c>
      <c r="U637" s="92">
        <v>0</v>
      </c>
      <c r="V637" s="92">
        <v>0</v>
      </c>
      <c r="W637" s="92">
        <v>0</v>
      </c>
      <c r="X637" s="92">
        <v>0</v>
      </c>
      <c r="Y637" s="92">
        <v>0</v>
      </c>
      <c r="Z637" s="92">
        <v>0</v>
      </c>
      <c r="AA637" s="92">
        <v>0</v>
      </c>
      <c r="AB637" s="92">
        <v>15048</v>
      </c>
      <c r="AC637" s="92">
        <v>15537</v>
      </c>
      <c r="AD637" s="92">
        <v>16453</v>
      </c>
      <c r="AE637" s="92">
        <v>0</v>
      </c>
      <c r="AF637" s="92">
        <v>0</v>
      </c>
      <c r="AG637" s="92">
        <v>0</v>
      </c>
    </row>
    <row r="638" spans="1:35" x14ac:dyDescent="0.25">
      <c r="A638" t="str">
        <f t="shared" si="13"/>
        <v>28-19-10</v>
      </c>
      <c r="B638">
        <v>28</v>
      </c>
      <c r="C638" s="92" t="s">
        <v>1041</v>
      </c>
      <c r="D638" s="92">
        <v>19</v>
      </c>
      <c r="E638" s="92" t="s">
        <v>1063</v>
      </c>
      <c r="F638" s="92">
        <v>10</v>
      </c>
      <c r="G638" s="92" t="s">
        <v>896</v>
      </c>
      <c r="H638" s="92"/>
      <c r="I638" s="92">
        <v>1511</v>
      </c>
      <c r="J638" s="92">
        <v>507638</v>
      </c>
      <c r="K638" s="92" t="s">
        <v>1061</v>
      </c>
      <c r="L638" s="92">
        <v>0</v>
      </c>
      <c r="M638" s="92">
        <v>17</v>
      </c>
      <c r="N638" s="92">
        <v>0</v>
      </c>
      <c r="O638" s="92">
        <v>0</v>
      </c>
      <c r="P638" s="92">
        <v>0</v>
      </c>
      <c r="Q638" s="92">
        <v>0</v>
      </c>
      <c r="R638" s="92">
        <v>0</v>
      </c>
      <c r="S638" s="92">
        <v>0</v>
      </c>
      <c r="T638" s="92">
        <v>0</v>
      </c>
      <c r="U638" s="92">
        <v>0</v>
      </c>
      <c r="V638" s="92">
        <v>0</v>
      </c>
      <c r="W638" s="92">
        <v>0</v>
      </c>
      <c r="X638" s="92">
        <v>0</v>
      </c>
      <c r="Y638" s="92">
        <v>0</v>
      </c>
      <c r="Z638" s="92">
        <v>0</v>
      </c>
      <c r="AA638" s="92">
        <v>0</v>
      </c>
      <c r="AB638" s="92">
        <v>49080</v>
      </c>
      <c r="AC638" s="92">
        <v>51377</v>
      </c>
      <c r="AD638" s="92">
        <v>52383</v>
      </c>
      <c r="AE638" s="92">
        <v>0</v>
      </c>
      <c r="AF638" s="92">
        <v>0</v>
      </c>
      <c r="AG638" s="92">
        <v>0</v>
      </c>
    </row>
    <row r="639" spans="1:35" x14ac:dyDescent="0.25">
      <c r="A639" t="str">
        <f t="shared" si="13"/>
        <v>25-11-35</v>
      </c>
      <c r="B639">
        <v>25</v>
      </c>
      <c r="C639" s="92" t="s">
        <v>1038</v>
      </c>
      <c r="D639" s="92">
        <v>11</v>
      </c>
      <c r="E639" s="92" t="s">
        <v>1062</v>
      </c>
      <c r="F639" s="92">
        <v>35</v>
      </c>
      <c r="G639" s="92" t="s">
        <v>865</v>
      </c>
      <c r="H639" s="92"/>
      <c r="I639" s="92">
        <v>330</v>
      </c>
      <c r="J639" s="92">
        <v>2905057</v>
      </c>
      <c r="K639" s="92" t="s">
        <v>1061</v>
      </c>
      <c r="L639" s="92">
        <v>33</v>
      </c>
      <c r="M639" s="92">
        <v>91</v>
      </c>
      <c r="N639" s="92">
        <v>4</v>
      </c>
      <c r="O639" s="92">
        <v>4</v>
      </c>
      <c r="P639" s="92">
        <v>0</v>
      </c>
      <c r="Q639" s="92">
        <v>0</v>
      </c>
      <c r="R639" s="92">
        <v>0</v>
      </c>
      <c r="S639" s="92">
        <v>0</v>
      </c>
      <c r="T639" s="92">
        <v>0</v>
      </c>
      <c r="U639" s="92">
        <v>0</v>
      </c>
      <c r="V639" s="92">
        <v>0</v>
      </c>
      <c r="W639" s="92">
        <v>0</v>
      </c>
      <c r="X639" s="92">
        <v>0</v>
      </c>
      <c r="Y639" s="92">
        <v>0</v>
      </c>
      <c r="Z639" s="92">
        <v>0</v>
      </c>
      <c r="AA639" s="92">
        <v>0</v>
      </c>
      <c r="AB639" s="92">
        <v>9594</v>
      </c>
      <c r="AC639" s="92">
        <v>9977</v>
      </c>
      <c r="AD639" s="92">
        <v>10420</v>
      </c>
      <c r="AE639" s="92">
        <v>0</v>
      </c>
      <c r="AF639" s="92">
        <v>0</v>
      </c>
      <c r="AG639" s="92">
        <v>0</v>
      </c>
    </row>
    <row r="640" spans="1:35" x14ac:dyDescent="0.25">
      <c r="A640" t="str">
        <f t="shared" si="13"/>
        <v>32-11-36</v>
      </c>
      <c r="B640">
        <v>32</v>
      </c>
      <c r="C640" s="92" t="s">
        <v>1045</v>
      </c>
      <c r="D640" s="92">
        <v>11</v>
      </c>
      <c r="E640" s="92" t="s">
        <v>1062</v>
      </c>
      <c r="F640" s="92">
        <v>36</v>
      </c>
      <c r="G640" s="92" t="s">
        <v>473</v>
      </c>
      <c r="H640" s="92"/>
      <c r="I640" s="92">
        <v>1133</v>
      </c>
      <c r="J640" s="92">
        <v>43331484</v>
      </c>
      <c r="K640" s="92" t="s">
        <v>1061</v>
      </c>
      <c r="L640" s="92">
        <v>2046</v>
      </c>
      <c r="M640" s="92">
        <v>1156</v>
      </c>
      <c r="N640" s="92">
        <v>456</v>
      </c>
      <c r="O640" s="92">
        <v>456</v>
      </c>
      <c r="P640" s="92">
        <v>0</v>
      </c>
      <c r="Q640" s="92">
        <v>0</v>
      </c>
      <c r="R640" s="92">
        <v>0</v>
      </c>
      <c r="S640" s="92">
        <v>0</v>
      </c>
      <c r="T640" s="92">
        <v>0</v>
      </c>
      <c r="U640" s="92">
        <v>0</v>
      </c>
      <c r="V640" s="92">
        <v>0</v>
      </c>
      <c r="W640" s="92">
        <v>0</v>
      </c>
      <c r="X640" s="92">
        <v>0</v>
      </c>
      <c r="Y640" s="92">
        <v>0</v>
      </c>
      <c r="Z640" s="92">
        <v>0</v>
      </c>
      <c r="AA640" s="92">
        <v>0</v>
      </c>
      <c r="AB640" s="92">
        <v>68647</v>
      </c>
      <c r="AC640" s="92">
        <v>71326</v>
      </c>
      <c r="AD640" s="92">
        <v>73576</v>
      </c>
      <c r="AE640" s="92">
        <v>0</v>
      </c>
      <c r="AF640" s="92">
        <v>0</v>
      </c>
      <c r="AG640" s="92">
        <v>0</v>
      </c>
    </row>
    <row r="641" spans="1:35" x14ac:dyDescent="0.25">
      <c r="A641" t="str">
        <f t="shared" si="13"/>
        <v>42-4-169</v>
      </c>
      <c r="B641">
        <v>42</v>
      </c>
      <c r="C641" s="92" t="s">
        <v>1196</v>
      </c>
      <c r="D641" s="92">
        <v>4</v>
      </c>
      <c r="E641" s="92" t="s">
        <v>66</v>
      </c>
      <c r="F641" s="92">
        <v>169</v>
      </c>
      <c r="G641" s="92" t="s">
        <v>988</v>
      </c>
      <c r="H641" s="92"/>
      <c r="I641" s="92">
        <v>0</v>
      </c>
      <c r="J641" s="92">
        <v>23168377</v>
      </c>
      <c r="K641" s="92" t="s">
        <v>1061</v>
      </c>
      <c r="L641" s="92">
        <v>14727</v>
      </c>
      <c r="M641" s="92">
        <v>11855</v>
      </c>
      <c r="N641" s="92">
        <v>3376</v>
      </c>
      <c r="O641" s="92">
        <v>3376</v>
      </c>
      <c r="P641" s="92">
        <v>0</v>
      </c>
      <c r="Q641" s="92">
        <v>0</v>
      </c>
      <c r="R641" s="92">
        <v>0</v>
      </c>
      <c r="S641" s="92">
        <v>1013</v>
      </c>
      <c r="T641" s="92">
        <v>0</v>
      </c>
      <c r="U641" s="92">
        <v>1100</v>
      </c>
      <c r="V641" s="92">
        <v>0</v>
      </c>
      <c r="W641" s="92">
        <v>0</v>
      </c>
      <c r="X641" s="92">
        <v>0</v>
      </c>
      <c r="Y641" s="92">
        <v>0</v>
      </c>
      <c r="Z641" s="92">
        <v>0</v>
      </c>
      <c r="AA641" s="92">
        <v>0</v>
      </c>
      <c r="AB641" s="92">
        <v>82102</v>
      </c>
      <c r="AC641" s="92">
        <v>87397</v>
      </c>
      <c r="AD641" s="92">
        <v>92788</v>
      </c>
      <c r="AE641" s="92">
        <v>0</v>
      </c>
      <c r="AF641" s="92">
        <v>0</v>
      </c>
      <c r="AG641" s="92">
        <v>0</v>
      </c>
    </row>
    <row r="642" spans="1:35" x14ac:dyDescent="0.25">
      <c r="A642" t="str">
        <f t="shared" si="13"/>
        <v>20-9-104</v>
      </c>
      <c r="B642">
        <v>20</v>
      </c>
      <c r="C642" s="92" t="s">
        <v>1033</v>
      </c>
      <c r="D642" s="92">
        <v>9</v>
      </c>
      <c r="E642" s="92" t="s">
        <v>588</v>
      </c>
      <c r="F642" s="92">
        <v>104</v>
      </c>
      <c r="G642" s="92" t="s">
        <v>827</v>
      </c>
      <c r="H642" s="92"/>
      <c r="I642" s="92">
        <v>0</v>
      </c>
      <c r="J642" s="92">
        <v>0</v>
      </c>
      <c r="K642" s="92" t="s">
        <v>1061</v>
      </c>
      <c r="L642" s="92">
        <v>6655</v>
      </c>
      <c r="M642" s="92">
        <v>514</v>
      </c>
      <c r="N642" s="92">
        <v>0</v>
      </c>
      <c r="O642" s="92">
        <v>0</v>
      </c>
      <c r="P642" s="92">
        <v>0</v>
      </c>
      <c r="Q642" s="92">
        <v>6519</v>
      </c>
      <c r="R642" s="92">
        <v>8385</v>
      </c>
      <c r="S642" s="92">
        <v>0</v>
      </c>
      <c r="T642" s="92">
        <v>0</v>
      </c>
      <c r="U642" s="92">
        <v>0</v>
      </c>
      <c r="V642" s="92">
        <v>0</v>
      </c>
      <c r="W642" s="92">
        <v>0</v>
      </c>
      <c r="X642" s="92">
        <v>0</v>
      </c>
      <c r="Y642" s="92">
        <v>0</v>
      </c>
      <c r="Z642" s="92">
        <v>0</v>
      </c>
      <c r="AA642" s="92">
        <v>0</v>
      </c>
      <c r="AB642" s="92">
        <v>79539</v>
      </c>
      <c r="AC642" s="92">
        <v>77351</v>
      </c>
      <c r="AD642" s="92">
        <v>74466</v>
      </c>
      <c r="AE642" s="92">
        <v>0</v>
      </c>
      <c r="AF642" s="92">
        <v>0</v>
      </c>
      <c r="AG642" s="92">
        <v>0</v>
      </c>
      <c r="AI642" s="250">
        <v>3.7377100000000001E-4</v>
      </c>
    </row>
    <row r="643" spans="1:35" x14ac:dyDescent="0.25">
      <c r="A643" t="str">
        <f t="shared" si="13"/>
        <v>28-19-11</v>
      </c>
      <c r="B643">
        <v>28</v>
      </c>
      <c r="C643" s="92" t="s">
        <v>1041</v>
      </c>
      <c r="D643" s="92">
        <v>19</v>
      </c>
      <c r="E643" s="92" t="s">
        <v>1063</v>
      </c>
      <c r="F643" s="92">
        <v>11</v>
      </c>
      <c r="G643" s="92" t="s">
        <v>430</v>
      </c>
      <c r="H643" s="92"/>
      <c r="I643" s="92">
        <v>252</v>
      </c>
      <c r="J643" s="92">
        <v>749504</v>
      </c>
      <c r="K643" s="92">
        <v>1</v>
      </c>
      <c r="L643" s="92">
        <v>0</v>
      </c>
      <c r="M643" s="92">
        <v>304</v>
      </c>
      <c r="N643" s="92">
        <v>32</v>
      </c>
      <c r="O643" s="92">
        <v>32</v>
      </c>
      <c r="P643" s="92">
        <v>0</v>
      </c>
      <c r="Q643" s="92">
        <v>0</v>
      </c>
      <c r="R643" s="92">
        <v>0</v>
      </c>
      <c r="S643" s="92">
        <v>0</v>
      </c>
      <c r="T643" s="92">
        <v>0</v>
      </c>
      <c r="U643" s="92">
        <v>0</v>
      </c>
      <c r="V643" s="92">
        <v>0</v>
      </c>
      <c r="W643" s="92">
        <v>0</v>
      </c>
      <c r="X643" s="92">
        <v>0</v>
      </c>
      <c r="Y643" s="92">
        <v>0</v>
      </c>
      <c r="Z643" s="92">
        <v>0</v>
      </c>
      <c r="AA643" s="92">
        <v>0</v>
      </c>
      <c r="AB643" s="92">
        <v>36438</v>
      </c>
      <c r="AC643" s="92">
        <v>37683</v>
      </c>
      <c r="AD643" s="92">
        <v>39288</v>
      </c>
      <c r="AE643" s="92">
        <v>0</v>
      </c>
      <c r="AF643" s="92">
        <v>0</v>
      </c>
      <c r="AG643" s="92">
        <v>0</v>
      </c>
    </row>
    <row r="644" spans="1:35" x14ac:dyDescent="0.25">
      <c r="A644" t="str">
        <f t="shared" si="13"/>
        <v>40-19-11</v>
      </c>
      <c r="B644">
        <v>40</v>
      </c>
      <c r="C644" s="92" t="s">
        <v>1051</v>
      </c>
      <c r="D644" s="92">
        <v>19</v>
      </c>
      <c r="E644" s="92" t="s">
        <v>1063</v>
      </c>
      <c r="F644" s="92">
        <v>11</v>
      </c>
      <c r="G644" s="92" t="s">
        <v>430</v>
      </c>
      <c r="H644" s="92"/>
      <c r="I644" s="92">
        <v>252</v>
      </c>
      <c r="J644" s="92">
        <v>6408548</v>
      </c>
      <c r="K644" s="92">
        <v>1</v>
      </c>
      <c r="L644" s="92">
        <v>0</v>
      </c>
      <c r="M644" s="92">
        <v>304</v>
      </c>
      <c r="N644" s="92">
        <v>32</v>
      </c>
      <c r="O644" s="92">
        <v>32</v>
      </c>
      <c r="P644" s="92">
        <v>0</v>
      </c>
      <c r="Q644" s="92">
        <v>0</v>
      </c>
      <c r="R644" s="92">
        <v>0</v>
      </c>
      <c r="S644" s="92">
        <v>0</v>
      </c>
      <c r="T644" s="92">
        <v>0</v>
      </c>
      <c r="U644" s="92">
        <v>0</v>
      </c>
      <c r="V644" s="92">
        <v>0</v>
      </c>
      <c r="W644" s="92">
        <v>0</v>
      </c>
      <c r="X644" s="92">
        <v>0</v>
      </c>
      <c r="Y644" s="92">
        <v>0</v>
      </c>
      <c r="Z644" s="92">
        <v>0</v>
      </c>
      <c r="AA644" s="92">
        <v>0</v>
      </c>
      <c r="AB644" s="92">
        <v>36438</v>
      </c>
      <c r="AC644" s="92">
        <v>37683</v>
      </c>
      <c r="AD644" s="92">
        <v>39288</v>
      </c>
      <c r="AE644" s="92">
        <v>0</v>
      </c>
      <c r="AF644" s="92">
        <v>0</v>
      </c>
      <c r="AG644" s="92">
        <v>0</v>
      </c>
    </row>
    <row r="645" spans="1:35" x14ac:dyDescent="0.25">
      <c r="A645" t="str">
        <f t="shared" si="13"/>
        <v>40-21-4</v>
      </c>
      <c r="B645">
        <v>40</v>
      </c>
      <c r="C645" s="92" t="s">
        <v>1051</v>
      </c>
      <c r="D645" s="92">
        <v>21</v>
      </c>
      <c r="E645" s="92" t="s">
        <v>594</v>
      </c>
      <c r="F645" s="92">
        <v>4</v>
      </c>
      <c r="G645" s="92" t="s">
        <v>979</v>
      </c>
      <c r="H645" s="92"/>
      <c r="I645" s="92">
        <v>0</v>
      </c>
      <c r="J645" s="92">
        <v>2140517</v>
      </c>
      <c r="K645" s="92" t="s">
        <v>1061</v>
      </c>
      <c r="L645" s="92">
        <v>0</v>
      </c>
      <c r="M645" s="92">
        <v>126</v>
      </c>
      <c r="N645" s="92">
        <v>8</v>
      </c>
      <c r="O645" s="92">
        <v>8</v>
      </c>
      <c r="P645" s="92">
        <v>0</v>
      </c>
      <c r="Q645" s="92">
        <v>0</v>
      </c>
      <c r="R645" s="92">
        <v>0</v>
      </c>
      <c r="S645" s="92">
        <v>0</v>
      </c>
      <c r="T645" s="92">
        <v>0</v>
      </c>
      <c r="U645" s="92">
        <v>0</v>
      </c>
      <c r="V645" s="92">
        <v>0</v>
      </c>
      <c r="W645" s="92">
        <v>0</v>
      </c>
      <c r="X645" s="92">
        <v>0</v>
      </c>
      <c r="Y645" s="92">
        <v>0</v>
      </c>
      <c r="Z645" s="92">
        <v>0</v>
      </c>
      <c r="AA645" s="92">
        <v>0</v>
      </c>
      <c r="AB645" s="92">
        <v>8128</v>
      </c>
      <c r="AC645" s="92">
        <v>8402</v>
      </c>
      <c r="AD645" s="92">
        <v>8810</v>
      </c>
      <c r="AE645" s="92">
        <v>0</v>
      </c>
      <c r="AF645" s="92">
        <v>0</v>
      </c>
      <c r="AG645" s="92">
        <v>0</v>
      </c>
    </row>
    <row r="646" spans="1:35" x14ac:dyDescent="0.25">
      <c r="A646" t="str">
        <f t="shared" si="13"/>
        <v>28-2-28</v>
      </c>
      <c r="B646">
        <v>28</v>
      </c>
      <c r="C646" s="92" t="s">
        <v>1041</v>
      </c>
      <c r="D646" s="92">
        <v>2</v>
      </c>
      <c r="E646" s="92" t="s">
        <v>53</v>
      </c>
      <c r="F646" s="92">
        <v>28</v>
      </c>
      <c r="G646" s="92" t="s">
        <v>404</v>
      </c>
      <c r="H646" s="92"/>
      <c r="I646" s="92">
        <v>11441505</v>
      </c>
      <c r="J646" s="92">
        <v>810323318</v>
      </c>
      <c r="K646" s="92" t="s">
        <v>1061</v>
      </c>
      <c r="L646" s="92">
        <v>38602</v>
      </c>
      <c r="M646" s="92">
        <v>374838</v>
      </c>
      <c r="N646" s="92">
        <v>54104</v>
      </c>
      <c r="O646" s="92">
        <v>54104</v>
      </c>
      <c r="P646" s="92">
        <v>0</v>
      </c>
      <c r="Q646" s="92">
        <v>0</v>
      </c>
      <c r="R646" s="92">
        <v>0</v>
      </c>
      <c r="S646" s="92">
        <v>1761</v>
      </c>
      <c r="T646" s="92">
        <v>0</v>
      </c>
      <c r="U646" s="92">
        <v>3938</v>
      </c>
      <c r="V646" s="92">
        <v>0</v>
      </c>
      <c r="W646" s="92">
        <v>0</v>
      </c>
      <c r="X646" s="92">
        <v>0</v>
      </c>
      <c r="Y646" s="92">
        <v>0</v>
      </c>
      <c r="Z646" s="92">
        <v>0</v>
      </c>
      <c r="AA646" s="92">
        <v>0</v>
      </c>
      <c r="AB646" s="92">
        <v>59416243</v>
      </c>
      <c r="AC646" s="92">
        <v>61539845</v>
      </c>
      <c r="AD646" s="92">
        <v>64398070</v>
      </c>
      <c r="AE646" s="92">
        <v>0</v>
      </c>
      <c r="AF646" s="92">
        <v>0</v>
      </c>
      <c r="AG646" s="92">
        <v>0</v>
      </c>
    </row>
    <row r="647" spans="1:35" x14ac:dyDescent="0.25">
      <c r="A647" t="str">
        <f t="shared" si="13"/>
        <v>28-5-6</v>
      </c>
      <c r="B647">
        <v>28</v>
      </c>
      <c r="C647" s="92" t="s">
        <v>1041</v>
      </c>
      <c r="D647" s="92">
        <v>5</v>
      </c>
      <c r="E647" s="92" t="s">
        <v>200</v>
      </c>
      <c r="F647" s="92">
        <v>6</v>
      </c>
      <c r="G647" s="92" t="s">
        <v>1240</v>
      </c>
      <c r="H647" s="92"/>
      <c r="I647" s="92">
        <v>180647</v>
      </c>
      <c r="J647" s="92">
        <v>810323318</v>
      </c>
      <c r="K647" s="92" t="s">
        <v>1061</v>
      </c>
      <c r="L647" s="92">
        <v>1237</v>
      </c>
      <c r="M647" s="92">
        <v>19546</v>
      </c>
      <c r="N647" s="92">
        <v>3146</v>
      </c>
      <c r="O647" s="92">
        <v>3146</v>
      </c>
      <c r="P647" s="92">
        <v>0</v>
      </c>
      <c r="Q647" s="92">
        <v>0</v>
      </c>
      <c r="R647" s="92">
        <v>0</v>
      </c>
      <c r="S647" s="92">
        <v>198</v>
      </c>
      <c r="T647" s="92">
        <v>0</v>
      </c>
      <c r="U647" s="92">
        <v>227</v>
      </c>
      <c r="V647" s="92">
        <v>0</v>
      </c>
      <c r="W647" s="92">
        <v>0</v>
      </c>
      <c r="X647" s="92">
        <v>0</v>
      </c>
      <c r="Y647" s="92">
        <v>0</v>
      </c>
      <c r="Z647" s="92">
        <v>0</v>
      </c>
      <c r="AA647" s="92">
        <v>0</v>
      </c>
      <c r="AB647" s="92">
        <v>3454574</v>
      </c>
      <c r="AC647" s="92">
        <v>3612815</v>
      </c>
      <c r="AD647" s="92">
        <v>3798873</v>
      </c>
      <c r="AE647" s="92">
        <v>0</v>
      </c>
      <c r="AF647" s="92">
        <v>0</v>
      </c>
      <c r="AG647" s="92">
        <v>0</v>
      </c>
      <c r="AI647">
        <v>7.7284000000000001E-5</v>
      </c>
    </row>
    <row r="648" spans="1:35" x14ac:dyDescent="0.25">
      <c r="A648" t="str">
        <f t="shared" si="13"/>
        <v>28-9-172</v>
      </c>
      <c r="B648">
        <v>28</v>
      </c>
      <c r="C648" s="92" t="s">
        <v>1041</v>
      </c>
      <c r="D648" s="92">
        <v>9</v>
      </c>
      <c r="E648" s="92" t="s">
        <v>588</v>
      </c>
      <c r="F648" s="92">
        <v>172</v>
      </c>
      <c r="G648" s="92" t="s">
        <v>892</v>
      </c>
      <c r="H648" s="92"/>
      <c r="I648" s="92">
        <v>107724</v>
      </c>
      <c r="J648" s="92">
        <v>83736074</v>
      </c>
      <c r="K648" s="92" t="s">
        <v>1061</v>
      </c>
      <c r="L648" s="92">
        <v>3567</v>
      </c>
      <c r="M648" s="92">
        <v>58934</v>
      </c>
      <c r="N648" s="92">
        <v>10120</v>
      </c>
      <c r="O648" s="92">
        <v>10120</v>
      </c>
      <c r="P648" s="92">
        <v>0</v>
      </c>
      <c r="Q648" s="92">
        <v>0</v>
      </c>
      <c r="R648" s="92">
        <v>0</v>
      </c>
      <c r="S648" s="92">
        <v>1221</v>
      </c>
      <c r="T648" s="92">
        <v>0</v>
      </c>
      <c r="U648" s="92">
        <v>745</v>
      </c>
      <c r="V648" s="92">
        <v>0</v>
      </c>
      <c r="W648" s="92">
        <v>0</v>
      </c>
      <c r="X648" s="92">
        <v>0</v>
      </c>
      <c r="Y648" s="92">
        <v>0</v>
      </c>
      <c r="Z648" s="92">
        <v>0</v>
      </c>
      <c r="AA648" s="92">
        <v>0</v>
      </c>
      <c r="AB648" s="92">
        <v>11891703</v>
      </c>
      <c r="AC648" s="92">
        <v>12437830</v>
      </c>
      <c r="AD648" s="92">
        <v>13221405</v>
      </c>
      <c r="AE648" s="92">
        <v>0</v>
      </c>
      <c r="AF648" s="92">
        <v>0</v>
      </c>
      <c r="AG648" s="92">
        <v>0</v>
      </c>
      <c r="AI648" s="250">
        <v>9.60439E-4</v>
      </c>
    </row>
    <row r="649" spans="1:35" x14ac:dyDescent="0.25">
      <c r="A649" t="str">
        <f t="shared" si="13"/>
        <v>28-12-3</v>
      </c>
      <c r="B649">
        <v>28</v>
      </c>
      <c r="C649" s="92" t="s">
        <v>1041</v>
      </c>
      <c r="D649" s="92">
        <v>12</v>
      </c>
      <c r="E649" s="92" t="s">
        <v>71</v>
      </c>
      <c r="F649" s="92">
        <v>3</v>
      </c>
      <c r="G649" s="92" t="s">
        <v>1103</v>
      </c>
      <c r="H649" s="92"/>
      <c r="I649" s="92">
        <v>61391</v>
      </c>
      <c r="J649" s="92" t="e">
        <v>#N/A</v>
      </c>
      <c r="K649" s="92"/>
      <c r="L649" s="92">
        <v>0</v>
      </c>
      <c r="M649" s="92">
        <v>0</v>
      </c>
      <c r="N649" s="92">
        <v>0</v>
      </c>
      <c r="O649" s="92">
        <v>0</v>
      </c>
      <c r="P649" s="92">
        <v>0</v>
      </c>
      <c r="Q649" s="92">
        <v>0</v>
      </c>
      <c r="R649" s="92">
        <v>0</v>
      </c>
      <c r="S649" s="92">
        <v>0</v>
      </c>
      <c r="T649" s="92">
        <v>0</v>
      </c>
      <c r="U649" s="92">
        <v>0</v>
      </c>
      <c r="V649" s="92">
        <v>0</v>
      </c>
      <c r="W649" s="92">
        <v>0</v>
      </c>
      <c r="X649" s="92">
        <v>0</v>
      </c>
      <c r="Y649" s="92">
        <v>0</v>
      </c>
      <c r="Z649" s="92">
        <v>0</v>
      </c>
      <c r="AA649" s="92">
        <v>0</v>
      </c>
      <c r="AB649" s="92">
        <v>0</v>
      </c>
      <c r="AC649" s="92">
        <v>0</v>
      </c>
      <c r="AD649" s="92">
        <v>0</v>
      </c>
      <c r="AE649" s="92">
        <v>0</v>
      </c>
      <c r="AF649" s="92">
        <v>0</v>
      </c>
      <c r="AG649" s="92">
        <v>0</v>
      </c>
    </row>
    <row r="650" spans="1:35" x14ac:dyDescent="0.25">
      <c r="A650" t="str">
        <f t="shared" si="13"/>
        <v>9-19-41</v>
      </c>
      <c r="B650">
        <v>9</v>
      </c>
      <c r="C650" s="92" t="s">
        <v>1022</v>
      </c>
      <c r="D650" s="92">
        <v>19</v>
      </c>
      <c r="E650" s="92" t="s">
        <v>1063</v>
      </c>
      <c r="F650" s="92">
        <v>41</v>
      </c>
      <c r="G650" s="92" t="s">
        <v>722</v>
      </c>
      <c r="H650" s="92"/>
      <c r="I650" s="92">
        <v>803</v>
      </c>
      <c r="J650" s="92">
        <v>7777788</v>
      </c>
      <c r="K650" s="92" t="s">
        <v>1061</v>
      </c>
      <c r="L650" s="92">
        <v>0</v>
      </c>
      <c r="M650" s="92">
        <v>0</v>
      </c>
      <c r="N650" s="92">
        <v>30</v>
      </c>
      <c r="O650" s="92">
        <v>30</v>
      </c>
      <c r="P650" s="92">
        <v>0</v>
      </c>
      <c r="Q650" s="92">
        <v>0</v>
      </c>
      <c r="R650" s="92">
        <v>0</v>
      </c>
      <c r="S650" s="92">
        <v>2.1800000000000002</v>
      </c>
      <c r="T650" s="92">
        <v>0</v>
      </c>
      <c r="U650" s="92">
        <v>0</v>
      </c>
      <c r="V650" s="92">
        <v>0</v>
      </c>
      <c r="W650" s="92">
        <v>0</v>
      </c>
      <c r="X650" s="92">
        <v>0</v>
      </c>
      <c r="Y650" s="92">
        <v>0</v>
      </c>
      <c r="Z650" s="92">
        <v>0</v>
      </c>
      <c r="AA650" s="92">
        <v>0</v>
      </c>
      <c r="AB650" s="92">
        <v>4602</v>
      </c>
      <c r="AC650" s="92">
        <v>4744</v>
      </c>
      <c r="AD650" s="92">
        <v>4917</v>
      </c>
      <c r="AE650" s="92">
        <v>0</v>
      </c>
      <c r="AF650" s="92">
        <v>0</v>
      </c>
      <c r="AG650" s="92">
        <v>0</v>
      </c>
    </row>
    <row r="651" spans="1:35" x14ac:dyDescent="0.25">
      <c r="A651" t="str">
        <f t="shared" si="13"/>
        <v>5-4-108</v>
      </c>
      <c r="B651">
        <v>5</v>
      </c>
      <c r="C651" s="92" t="s">
        <v>1019</v>
      </c>
      <c r="D651" s="92">
        <v>4</v>
      </c>
      <c r="E651" s="92" t="s">
        <v>66</v>
      </c>
      <c r="F651" s="92">
        <v>108</v>
      </c>
      <c r="G651" s="92" t="s">
        <v>666</v>
      </c>
      <c r="H651" s="92"/>
      <c r="I651" s="92">
        <v>0</v>
      </c>
      <c r="J651" s="92">
        <v>170066</v>
      </c>
      <c r="K651" s="92">
        <v>1</v>
      </c>
      <c r="L651" s="92">
        <v>0</v>
      </c>
      <c r="M651" s="92">
        <v>4126</v>
      </c>
      <c r="N651" s="92">
        <v>109</v>
      </c>
      <c r="O651" s="92">
        <v>109</v>
      </c>
      <c r="P651" s="92">
        <v>0</v>
      </c>
      <c r="Q651" s="92">
        <v>0</v>
      </c>
      <c r="R651" s="92">
        <v>0</v>
      </c>
      <c r="S651" s="92">
        <v>0</v>
      </c>
      <c r="T651" s="92">
        <v>0</v>
      </c>
      <c r="U651" s="92">
        <v>0</v>
      </c>
      <c r="V651" s="92">
        <v>0</v>
      </c>
      <c r="W651" s="92">
        <v>0</v>
      </c>
      <c r="X651" s="92">
        <v>0</v>
      </c>
      <c r="Y651" s="92">
        <v>0</v>
      </c>
      <c r="Z651" s="92">
        <v>0</v>
      </c>
      <c r="AA651" s="92">
        <v>0</v>
      </c>
      <c r="AB651" s="92">
        <v>19690</v>
      </c>
      <c r="AC651" s="92">
        <v>19690</v>
      </c>
      <c r="AD651" s="92">
        <v>19690</v>
      </c>
      <c r="AE651" s="92">
        <v>0</v>
      </c>
      <c r="AF651" s="92">
        <v>0</v>
      </c>
      <c r="AG651" s="92">
        <v>0</v>
      </c>
    </row>
    <row r="652" spans="1:35" x14ac:dyDescent="0.25">
      <c r="A652" t="str">
        <f t="shared" si="13"/>
        <v>28-4-108</v>
      </c>
      <c r="B652">
        <v>28</v>
      </c>
      <c r="C652" s="92" t="s">
        <v>1041</v>
      </c>
      <c r="D652" s="92">
        <v>4</v>
      </c>
      <c r="E652" s="92" t="s">
        <v>66</v>
      </c>
      <c r="F652" s="92">
        <v>108</v>
      </c>
      <c r="G652" s="92" t="s">
        <v>666</v>
      </c>
      <c r="H652" s="92"/>
      <c r="I652" s="92">
        <v>0</v>
      </c>
      <c r="J652" s="92">
        <v>30065647</v>
      </c>
      <c r="K652" s="92">
        <v>1</v>
      </c>
      <c r="L652" s="92">
        <v>0</v>
      </c>
      <c r="M652" s="92">
        <v>4126</v>
      </c>
      <c r="N652" s="92">
        <v>109</v>
      </c>
      <c r="O652" s="92">
        <v>109</v>
      </c>
      <c r="P652" s="92">
        <v>0</v>
      </c>
      <c r="Q652" s="92">
        <v>0</v>
      </c>
      <c r="R652" s="92">
        <v>0</v>
      </c>
      <c r="S652" s="92">
        <v>0</v>
      </c>
      <c r="T652" s="92">
        <v>0</v>
      </c>
      <c r="U652" s="92">
        <v>0</v>
      </c>
      <c r="V652" s="92">
        <v>0</v>
      </c>
      <c r="W652" s="92">
        <v>0</v>
      </c>
      <c r="X652" s="92">
        <v>0</v>
      </c>
      <c r="Y652" s="92">
        <v>0</v>
      </c>
      <c r="Z652" s="92">
        <v>0</v>
      </c>
      <c r="AA652" s="92">
        <v>0</v>
      </c>
      <c r="AB652" s="92">
        <v>19690</v>
      </c>
      <c r="AC652" s="92">
        <v>19690</v>
      </c>
      <c r="AD652" s="92">
        <v>19690</v>
      </c>
      <c r="AE652" s="92">
        <v>0</v>
      </c>
      <c r="AF652" s="92">
        <v>0</v>
      </c>
      <c r="AG652" s="92">
        <v>0</v>
      </c>
    </row>
    <row r="653" spans="1:35" x14ac:dyDescent="0.25">
      <c r="A653" t="str">
        <f t="shared" si="13"/>
        <v>28-21-5</v>
      </c>
      <c r="B653">
        <v>28</v>
      </c>
      <c r="C653" s="92" t="s">
        <v>1041</v>
      </c>
      <c r="D653" s="92">
        <v>21</v>
      </c>
      <c r="E653" s="92" t="s">
        <v>594</v>
      </c>
      <c r="F653" s="92">
        <v>5</v>
      </c>
      <c r="G653" s="92" t="s">
        <v>432</v>
      </c>
      <c r="H653" s="92"/>
      <c r="I653" s="92">
        <v>12397</v>
      </c>
      <c r="J653" s="92">
        <v>4198167</v>
      </c>
      <c r="K653" s="92" t="s">
        <v>1061</v>
      </c>
      <c r="L653" s="92">
        <v>1</v>
      </c>
      <c r="M653" s="92">
        <v>452</v>
      </c>
      <c r="N653" s="92">
        <v>6</v>
      </c>
      <c r="O653" s="92">
        <v>6</v>
      </c>
      <c r="P653" s="92">
        <v>0</v>
      </c>
      <c r="Q653" s="92">
        <v>0</v>
      </c>
      <c r="R653" s="92">
        <v>0</v>
      </c>
      <c r="S653" s="92">
        <v>0</v>
      </c>
      <c r="T653" s="92">
        <v>0</v>
      </c>
      <c r="U653" s="92">
        <v>0</v>
      </c>
      <c r="V653" s="92">
        <v>0</v>
      </c>
      <c r="W653" s="92">
        <v>0</v>
      </c>
      <c r="X653" s="92">
        <v>0</v>
      </c>
      <c r="Y653" s="92">
        <v>0</v>
      </c>
      <c r="Z653" s="92">
        <v>0</v>
      </c>
      <c r="AA653" s="92">
        <v>0</v>
      </c>
      <c r="AB653" s="92">
        <v>163188</v>
      </c>
      <c r="AC653" s="92">
        <v>174512</v>
      </c>
      <c r="AD653" s="92">
        <v>183670</v>
      </c>
      <c r="AE653" s="92">
        <v>0</v>
      </c>
      <c r="AF653" s="92">
        <v>0</v>
      </c>
      <c r="AG653" s="92">
        <v>0</v>
      </c>
    </row>
    <row r="654" spans="1:35" x14ac:dyDescent="0.25">
      <c r="A654" t="str">
        <f t="shared" si="13"/>
        <v>1-7-72</v>
      </c>
      <c r="B654">
        <v>1</v>
      </c>
      <c r="C654" s="92" t="s">
        <v>1016</v>
      </c>
      <c r="D654" s="92">
        <v>7</v>
      </c>
      <c r="E654" s="92" t="s">
        <v>586</v>
      </c>
      <c r="F654" s="92">
        <v>72</v>
      </c>
      <c r="G654" s="92" t="s">
        <v>85</v>
      </c>
      <c r="H654" s="92"/>
      <c r="I654" s="92">
        <v>0</v>
      </c>
      <c r="J654" s="92">
        <v>100168144</v>
      </c>
      <c r="K654" s="92">
        <v>1</v>
      </c>
      <c r="L654" s="92">
        <v>504</v>
      </c>
      <c r="M654" s="92">
        <v>971</v>
      </c>
      <c r="N654" s="92">
        <v>189</v>
      </c>
      <c r="O654" s="92">
        <v>189</v>
      </c>
      <c r="P654" s="92">
        <v>2942</v>
      </c>
      <c r="Q654" s="92">
        <v>3489</v>
      </c>
      <c r="R654" s="92">
        <v>4136</v>
      </c>
      <c r="S654" s="92">
        <v>0</v>
      </c>
      <c r="T654" s="92">
        <v>0</v>
      </c>
      <c r="U654" s="92">
        <v>41</v>
      </c>
      <c r="V654" s="92">
        <v>0</v>
      </c>
      <c r="W654" s="92">
        <v>0</v>
      </c>
      <c r="X654" s="92">
        <v>0</v>
      </c>
      <c r="Y654" s="92">
        <v>0</v>
      </c>
      <c r="Z654" s="92">
        <v>0</v>
      </c>
      <c r="AA654" s="92">
        <v>0</v>
      </c>
      <c r="AB654" s="92">
        <v>255974</v>
      </c>
      <c r="AC654" s="92">
        <v>264079</v>
      </c>
      <c r="AD654" s="92">
        <v>278190</v>
      </c>
      <c r="AE654" s="92">
        <v>0</v>
      </c>
      <c r="AF654" s="92">
        <v>0</v>
      </c>
      <c r="AG654" s="92">
        <v>0</v>
      </c>
    </row>
    <row r="655" spans="1:35" x14ac:dyDescent="0.25">
      <c r="A655" t="str">
        <f t="shared" si="13"/>
        <v>14-7-72</v>
      </c>
      <c r="B655">
        <v>14</v>
      </c>
      <c r="C655" s="92" t="s">
        <v>1027</v>
      </c>
      <c r="D655" s="92">
        <v>7</v>
      </c>
      <c r="E655" s="92" t="s">
        <v>586</v>
      </c>
      <c r="F655" s="92">
        <v>72</v>
      </c>
      <c r="G655" s="92" t="s">
        <v>85</v>
      </c>
      <c r="H655" s="92"/>
      <c r="I655" s="92">
        <v>0</v>
      </c>
      <c r="J655" s="92">
        <v>13765335</v>
      </c>
      <c r="K655" s="92">
        <v>1</v>
      </c>
      <c r="L655" s="92">
        <v>504</v>
      </c>
      <c r="M655" s="92">
        <v>971</v>
      </c>
      <c r="N655" s="92">
        <v>189</v>
      </c>
      <c r="O655" s="92">
        <v>189</v>
      </c>
      <c r="P655" s="92">
        <v>2942</v>
      </c>
      <c r="Q655" s="92">
        <v>3489</v>
      </c>
      <c r="R655" s="92">
        <v>4136</v>
      </c>
      <c r="S655" s="92">
        <v>0</v>
      </c>
      <c r="T655" s="92">
        <v>0</v>
      </c>
      <c r="U655" s="92">
        <v>41</v>
      </c>
      <c r="V655" s="92">
        <v>0</v>
      </c>
      <c r="W655" s="92">
        <v>0</v>
      </c>
      <c r="X655" s="92">
        <v>0</v>
      </c>
      <c r="Y655" s="92">
        <v>0</v>
      </c>
      <c r="Z655" s="92">
        <v>0</v>
      </c>
      <c r="AA655" s="92">
        <v>0</v>
      </c>
      <c r="AB655" s="92">
        <v>255974</v>
      </c>
      <c r="AC655" s="92">
        <v>264079</v>
      </c>
      <c r="AD655" s="92">
        <v>278190</v>
      </c>
      <c r="AE655" s="92">
        <v>0</v>
      </c>
      <c r="AF655" s="92">
        <v>0</v>
      </c>
      <c r="AG655" s="92">
        <v>0</v>
      </c>
    </row>
    <row r="656" spans="1:35" x14ac:dyDescent="0.25">
      <c r="A656" t="str">
        <f t="shared" si="13"/>
        <v>1-9-43</v>
      </c>
      <c r="B656">
        <v>1</v>
      </c>
      <c r="C656" s="92" t="s">
        <v>1016</v>
      </c>
      <c r="D656" s="92">
        <v>9</v>
      </c>
      <c r="E656" s="92" t="s">
        <v>588</v>
      </c>
      <c r="F656" s="92">
        <v>43</v>
      </c>
      <c r="G656" s="92" t="s">
        <v>610</v>
      </c>
      <c r="H656" s="92"/>
      <c r="I656" s="92">
        <v>0</v>
      </c>
      <c r="J656" s="92">
        <v>2844000</v>
      </c>
      <c r="K656" s="92">
        <v>1</v>
      </c>
      <c r="L656" s="92">
        <v>7772</v>
      </c>
      <c r="M656" s="92">
        <v>9035</v>
      </c>
      <c r="N656" s="92">
        <v>1344</v>
      </c>
      <c r="O656" s="92">
        <v>1344</v>
      </c>
      <c r="P656" s="92">
        <v>19964</v>
      </c>
      <c r="Q656" s="92">
        <v>21013</v>
      </c>
      <c r="R656" s="92">
        <v>36608</v>
      </c>
      <c r="S656" s="92">
        <v>0</v>
      </c>
      <c r="T656" s="92">
        <v>0</v>
      </c>
      <c r="U656" s="92">
        <v>600</v>
      </c>
      <c r="V656" s="92">
        <v>0</v>
      </c>
      <c r="W656" s="92">
        <v>0</v>
      </c>
      <c r="X656" s="92">
        <v>0</v>
      </c>
      <c r="Y656" s="92">
        <v>0</v>
      </c>
      <c r="Z656" s="92">
        <v>0</v>
      </c>
      <c r="AA656" s="92">
        <v>0</v>
      </c>
      <c r="AB656" s="92">
        <v>3642716</v>
      </c>
      <c r="AC656" s="92">
        <v>3874775</v>
      </c>
      <c r="AD656" s="92">
        <v>4075269</v>
      </c>
      <c r="AE656" s="92">
        <v>0</v>
      </c>
      <c r="AF656" s="92">
        <v>0</v>
      </c>
      <c r="AG656" s="92">
        <v>0</v>
      </c>
      <c r="AI656" s="250">
        <v>7.4263400000000005E-4</v>
      </c>
    </row>
    <row r="657" spans="1:35" x14ac:dyDescent="0.25">
      <c r="A657" t="str">
        <f t="shared" si="13"/>
        <v>14-9-43</v>
      </c>
      <c r="B657">
        <v>14</v>
      </c>
      <c r="C657" s="92" t="s">
        <v>1027</v>
      </c>
      <c r="D657" s="92">
        <v>9</v>
      </c>
      <c r="E657" s="92" t="s">
        <v>588</v>
      </c>
      <c r="F657" s="92">
        <v>43</v>
      </c>
      <c r="G657" s="92" t="s">
        <v>610</v>
      </c>
      <c r="H657" s="92"/>
      <c r="I657" s="92">
        <v>0</v>
      </c>
      <c r="J657" s="92">
        <v>0</v>
      </c>
      <c r="K657" s="92">
        <v>1</v>
      </c>
      <c r="L657" s="92">
        <v>7772</v>
      </c>
      <c r="M657" s="92">
        <v>9035</v>
      </c>
      <c r="N657" s="92">
        <v>1344</v>
      </c>
      <c r="O657" s="92">
        <v>1344</v>
      </c>
      <c r="P657" s="92">
        <v>19964</v>
      </c>
      <c r="Q657" s="92">
        <v>21013</v>
      </c>
      <c r="R657" s="92">
        <v>36608</v>
      </c>
      <c r="S657" s="92">
        <v>0</v>
      </c>
      <c r="T657" s="92">
        <v>0</v>
      </c>
      <c r="U657" s="92">
        <v>600</v>
      </c>
      <c r="V657" s="92">
        <v>0</v>
      </c>
      <c r="W657" s="92">
        <v>0</v>
      </c>
      <c r="X657" s="92">
        <v>0</v>
      </c>
      <c r="Y657" s="92">
        <v>0</v>
      </c>
      <c r="Z657" s="92">
        <v>0</v>
      </c>
      <c r="AA657" s="92">
        <v>0</v>
      </c>
      <c r="AB657" s="92">
        <v>3642716</v>
      </c>
      <c r="AC657" s="92">
        <v>3874775</v>
      </c>
      <c r="AD657" s="92">
        <v>4075269</v>
      </c>
      <c r="AE657" s="92">
        <v>0</v>
      </c>
      <c r="AF657" s="92">
        <v>0</v>
      </c>
      <c r="AG657" s="92">
        <v>0</v>
      </c>
      <c r="AI657" s="250">
        <v>7.4263400000000005E-4</v>
      </c>
    </row>
    <row r="658" spans="1:35" x14ac:dyDescent="0.25">
      <c r="A658" t="str">
        <f t="shared" si="13"/>
        <v>1-14-21</v>
      </c>
      <c r="B658">
        <v>1</v>
      </c>
      <c r="C658" s="92" t="s">
        <v>1016</v>
      </c>
      <c r="D658" s="92">
        <v>14</v>
      </c>
      <c r="E658" s="92" t="s">
        <v>571</v>
      </c>
      <c r="F658" s="92">
        <v>21</v>
      </c>
      <c r="G658" s="92" t="s">
        <v>91</v>
      </c>
      <c r="H658" s="92"/>
      <c r="I658" s="92">
        <v>10786</v>
      </c>
      <c r="J658" s="92">
        <v>121159079</v>
      </c>
      <c r="K658" s="92">
        <v>1</v>
      </c>
      <c r="L658" s="92">
        <v>4497</v>
      </c>
      <c r="M658" s="92">
        <v>4826</v>
      </c>
      <c r="N658" s="92">
        <v>896</v>
      </c>
      <c r="O658" s="92">
        <v>896</v>
      </c>
      <c r="P658" s="92">
        <v>8147</v>
      </c>
      <c r="Q658" s="92">
        <v>8615</v>
      </c>
      <c r="R658" s="92">
        <v>10609</v>
      </c>
      <c r="S658" s="92">
        <v>0</v>
      </c>
      <c r="T658" s="92">
        <v>0</v>
      </c>
      <c r="U658" s="92">
        <v>184</v>
      </c>
      <c r="V658" s="92">
        <v>0</v>
      </c>
      <c r="W658" s="92">
        <v>0</v>
      </c>
      <c r="X658" s="92">
        <v>0</v>
      </c>
      <c r="Y658" s="92">
        <v>0</v>
      </c>
      <c r="Z658" s="92">
        <v>0</v>
      </c>
      <c r="AA658" s="92">
        <v>0</v>
      </c>
      <c r="AB658" s="92">
        <v>1350343</v>
      </c>
      <c r="AC658" s="92">
        <v>1432127</v>
      </c>
      <c r="AD658" s="92">
        <v>1506616</v>
      </c>
      <c r="AE658" s="92">
        <v>0</v>
      </c>
      <c r="AF658" s="92">
        <v>0</v>
      </c>
      <c r="AG658" s="92">
        <v>0</v>
      </c>
      <c r="AI658" s="250">
        <v>2.2935800000000001E-4</v>
      </c>
    </row>
    <row r="659" spans="1:35" x14ac:dyDescent="0.25">
      <c r="A659" t="str">
        <f t="shared" si="13"/>
        <v>14-14-21</v>
      </c>
      <c r="B659">
        <v>14</v>
      </c>
      <c r="C659" s="92" t="s">
        <v>1027</v>
      </c>
      <c r="D659" s="92">
        <v>14</v>
      </c>
      <c r="E659" s="92" t="s">
        <v>571</v>
      </c>
      <c r="F659" s="92">
        <v>21</v>
      </c>
      <c r="G659" s="92" t="s">
        <v>91</v>
      </c>
      <c r="H659" s="92"/>
      <c r="I659" s="92">
        <v>10786</v>
      </c>
      <c r="J659" s="92">
        <v>6132638</v>
      </c>
      <c r="K659" s="92">
        <v>1</v>
      </c>
      <c r="L659" s="92">
        <v>4497</v>
      </c>
      <c r="M659" s="92">
        <v>4826</v>
      </c>
      <c r="N659" s="92">
        <v>896</v>
      </c>
      <c r="O659" s="92">
        <v>896</v>
      </c>
      <c r="P659" s="92">
        <v>8147</v>
      </c>
      <c r="Q659" s="92">
        <v>8615</v>
      </c>
      <c r="R659" s="92">
        <v>10609</v>
      </c>
      <c r="S659" s="92">
        <v>0</v>
      </c>
      <c r="T659" s="92">
        <v>0</v>
      </c>
      <c r="U659" s="92">
        <v>184</v>
      </c>
      <c r="V659" s="92">
        <v>0</v>
      </c>
      <c r="W659" s="92">
        <v>0</v>
      </c>
      <c r="X659" s="92">
        <v>0</v>
      </c>
      <c r="Y659" s="92">
        <v>0</v>
      </c>
      <c r="Z659" s="92">
        <v>0</v>
      </c>
      <c r="AA659" s="92">
        <v>0</v>
      </c>
      <c r="AB659" s="92">
        <v>1350343</v>
      </c>
      <c r="AC659" s="92">
        <v>1432127</v>
      </c>
      <c r="AD659" s="92">
        <v>1506616</v>
      </c>
      <c r="AE659" s="92">
        <v>0</v>
      </c>
      <c r="AF659" s="92">
        <v>0</v>
      </c>
      <c r="AG659" s="92">
        <v>0</v>
      </c>
      <c r="AI659" s="250">
        <v>2.2935800000000001E-4</v>
      </c>
    </row>
    <row r="660" spans="1:35" x14ac:dyDescent="0.25">
      <c r="A660" t="str">
        <f t="shared" si="13"/>
        <v>1-4-5</v>
      </c>
      <c r="B660">
        <v>1</v>
      </c>
      <c r="C660" s="92" t="s">
        <v>1016</v>
      </c>
      <c r="D660" s="92">
        <v>4</v>
      </c>
      <c r="E660" s="92" t="s">
        <v>66</v>
      </c>
      <c r="F660" s="92">
        <v>5</v>
      </c>
      <c r="G660" s="92" t="s">
        <v>605</v>
      </c>
      <c r="H660" s="92"/>
      <c r="I660" s="92">
        <v>0</v>
      </c>
      <c r="J660" s="92">
        <v>121115030</v>
      </c>
      <c r="K660" s="92">
        <v>1</v>
      </c>
      <c r="L660" s="92">
        <v>2069</v>
      </c>
      <c r="M660" s="92">
        <v>50390</v>
      </c>
      <c r="N660" s="92">
        <v>8431</v>
      </c>
      <c r="O660" s="92">
        <v>8431</v>
      </c>
      <c r="P660" s="92">
        <v>71930</v>
      </c>
      <c r="Q660" s="92">
        <v>73253</v>
      </c>
      <c r="R660" s="92">
        <v>48698</v>
      </c>
      <c r="S660" s="92">
        <v>0</v>
      </c>
      <c r="T660" s="92">
        <v>0</v>
      </c>
      <c r="U660" s="92">
        <v>727</v>
      </c>
      <c r="V660" s="92">
        <v>0</v>
      </c>
      <c r="W660" s="182">
        <v>0</v>
      </c>
      <c r="X660" s="92">
        <v>0</v>
      </c>
      <c r="Y660" s="92">
        <v>0</v>
      </c>
      <c r="Z660" s="92">
        <v>0</v>
      </c>
      <c r="AA660" s="92">
        <v>0</v>
      </c>
      <c r="AB660" s="92">
        <v>258483</v>
      </c>
      <c r="AC660" s="182">
        <f>254425-63224</f>
        <v>191201</v>
      </c>
      <c r="AD660" s="92">
        <v>101302</v>
      </c>
      <c r="AE660" s="92">
        <v>0</v>
      </c>
      <c r="AF660" s="92">
        <v>0</v>
      </c>
      <c r="AG660" s="92">
        <v>0</v>
      </c>
    </row>
    <row r="661" spans="1:35" x14ac:dyDescent="0.25">
      <c r="A661" t="str">
        <f t="shared" si="13"/>
        <v>14-4-5</v>
      </c>
      <c r="B661">
        <v>14</v>
      </c>
      <c r="C661" s="92" t="s">
        <v>1027</v>
      </c>
      <c r="D661" s="92">
        <v>4</v>
      </c>
      <c r="E661" s="92" t="s">
        <v>66</v>
      </c>
      <c r="F661" s="92">
        <v>5</v>
      </c>
      <c r="G661" s="92" t="s">
        <v>605</v>
      </c>
      <c r="H661" s="92"/>
      <c r="I661" s="92">
        <v>0</v>
      </c>
      <c r="J661" s="92">
        <v>6132638</v>
      </c>
      <c r="K661" s="92">
        <v>1</v>
      </c>
      <c r="L661" s="92">
        <v>2069</v>
      </c>
      <c r="M661" s="92">
        <v>50390</v>
      </c>
      <c r="N661" s="92">
        <v>8431</v>
      </c>
      <c r="O661" s="92">
        <v>8431</v>
      </c>
      <c r="P661" s="92">
        <v>71930</v>
      </c>
      <c r="Q661" s="92">
        <v>73253</v>
      </c>
      <c r="R661" s="92">
        <v>48698</v>
      </c>
      <c r="S661" s="92">
        <v>0</v>
      </c>
      <c r="T661" s="92">
        <v>0</v>
      </c>
      <c r="U661" s="92">
        <v>727</v>
      </c>
      <c r="V661" s="92">
        <v>0</v>
      </c>
      <c r="W661" s="182">
        <v>0</v>
      </c>
      <c r="X661" s="92">
        <v>0</v>
      </c>
      <c r="Y661" s="92">
        <v>0</v>
      </c>
      <c r="Z661" s="92">
        <v>0</v>
      </c>
      <c r="AA661" s="92">
        <v>0</v>
      </c>
      <c r="AB661" s="92">
        <v>258483</v>
      </c>
      <c r="AC661" s="182">
        <f>254425-63224</f>
        <v>191201</v>
      </c>
      <c r="AD661" s="92">
        <v>101302</v>
      </c>
      <c r="AE661" s="92">
        <v>0</v>
      </c>
      <c r="AF661" s="92">
        <v>0</v>
      </c>
      <c r="AG661" s="92">
        <v>0</v>
      </c>
    </row>
    <row r="662" spans="1:35" x14ac:dyDescent="0.25">
      <c r="A662" t="str">
        <f t="shared" si="13"/>
        <v>15-7-74</v>
      </c>
      <c r="B662">
        <v>15</v>
      </c>
      <c r="C662" s="92" t="s">
        <v>1028</v>
      </c>
      <c r="D662" s="92">
        <v>7</v>
      </c>
      <c r="E662" s="92" t="s">
        <v>586</v>
      </c>
      <c r="F662" s="92">
        <v>74</v>
      </c>
      <c r="G662" s="92" t="s">
        <v>259</v>
      </c>
      <c r="H662" s="92"/>
      <c r="I662" s="92">
        <v>0</v>
      </c>
      <c r="J662" s="92">
        <v>1189295</v>
      </c>
      <c r="K662" s="92" t="s">
        <v>1061</v>
      </c>
      <c r="L662" s="92">
        <v>119</v>
      </c>
      <c r="M662" s="92">
        <v>1</v>
      </c>
      <c r="N662" s="92">
        <v>2</v>
      </c>
      <c r="O662" s="92">
        <v>2</v>
      </c>
      <c r="P662" s="92">
        <v>0</v>
      </c>
      <c r="Q662" s="92">
        <v>0</v>
      </c>
      <c r="R662" s="92">
        <v>0</v>
      </c>
      <c r="S662" s="92">
        <v>0</v>
      </c>
      <c r="T662" s="92">
        <v>0</v>
      </c>
      <c r="U662" s="92">
        <v>0</v>
      </c>
      <c r="V662" s="92">
        <v>0</v>
      </c>
      <c r="W662" s="92">
        <v>0</v>
      </c>
      <c r="X662" s="92">
        <v>0</v>
      </c>
      <c r="Y662" s="92">
        <v>0</v>
      </c>
      <c r="Z662" s="92">
        <v>0</v>
      </c>
      <c r="AA662" s="92">
        <v>0</v>
      </c>
      <c r="AB662" s="92">
        <v>4250</v>
      </c>
      <c r="AC662" s="92">
        <v>4761</v>
      </c>
      <c r="AD662" s="92">
        <v>4663</v>
      </c>
      <c r="AE662" s="92">
        <v>0</v>
      </c>
      <c r="AF662" s="92">
        <v>0</v>
      </c>
      <c r="AG662" s="92">
        <v>0</v>
      </c>
    </row>
    <row r="663" spans="1:35" x14ac:dyDescent="0.25">
      <c r="A663" t="str">
        <f t="shared" ref="A663:A728" si="14">B663&amp;"-"&amp;D663&amp;"-"&amp;F663</f>
        <v>9-4-198</v>
      </c>
      <c r="B663">
        <v>9</v>
      </c>
      <c r="C663" s="92" t="s">
        <v>1022</v>
      </c>
      <c r="D663" s="92">
        <v>4</v>
      </c>
      <c r="E663" s="92" t="s">
        <v>66</v>
      </c>
      <c r="F663" s="92">
        <v>198</v>
      </c>
      <c r="G663" s="92" t="s">
        <v>708</v>
      </c>
      <c r="H663" s="92"/>
      <c r="I663" s="92">
        <v>0</v>
      </c>
      <c r="J663" s="92">
        <v>447580218</v>
      </c>
      <c r="K663" s="92" t="s">
        <v>1061</v>
      </c>
      <c r="L663" s="92">
        <v>73</v>
      </c>
      <c r="M663" s="92">
        <v>93704</v>
      </c>
      <c r="N663" s="92">
        <v>19913</v>
      </c>
      <c r="O663" s="92">
        <v>19913</v>
      </c>
      <c r="P663" s="92">
        <v>0</v>
      </c>
      <c r="Q663" s="92">
        <v>0</v>
      </c>
      <c r="R663" s="92">
        <v>0</v>
      </c>
      <c r="S663" s="92">
        <v>2236</v>
      </c>
      <c r="T663" s="92">
        <v>1145</v>
      </c>
      <c r="U663" s="92">
        <v>1230</v>
      </c>
      <c r="V663" s="92">
        <v>0</v>
      </c>
      <c r="W663" s="92">
        <v>0</v>
      </c>
      <c r="X663" s="92">
        <v>0</v>
      </c>
      <c r="Y663" s="92">
        <v>0</v>
      </c>
      <c r="Z663" s="92">
        <v>0</v>
      </c>
      <c r="AA663" s="92">
        <v>0</v>
      </c>
      <c r="AB663" s="92">
        <v>393455</v>
      </c>
      <c r="AC663" s="92">
        <v>414293</v>
      </c>
      <c r="AD663" s="92">
        <v>432619</v>
      </c>
      <c r="AE663" s="92">
        <v>0</v>
      </c>
      <c r="AF663" s="92">
        <v>0</v>
      </c>
      <c r="AG663" s="92">
        <v>0</v>
      </c>
    </row>
    <row r="664" spans="1:35" x14ac:dyDescent="0.25">
      <c r="A664" t="str">
        <f t="shared" si="14"/>
        <v>9-4-106</v>
      </c>
      <c r="B664">
        <v>9</v>
      </c>
      <c r="C664" s="92" t="s">
        <v>1022</v>
      </c>
      <c r="D664" s="92">
        <v>4</v>
      </c>
      <c r="E664" s="92" t="s">
        <v>66</v>
      </c>
      <c r="F664" s="92">
        <v>106</v>
      </c>
      <c r="G664" s="92" t="s">
        <v>707</v>
      </c>
      <c r="H664" s="92"/>
      <c r="I664" s="92">
        <v>0</v>
      </c>
      <c r="J664" s="92">
        <v>1559629</v>
      </c>
      <c r="K664" s="92">
        <v>1</v>
      </c>
      <c r="L664" s="92">
        <v>3437</v>
      </c>
      <c r="M664" s="92">
        <v>60540</v>
      </c>
      <c r="N664" s="92">
        <v>11884</v>
      </c>
      <c r="O664" s="92">
        <v>11884</v>
      </c>
      <c r="P664" s="92">
        <v>0</v>
      </c>
      <c r="Q664" s="92">
        <v>0</v>
      </c>
      <c r="R664" s="92">
        <v>0</v>
      </c>
      <c r="S664" s="92">
        <v>2308</v>
      </c>
      <c r="T664" s="92">
        <v>0</v>
      </c>
      <c r="U664" s="92">
        <v>0</v>
      </c>
      <c r="V664" s="92">
        <v>0</v>
      </c>
      <c r="W664" s="92">
        <v>0</v>
      </c>
      <c r="X664" s="92">
        <v>0</v>
      </c>
      <c r="Y664" s="92">
        <v>0</v>
      </c>
      <c r="Z664" s="92">
        <v>0</v>
      </c>
      <c r="AA664" s="92">
        <v>0</v>
      </c>
      <c r="AB664" s="92">
        <v>178582</v>
      </c>
      <c r="AC664" s="92">
        <v>182500</v>
      </c>
      <c r="AD664" s="92">
        <v>182500</v>
      </c>
      <c r="AE664" s="92">
        <v>0</v>
      </c>
      <c r="AF664" s="92">
        <v>0</v>
      </c>
      <c r="AG664" s="92">
        <v>0</v>
      </c>
    </row>
    <row r="665" spans="1:35" x14ac:dyDescent="0.25">
      <c r="A665" t="str">
        <f t="shared" si="14"/>
        <v>28-4-106</v>
      </c>
      <c r="B665">
        <v>28</v>
      </c>
      <c r="C665" s="92" t="s">
        <v>1041</v>
      </c>
      <c r="D665" s="92">
        <v>4</v>
      </c>
      <c r="E665" s="92" t="s">
        <v>66</v>
      </c>
      <c r="F665" s="92">
        <v>106</v>
      </c>
      <c r="G665" s="92" t="s">
        <v>707</v>
      </c>
      <c r="H665" s="92"/>
      <c r="I665" s="92">
        <v>0</v>
      </c>
      <c r="J665" s="92">
        <v>481350824</v>
      </c>
      <c r="K665" s="92">
        <v>1</v>
      </c>
      <c r="L665" s="92">
        <v>3437</v>
      </c>
      <c r="M665" s="92">
        <v>60540</v>
      </c>
      <c r="N665" s="92">
        <v>11884</v>
      </c>
      <c r="O665" s="92">
        <v>11884</v>
      </c>
      <c r="P665" s="92">
        <v>0</v>
      </c>
      <c r="Q665" s="92">
        <v>0</v>
      </c>
      <c r="R665" s="92">
        <v>0</v>
      </c>
      <c r="S665" s="92">
        <v>2308</v>
      </c>
      <c r="T665" s="92">
        <v>0</v>
      </c>
      <c r="U665" s="92">
        <v>0</v>
      </c>
      <c r="V665" s="92">
        <v>0</v>
      </c>
      <c r="W665" s="92">
        <v>0</v>
      </c>
      <c r="X665" s="92">
        <v>0</v>
      </c>
      <c r="Y665" s="92">
        <v>0</v>
      </c>
      <c r="Z665" s="92">
        <v>0</v>
      </c>
      <c r="AA665" s="92">
        <v>0</v>
      </c>
      <c r="AB665" s="92">
        <v>178582</v>
      </c>
      <c r="AC665" s="92">
        <v>182500</v>
      </c>
      <c r="AD665" s="92">
        <v>182500</v>
      </c>
      <c r="AE665" s="92">
        <v>0</v>
      </c>
      <c r="AF665" s="92">
        <v>0</v>
      </c>
      <c r="AG665" s="92">
        <v>0</v>
      </c>
    </row>
    <row r="666" spans="1:35" x14ac:dyDescent="0.25">
      <c r="A666" t="str">
        <f t="shared" si="14"/>
        <v>28-11-29</v>
      </c>
      <c r="B666">
        <v>28</v>
      </c>
      <c r="C666" s="92" t="s">
        <v>1041</v>
      </c>
      <c r="D666" s="92">
        <v>11</v>
      </c>
      <c r="E666" s="92" t="s">
        <v>1062</v>
      </c>
      <c r="F666" s="92">
        <v>29</v>
      </c>
      <c r="G666" s="92" t="s">
        <v>426</v>
      </c>
      <c r="H666" s="92"/>
      <c r="I666" s="92">
        <v>1685056</v>
      </c>
      <c r="J666" s="92">
        <v>287990552</v>
      </c>
      <c r="K666" s="92" t="s">
        <v>1061</v>
      </c>
      <c r="L666" s="92">
        <v>852</v>
      </c>
      <c r="M666" s="92">
        <v>31188</v>
      </c>
      <c r="N666" s="92">
        <v>5528</v>
      </c>
      <c r="O666" s="92">
        <v>4246</v>
      </c>
      <c r="P666" s="92">
        <v>0</v>
      </c>
      <c r="Q666" s="92">
        <v>0</v>
      </c>
      <c r="R666" s="92">
        <v>0</v>
      </c>
      <c r="S666" s="92">
        <v>427</v>
      </c>
      <c r="T666" s="92">
        <v>0</v>
      </c>
      <c r="U666" s="92">
        <v>313</v>
      </c>
      <c r="V666" s="92">
        <v>0</v>
      </c>
      <c r="W666" s="92">
        <v>0</v>
      </c>
      <c r="X666" s="92">
        <v>0</v>
      </c>
      <c r="Y666" s="92">
        <v>0</v>
      </c>
      <c r="Z666" s="92">
        <v>0</v>
      </c>
      <c r="AA666" s="92">
        <v>0</v>
      </c>
      <c r="AB666" s="92">
        <v>5087728</v>
      </c>
      <c r="AC666" s="92">
        <v>5088844</v>
      </c>
      <c r="AD666" s="92">
        <v>5122744</v>
      </c>
      <c r="AE666" s="92">
        <v>0</v>
      </c>
      <c r="AF666" s="92">
        <v>0</v>
      </c>
      <c r="AG666" s="92">
        <v>0</v>
      </c>
    </row>
    <row r="667" spans="1:35" x14ac:dyDescent="0.25">
      <c r="A667" t="str">
        <f t="shared" si="14"/>
        <v>4-7-195</v>
      </c>
      <c r="B667">
        <v>4</v>
      </c>
      <c r="C667" s="92" t="s">
        <v>1194</v>
      </c>
      <c r="D667" s="92">
        <v>7</v>
      </c>
      <c r="E667" s="92" t="s">
        <v>586</v>
      </c>
      <c r="F667" s="92">
        <v>195</v>
      </c>
      <c r="G667" s="92" t="s">
        <v>124</v>
      </c>
      <c r="H667" s="92"/>
      <c r="I667" s="92">
        <v>16</v>
      </c>
      <c r="J667" s="92">
        <v>483820</v>
      </c>
      <c r="K667" s="92" t="s">
        <v>1061</v>
      </c>
      <c r="L667" s="92">
        <v>92</v>
      </c>
      <c r="M667" s="92">
        <v>0</v>
      </c>
      <c r="N667" s="92">
        <v>0</v>
      </c>
      <c r="O667" s="92">
        <v>0</v>
      </c>
      <c r="P667" s="92">
        <v>0</v>
      </c>
      <c r="Q667" s="92">
        <v>0</v>
      </c>
      <c r="R667" s="92">
        <v>0</v>
      </c>
      <c r="S667" s="92">
        <v>0</v>
      </c>
      <c r="T667" s="92">
        <v>0</v>
      </c>
      <c r="U667" s="92">
        <v>0</v>
      </c>
      <c r="V667" s="92">
        <v>0</v>
      </c>
      <c r="W667" s="92">
        <v>0</v>
      </c>
      <c r="X667" s="92">
        <v>0</v>
      </c>
      <c r="Y667" s="92">
        <v>0</v>
      </c>
      <c r="Z667" s="92">
        <v>0</v>
      </c>
      <c r="AA667" s="92">
        <v>0</v>
      </c>
      <c r="AB667" s="92">
        <v>4103</v>
      </c>
      <c r="AC667" s="92">
        <v>4246</v>
      </c>
      <c r="AD667" s="92">
        <v>4531</v>
      </c>
      <c r="AE667" s="92">
        <v>0</v>
      </c>
      <c r="AF667" s="92">
        <v>0</v>
      </c>
      <c r="AG667" s="92">
        <v>0</v>
      </c>
    </row>
    <row r="668" spans="1:35" x14ac:dyDescent="0.25">
      <c r="A668" t="str">
        <f t="shared" si="14"/>
        <v>35-4-139</v>
      </c>
      <c r="B668">
        <v>35</v>
      </c>
      <c r="C668" s="92" t="s">
        <v>1195</v>
      </c>
      <c r="D668" s="92">
        <v>4</v>
      </c>
      <c r="E668" s="92" t="s">
        <v>66</v>
      </c>
      <c r="F668" s="92">
        <v>139</v>
      </c>
      <c r="G668" s="92" t="s">
        <v>943</v>
      </c>
      <c r="H668" s="92"/>
      <c r="I668" s="92">
        <v>0</v>
      </c>
      <c r="J668" s="92">
        <v>15183179</v>
      </c>
      <c r="K668" s="92" t="s">
        <v>1061</v>
      </c>
      <c r="L668" s="92">
        <v>2160</v>
      </c>
      <c r="M668" s="92">
        <v>2606</v>
      </c>
      <c r="N668" s="92">
        <v>742</v>
      </c>
      <c r="O668" s="92">
        <v>742</v>
      </c>
      <c r="P668" s="92">
        <v>0</v>
      </c>
      <c r="Q668" s="92">
        <v>0</v>
      </c>
      <c r="R668" s="92">
        <v>0</v>
      </c>
      <c r="S668" s="92">
        <v>0</v>
      </c>
      <c r="T668" s="92">
        <v>0</v>
      </c>
      <c r="U668" s="92">
        <v>0</v>
      </c>
      <c r="V668" s="92">
        <v>0</v>
      </c>
      <c r="W668" s="92">
        <v>0</v>
      </c>
      <c r="X668" s="92">
        <v>0</v>
      </c>
      <c r="Y668" s="92">
        <v>0</v>
      </c>
      <c r="Z668" s="92">
        <v>0</v>
      </c>
      <c r="AA668" s="92">
        <v>0</v>
      </c>
      <c r="AB668" s="92">
        <v>47808</v>
      </c>
      <c r="AC668" s="92">
        <v>49580</v>
      </c>
      <c r="AD668" s="92">
        <v>51635</v>
      </c>
      <c r="AE668" s="92">
        <v>0</v>
      </c>
      <c r="AF668" s="92">
        <v>0</v>
      </c>
      <c r="AG668" s="92">
        <v>0</v>
      </c>
    </row>
    <row r="669" spans="1:35" x14ac:dyDescent="0.25">
      <c r="A669" t="str">
        <f t="shared" si="14"/>
        <v>29-2-29</v>
      </c>
      <c r="B669">
        <v>29</v>
      </c>
      <c r="C669" s="92" t="s">
        <v>1042</v>
      </c>
      <c r="D669" s="92">
        <v>2</v>
      </c>
      <c r="E669" s="92" t="s">
        <v>53</v>
      </c>
      <c r="F669" s="92">
        <v>29</v>
      </c>
      <c r="G669" s="92" t="s">
        <v>433</v>
      </c>
      <c r="H669" s="92"/>
      <c r="I669" s="92">
        <v>0</v>
      </c>
      <c r="J669" s="92">
        <v>64529578</v>
      </c>
      <c r="K669" s="92" t="s">
        <v>1061</v>
      </c>
      <c r="L669" s="92">
        <v>128111</v>
      </c>
      <c r="M669" s="92">
        <v>118432</v>
      </c>
      <c r="N669" s="92">
        <v>24981</v>
      </c>
      <c r="O669" s="92">
        <v>24981</v>
      </c>
      <c r="P669" s="92">
        <v>0</v>
      </c>
      <c r="Q669" s="92">
        <v>0</v>
      </c>
      <c r="R669" s="92">
        <v>0</v>
      </c>
      <c r="S669" s="92">
        <v>7034.25</v>
      </c>
      <c r="T669" s="92">
        <v>5351</v>
      </c>
      <c r="U669" s="92">
        <v>0</v>
      </c>
      <c r="V669" s="92">
        <v>0</v>
      </c>
      <c r="W669" s="92">
        <v>0</v>
      </c>
      <c r="X669" s="92">
        <v>0</v>
      </c>
      <c r="Y669" s="92">
        <v>0</v>
      </c>
      <c r="Z669" s="92">
        <v>0</v>
      </c>
      <c r="AA669" s="92">
        <v>0</v>
      </c>
      <c r="AB669" s="92">
        <v>12023596</v>
      </c>
      <c r="AC669" s="92">
        <v>12559095</v>
      </c>
      <c r="AD669" s="92">
        <v>13118113</v>
      </c>
      <c r="AE669" s="92">
        <v>0</v>
      </c>
      <c r="AF669" s="92">
        <v>0</v>
      </c>
      <c r="AG669" s="92">
        <v>0</v>
      </c>
    </row>
    <row r="670" spans="1:35" x14ac:dyDescent="0.25">
      <c r="A670" t="str">
        <f t="shared" si="14"/>
        <v>29-14-22</v>
      </c>
      <c r="B670">
        <v>29</v>
      </c>
      <c r="C670" s="92" t="s">
        <v>1042</v>
      </c>
      <c r="D670" s="92">
        <v>14</v>
      </c>
      <c r="E670" s="92" t="s">
        <v>571</v>
      </c>
      <c r="F670" s="92">
        <v>22</v>
      </c>
      <c r="G670" s="92" t="s">
        <v>1241</v>
      </c>
      <c r="H670" s="92"/>
      <c r="I670" s="92">
        <v>184</v>
      </c>
      <c r="J670" s="92">
        <v>64529578</v>
      </c>
      <c r="K670" s="92" t="s">
        <v>1061</v>
      </c>
      <c r="L670" s="92">
        <v>16431</v>
      </c>
      <c r="M670" s="92">
        <v>15156</v>
      </c>
      <c r="N670" s="92">
        <v>3388</v>
      </c>
      <c r="O670" s="92">
        <v>3389</v>
      </c>
      <c r="P670" s="92">
        <v>0</v>
      </c>
      <c r="Q670" s="92">
        <v>0</v>
      </c>
      <c r="R670" s="92">
        <v>0</v>
      </c>
      <c r="S670" s="92">
        <v>952.79</v>
      </c>
      <c r="T670" s="92">
        <v>734</v>
      </c>
      <c r="U670" s="92">
        <v>0</v>
      </c>
      <c r="V670" s="92">
        <v>0</v>
      </c>
      <c r="W670" s="92">
        <v>0</v>
      </c>
      <c r="X670" s="92">
        <v>0</v>
      </c>
      <c r="Y670" s="92">
        <v>0</v>
      </c>
      <c r="Z670" s="92">
        <v>0</v>
      </c>
      <c r="AA670" s="92">
        <v>0</v>
      </c>
      <c r="AB670" s="92">
        <v>1662850</v>
      </c>
      <c r="AC670" s="92">
        <v>1736782</v>
      </c>
      <c r="AD670" s="92">
        <v>1813970</v>
      </c>
      <c r="AE670" s="92">
        <v>0</v>
      </c>
      <c r="AF670" s="92">
        <v>0</v>
      </c>
      <c r="AG670" s="92">
        <v>0</v>
      </c>
      <c r="AI670" s="250">
        <v>3.82247E-4</v>
      </c>
    </row>
    <row r="671" spans="1:35" x14ac:dyDescent="0.25">
      <c r="A671" t="str">
        <f t="shared" si="14"/>
        <v>3-7-75</v>
      </c>
      <c r="B671">
        <v>3</v>
      </c>
      <c r="C671" s="92" t="s">
        <v>1018</v>
      </c>
      <c r="D671" s="92">
        <v>7</v>
      </c>
      <c r="E671" s="92" t="s">
        <v>586</v>
      </c>
      <c r="F671" s="92">
        <v>75</v>
      </c>
      <c r="G671" s="92" t="s">
        <v>108</v>
      </c>
      <c r="H671" s="92"/>
      <c r="I671" s="92">
        <v>2806</v>
      </c>
      <c r="J671" s="92">
        <v>69050930</v>
      </c>
      <c r="K671" s="92">
        <v>1</v>
      </c>
      <c r="L671" s="92">
        <v>96</v>
      </c>
      <c r="M671" s="92">
        <v>115</v>
      </c>
      <c r="N671" s="92">
        <v>49</v>
      </c>
      <c r="O671" s="92">
        <v>49</v>
      </c>
      <c r="P671" s="92">
        <v>0</v>
      </c>
      <c r="Q671" s="92">
        <v>0</v>
      </c>
      <c r="R671" s="92">
        <v>0</v>
      </c>
      <c r="S671" s="92">
        <v>0</v>
      </c>
      <c r="T671" s="92">
        <v>0</v>
      </c>
      <c r="U671" s="92">
        <v>0</v>
      </c>
      <c r="V671" s="92">
        <v>0</v>
      </c>
      <c r="W671" s="92">
        <v>0</v>
      </c>
      <c r="X671" s="92">
        <v>0</v>
      </c>
      <c r="Y671" s="92">
        <v>0</v>
      </c>
      <c r="Z671" s="92">
        <v>0</v>
      </c>
      <c r="AA671" s="92">
        <v>0</v>
      </c>
      <c r="AB671" s="92">
        <v>20187</v>
      </c>
      <c r="AC671" s="92">
        <v>21109</v>
      </c>
      <c r="AD671" s="92">
        <v>22017</v>
      </c>
      <c r="AE671" s="92">
        <v>0</v>
      </c>
      <c r="AF671" s="92">
        <v>0</v>
      </c>
      <c r="AG671" s="92">
        <v>0</v>
      </c>
    </row>
    <row r="672" spans="1:35" x14ac:dyDescent="0.25">
      <c r="A672" t="str">
        <f t="shared" si="14"/>
        <v>15-7-75</v>
      </c>
      <c r="B672">
        <v>15</v>
      </c>
      <c r="C672" s="92" t="s">
        <v>1028</v>
      </c>
      <c r="D672" s="92">
        <v>7</v>
      </c>
      <c r="E672" s="92" t="s">
        <v>586</v>
      </c>
      <c r="F672" s="92">
        <v>75</v>
      </c>
      <c r="G672" s="92" t="s">
        <v>108</v>
      </c>
      <c r="H672" s="92"/>
      <c r="I672" s="92">
        <v>2806</v>
      </c>
      <c r="J672" s="92">
        <v>0</v>
      </c>
      <c r="K672" s="92">
        <v>1</v>
      </c>
      <c r="L672" s="92">
        <v>96</v>
      </c>
      <c r="M672" s="92">
        <v>115</v>
      </c>
      <c r="N672" s="92">
        <v>49</v>
      </c>
      <c r="O672" s="92">
        <v>49</v>
      </c>
      <c r="P672" s="92">
        <v>0</v>
      </c>
      <c r="Q672" s="92">
        <v>0</v>
      </c>
      <c r="R672" s="92">
        <v>0</v>
      </c>
      <c r="S672" s="92">
        <v>0</v>
      </c>
      <c r="T672" s="92">
        <v>0</v>
      </c>
      <c r="U672" s="92">
        <v>0</v>
      </c>
      <c r="V672" s="92">
        <v>0</v>
      </c>
      <c r="W672" s="92">
        <v>0</v>
      </c>
      <c r="X672" s="92">
        <v>0</v>
      </c>
      <c r="Y672" s="92">
        <v>0</v>
      </c>
      <c r="Z672" s="92">
        <v>0</v>
      </c>
      <c r="AA672" s="92">
        <v>0</v>
      </c>
      <c r="AB672" s="92">
        <v>20187</v>
      </c>
      <c r="AC672" s="92">
        <v>21109</v>
      </c>
      <c r="AD672" s="92">
        <v>22017</v>
      </c>
      <c r="AE672" s="92">
        <v>0</v>
      </c>
      <c r="AF672" s="92">
        <v>0</v>
      </c>
      <c r="AG672" s="92">
        <v>0</v>
      </c>
    </row>
    <row r="673" spans="1:35" x14ac:dyDescent="0.25">
      <c r="A673" t="str">
        <f t="shared" si="14"/>
        <v>3-9-136</v>
      </c>
      <c r="B673">
        <v>3</v>
      </c>
      <c r="C673" s="92" t="s">
        <v>1018</v>
      </c>
      <c r="D673" s="92">
        <v>9</v>
      </c>
      <c r="E673" s="92" t="s">
        <v>588</v>
      </c>
      <c r="F673" s="92">
        <v>136</v>
      </c>
      <c r="G673" s="92" t="s">
        <v>649</v>
      </c>
      <c r="H673" s="92"/>
      <c r="I673" s="92">
        <v>87507</v>
      </c>
      <c r="J673" s="92">
        <v>231000</v>
      </c>
      <c r="K673" s="92" t="s">
        <v>1061</v>
      </c>
      <c r="L673" s="92">
        <v>0</v>
      </c>
      <c r="M673" s="92">
        <v>0</v>
      </c>
      <c r="N673" s="92">
        <v>0</v>
      </c>
      <c r="O673" s="92">
        <v>0</v>
      </c>
      <c r="P673" s="92">
        <v>0</v>
      </c>
      <c r="Q673" s="92">
        <v>0</v>
      </c>
      <c r="R673" s="92">
        <v>0</v>
      </c>
      <c r="S673" s="92">
        <v>0</v>
      </c>
      <c r="T673" s="92">
        <v>0</v>
      </c>
      <c r="U673" s="92">
        <v>0</v>
      </c>
      <c r="V673" s="92">
        <v>0</v>
      </c>
      <c r="W673" s="92">
        <v>0</v>
      </c>
      <c r="X673" s="92">
        <v>0</v>
      </c>
      <c r="Y673" s="92">
        <v>0</v>
      </c>
      <c r="Z673" s="92">
        <v>0</v>
      </c>
      <c r="AA673" s="92">
        <v>0</v>
      </c>
      <c r="AB673" s="92">
        <v>52874</v>
      </c>
      <c r="AC673" s="92">
        <v>57023</v>
      </c>
      <c r="AD673" s="92">
        <v>60620</v>
      </c>
      <c r="AE673" s="92">
        <v>0</v>
      </c>
      <c r="AF673" s="92">
        <v>0</v>
      </c>
      <c r="AG673" s="92">
        <v>0</v>
      </c>
      <c r="AI673" s="250">
        <v>4.1708400000000002E-4</v>
      </c>
    </row>
    <row r="674" spans="1:35" x14ac:dyDescent="0.25">
      <c r="A674" t="str">
        <f t="shared" si="14"/>
        <v>30-2-30</v>
      </c>
      <c r="B674">
        <v>30</v>
      </c>
      <c r="C674" s="92" t="s">
        <v>1043</v>
      </c>
      <c r="D674" s="92">
        <v>2</v>
      </c>
      <c r="E674" s="92" t="s">
        <v>53</v>
      </c>
      <c r="F674" s="92">
        <v>30</v>
      </c>
      <c r="G674" s="92" t="s">
        <v>452</v>
      </c>
      <c r="H674" s="92"/>
      <c r="I674" s="92">
        <v>0</v>
      </c>
      <c r="J674" s="92">
        <v>43564413</v>
      </c>
      <c r="K674" s="92" t="s">
        <v>1061</v>
      </c>
      <c r="L674" s="92">
        <v>22605</v>
      </c>
      <c r="M674" s="92">
        <v>29088</v>
      </c>
      <c r="N674" s="92">
        <v>4410</v>
      </c>
      <c r="O674" s="92">
        <v>4410</v>
      </c>
      <c r="P674" s="92">
        <v>0</v>
      </c>
      <c r="Q674" s="92">
        <v>0</v>
      </c>
      <c r="R674" s="92">
        <v>0</v>
      </c>
      <c r="S674" s="92">
        <v>0</v>
      </c>
      <c r="T674" s="92">
        <v>0</v>
      </c>
      <c r="U674" s="92">
        <v>0</v>
      </c>
      <c r="V674" s="92">
        <v>0</v>
      </c>
      <c r="W674" s="92">
        <v>0</v>
      </c>
      <c r="X674" s="92">
        <v>0</v>
      </c>
      <c r="Y674" s="92">
        <v>0</v>
      </c>
      <c r="Z674" s="92">
        <v>0</v>
      </c>
      <c r="AA674" s="92">
        <v>0</v>
      </c>
      <c r="AB674" s="92">
        <v>2936346</v>
      </c>
      <c r="AC674" s="92">
        <v>3062980</v>
      </c>
      <c r="AD674" s="92">
        <v>3193017</v>
      </c>
      <c r="AE674" s="92">
        <v>0</v>
      </c>
      <c r="AF674" s="92">
        <v>0</v>
      </c>
      <c r="AG674" s="92">
        <v>0</v>
      </c>
    </row>
    <row r="675" spans="1:35" x14ac:dyDescent="0.25">
      <c r="A675" t="str">
        <f t="shared" si="14"/>
        <v>30-9-127</v>
      </c>
      <c r="B675">
        <v>30</v>
      </c>
      <c r="C675" s="92" t="s">
        <v>1043</v>
      </c>
      <c r="D675" s="92">
        <v>9</v>
      </c>
      <c r="E675" s="92" t="s">
        <v>588</v>
      </c>
      <c r="F675" s="92">
        <v>127</v>
      </c>
      <c r="G675" s="92" t="s">
        <v>918</v>
      </c>
      <c r="H675" s="92"/>
      <c r="I675" s="92">
        <v>2330</v>
      </c>
      <c r="J675" s="92">
        <v>184000</v>
      </c>
      <c r="K675" s="92" t="s">
        <v>1061</v>
      </c>
      <c r="L675" s="92">
        <v>2683</v>
      </c>
      <c r="M675" s="92">
        <v>3952</v>
      </c>
      <c r="N675" s="92">
        <v>525</v>
      </c>
      <c r="O675" s="92">
        <v>525</v>
      </c>
      <c r="P675" s="92">
        <v>0</v>
      </c>
      <c r="Q675" s="92">
        <v>0</v>
      </c>
      <c r="R675" s="92">
        <v>0</v>
      </c>
      <c r="S675" s="92">
        <v>0</v>
      </c>
      <c r="T675" s="92">
        <v>0</v>
      </c>
      <c r="U675" s="92">
        <v>0</v>
      </c>
      <c r="V675" s="92">
        <v>0</v>
      </c>
      <c r="W675" s="92">
        <v>0</v>
      </c>
      <c r="X675" s="92">
        <v>0</v>
      </c>
      <c r="Y675" s="92">
        <v>0</v>
      </c>
      <c r="Z675" s="92">
        <v>0</v>
      </c>
      <c r="AA675" s="92">
        <v>0</v>
      </c>
      <c r="AB675" s="92">
        <v>376025</v>
      </c>
      <c r="AC675" s="92">
        <v>391308</v>
      </c>
      <c r="AD675" s="92">
        <v>396207</v>
      </c>
      <c r="AE675" s="92">
        <v>0</v>
      </c>
      <c r="AF675" s="92">
        <v>0</v>
      </c>
      <c r="AG675" s="92">
        <v>0</v>
      </c>
      <c r="AI675" s="250">
        <v>3.9345100000000001E-4</v>
      </c>
    </row>
    <row r="676" spans="1:35" x14ac:dyDescent="0.25">
      <c r="A676" t="str">
        <f t="shared" si="14"/>
        <v>30-14-58</v>
      </c>
      <c r="B676">
        <v>30</v>
      </c>
      <c r="C676" s="92" t="s">
        <v>1043</v>
      </c>
      <c r="D676" s="92">
        <v>14</v>
      </c>
      <c r="E676" s="92" t="s">
        <v>571</v>
      </c>
      <c r="F676" s="92">
        <v>58</v>
      </c>
      <c r="G676" s="92" t="s">
        <v>920</v>
      </c>
      <c r="H676" s="92"/>
      <c r="I676" s="92">
        <v>22519</v>
      </c>
      <c r="J676" s="92">
        <v>43564413</v>
      </c>
      <c r="K676" s="92" t="s">
        <v>1061</v>
      </c>
      <c r="L676" s="92">
        <v>2773</v>
      </c>
      <c r="M676" s="92">
        <v>1773</v>
      </c>
      <c r="N676" s="92">
        <v>351</v>
      </c>
      <c r="O676" s="92">
        <v>351</v>
      </c>
      <c r="P676" s="92">
        <v>0</v>
      </c>
      <c r="Q676" s="92">
        <v>0</v>
      </c>
      <c r="R676" s="92">
        <v>0</v>
      </c>
      <c r="S676" s="92">
        <v>0</v>
      </c>
      <c r="T676" s="92">
        <v>0</v>
      </c>
      <c r="U676" s="92">
        <v>0</v>
      </c>
      <c r="V676" s="92">
        <v>0</v>
      </c>
      <c r="W676" s="92">
        <v>0</v>
      </c>
      <c r="X676" s="92">
        <v>0</v>
      </c>
      <c r="Y676" s="92">
        <v>0</v>
      </c>
      <c r="Z676" s="92">
        <v>0</v>
      </c>
      <c r="AA676" s="92">
        <v>0</v>
      </c>
      <c r="AB676" s="92">
        <v>260596</v>
      </c>
      <c r="AC676" s="92">
        <v>263849</v>
      </c>
      <c r="AD676" s="92">
        <v>285339</v>
      </c>
      <c r="AE676" s="92">
        <v>7658</v>
      </c>
      <c r="AF676" s="92">
        <v>0</v>
      </c>
      <c r="AG676" s="92">
        <v>7487</v>
      </c>
      <c r="AI676" s="250">
        <v>1.8892099999999999E-4</v>
      </c>
    </row>
    <row r="677" spans="1:35" x14ac:dyDescent="0.25">
      <c r="A677" t="str">
        <f t="shared" si="14"/>
        <v>31-2-31</v>
      </c>
      <c r="B677">
        <v>31</v>
      </c>
      <c r="C677" s="92" t="s">
        <v>1044</v>
      </c>
      <c r="D677" s="92">
        <v>2</v>
      </c>
      <c r="E677" s="92" t="s">
        <v>53</v>
      </c>
      <c r="F677" s="92">
        <v>31</v>
      </c>
      <c r="G677" s="92" t="s">
        <v>458</v>
      </c>
      <c r="H677" s="92"/>
      <c r="I677" s="92">
        <v>143269</v>
      </c>
      <c r="J677" s="92">
        <v>12118728</v>
      </c>
      <c r="K677" s="92" t="s">
        <v>1061</v>
      </c>
      <c r="L677" s="92">
        <v>71143</v>
      </c>
      <c r="M677" s="92">
        <v>20102</v>
      </c>
      <c r="N677" s="92">
        <v>6661</v>
      </c>
      <c r="O677" s="92">
        <v>6661</v>
      </c>
      <c r="P677" s="92">
        <v>0</v>
      </c>
      <c r="Q677" s="92">
        <v>0</v>
      </c>
      <c r="R677" s="92">
        <v>0</v>
      </c>
      <c r="S677" s="92">
        <v>0</v>
      </c>
      <c r="T677" s="92">
        <v>0</v>
      </c>
      <c r="U677" s="92">
        <v>0</v>
      </c>
      <c r="V677" s="92">
        <v>0</v>
      </c>
      <c r="W677" s="92">
        <v>0</v>
      </c>
      <c r="X677" s="92">
        <v>0</v>
      </c>
      <c r="Y677" s="92">
        <v>0</v>
      </c>
      <c r="Z677" s="92">
        <v>0</v>
      </c>
      <c r="AA677" s="92">
        <v>0</v>
      </c>
      <c r="AB677" s="92">
        <v>1922236</v>
      </c>
      <c r="AC677" s="92">
        <v>2010106</v>
      </c>
      <c r="AD677" s="92">
        <v>2109909</v>
      </c>
      <c r="AE677" s="92">
        <v>0</v>
      </c>
      <c r="AF677" s="92">
        <v>0</v>
      </c>
      <c r="AG677" s="92">
        <v>0</v>
      </c>
    </row>
    <row r="678" spans="1:35" x14ac:dyDescent="0.25">
      <c r="A678" t="str">
        <f t="shared" si="14"/>
        <v>35-4-138</v>
      </c>
      <c r="B678">
        <v>35</v>
      </c>
      <c r="C678" s="92" t="s">
        <v>1195</v>
      </c>
      <c r="D678" s="92">
        <v>4</v>
      </c>
      <c r="E678" s="92" t="s">
        <v>66</v>
      </c>
      <c r="F678" s="92">
        <v>138</v>
      </c>
      <c r="G678" s="92" t="s">
        <v>942</v>
      </c>
      <c r="H678" s="92"/>
      <c r="I678" s="92">
        <v>0</v>
      </c>
      <c r="J678" s="92">
        <v>75375180</v>
      </c>
      <c r="K678" s="92" t="s">
        <v>1061</v>
      </c>
      <c r="L678" s="92">
        <v>15169</v>
      </c>
      <c r="M678" s="92">
        <v>207812</v>
      </c>
      <c r="N678" s="92">
        <v>106798</v>
      </c>
      <c r="O678" s="92">
        <v>106798</v>
      </c>
      <c r="P678" s="92">
        <v>0</v>
      </c>
      <c r="Q678" s="92">
        <v>0</v>
      </c>
      <c r="R678" s="92">
        <v>0</v>
      </c>
      <c r="S678" s="92">
        <v>6233.68</v>
      </c>
      <c r="T678" s="92">
        <v>3954</v>
      </c>
      <c r="U678" s="92">
        <v>735</v>
      </c>
      <c r="V678" s="92">
        <v>0</v>
      </c>
      <c r="W678" s="92">
        <v>0</v>
      </c>
      <c r="X678" s="92">
        <v>0</v>
      </c>
      <c r="Y678" s="92">
        <v>0</v>
      </c>
      <c r="Z678" s="92">
        <v>0</v>
      </c>
      <c r="AA678" s="92">
        <v>0</v>
      </c>
      <c r="AB678" s="92">
        <v>95291</v>
      </c>
      <c r="AC678" s="92">
        <v>99633</v>
      </c>
      <c r="AD678" s="92">
        <v>103499</v>
      </c>
      <c r="AE678" s="92">
        <v>0</v>
      </c>
      <c r="AF678" s="92">
        <v>0</v>
      </c>
      <c r="AG678" s="92">
        <v>0</v>
      </c>
    </row>
    <row r="679" spans="1:35" x14ac:dyDescent="0.25">
      <c r="A679" t="str">
        <f t="shared" si="14"/>
        <v>26-7-77</v>
      </c>
      <c r="B679">
        <v>26</v>
      </c>
      <c r="C679" s="92" t="s">
        <v>1039</v>
      </c>
      <c r="D679" s="92">
        <v>7</v>
      </c>
      <c r="E679" s="92" t="s">
        <v>586</v>
      </c>
      <c r="F679" s="92">
        <v>77</v>
      </c>
      <c r="G679" s="92" t="s">
        <v>871</v>
      </c>
      <c r="H679" s="92"/>
      <c r="I679" s="92">
        <v>16</v>
      </c>
      <c r="J679" s="92">
        <v>2066442</v>
      </c>
      <c r="K679" s="92" t="s">
        <v>1061</v>
      </c>
      <c r="L679" s="92">
        <v>393</v>
      </c>
      <c r="M679" s="92">
        <v>63</v>
      </c>
      <c r="N679" s="92">
        <v>35</v>
      </c>
      <c r="O679" s="92">
        <v>35</v>
      </c>
      <c r="P679" s="92">
        <v>0</v>
      </c>
      <c r="Q679" s="92">
        <v>0</v>
      </c>
      <c r="R679" s="92">
        <v>0</v>
      </c>
      <c r="S679" s="92">
        <v>0</v>
      </c>
      <c r="T679" s="92">
        <v>0</v>
      </c>
      <c r="U679" s="92">
        <v>0</v>
      </c>
      <c r="V679" s="92">
        <v>0</v>
      </c>
      <c r="W679" s="92">
        <v>0</v>
      </c>
      <c r="X679" s="92">
        <v>0</v>
      </c>
      <c r="Y679" s="92">
        <v>0</v>
      </c>
      <c r="Z679" s="92">
        <v>0</v>
      </c>
      <c r="AA679" s="92">
        <v>0</v>
      </c>
      <c r="AB679" s="92">
        <v>10979</v>
      </c>
      <c r="AC679" s="92">
        <v>11393</v>
      </c>
      <c r="AD679" s="92">
        <v>11823</v>
      </c>
      <c r="AE679" s="92">
        <v>0</v>
      </c>
      <c r="AF679" s="92">
        <v>0</v>
      </c>
      <c r="AG679" s="92">
        <v>0</v>
      </c>
    </row>
    <row r="680" spans="1:35" x14ac:dyDescent="0.25">
      <c r="A680" t="str">
        <f t="shared" si="14"/>
        <v>4-7-78</v>
      </c>
      <c r="B680">
        <v>4</v>
      </c>
      <c r="C680" s="92" t="s">
        <v>1194</v>
      </c>
      <c r="D680" s="92">
        <v>7</v>
      </c>
      <c r="E680" s="92" t="s">
        <v>586</v>
      </c>
      <c r="F680" s="92">
        <v>78</v>
      </c>
      <c r="G680" s="92" t="s">
        <v>125</v>
      </c>
      <c r="H680" s="92"/>
      <c r="I680" s="92">
        <v>500</v>
      </c>
      <c r="J680" s="92">
        <v>2289921</v>
      </c>
      <c r="K680" s="92" t="s">
        <v>1061</v>
      </c>
      <c r="L680" s="92">
        <v>123</v>
      </c>
      <c r="M680" s="92">
        <v>28</v>
      </c>
      <c r="N680" s="92">
        <v>2</v>
      </c>
      <c r="O680" s="92">
        <v>2</v>
      </c>
      <c r="P680" s="92">
        <v>0</v>
      </c>
      <c r="Q680" s="92">
        <v>0</v>
      </c>
      <c r="R680" s="92">
        <v>0</v>
      </c>
      <c r="S680" s="92">
        <v>0</v>
      </c>
      <c r="T680" s="92">
        <v>0</v>
      </c>
      <c r="U680" s="92">
        <v>0</v>
      </c>
      <c r="V680" s="92">
        <v>0</v>
      </c>
      <c r="W680" s="92">
        <v>0</v>
      </c>
      <c r="X680" s="92">
        <v>0</v>
      </c>
      <c r="Y680" s="92">
        <v>0</v>
      </c>
      <c r="Z680" s="92">
        <v>0</v>
      </c>
      <c r="AA680" s="92">
        <v>0</v>
      </c>
      <c r="AB680" s="92">
        <v>6846</v>
      </c>
      <c r="AC680" s="92">
        <v>7402</v>
      </c>
      <c r="AD680" s="92">
        <v>7802</v>
      </c>
      <c r="AE680" s="92">
        <v>0</v>
      </c>
      <c r="AF680" s="92">
        <v>0</v>
      </c>
      <c r="AG680" s="92">
        <v>0</v>
      </c>
    </row>
    <row r="681" spans="1:35" x14ac:dyDescent="0.25">
      <c r="A681" t="str">
        <f t="shared" si="14"/>
        <v>27-5-21</v>
      </c>
      <c r="B681">
        <v>27</v>
      </c>
      <c r="C681" s="92" t="s">
        <v>1040</v>
      </c>
      <c r="D681" s="92">
        <v>5</v>
      </c>
      <c r="E681" s="92" t="s">
        <v>200</v>
      </c>
      <c r="F681" s="92">
        <v>21</v>
      </c>
      <c r="G681" s="92" t="s">
        <v>401</v>
      </c>
      <c r="H681" s="92"/>
      <c r="I681" s="92">
        <v>36982</v>
      </c>
      <c r="J681" s="92">
        <v>147899680</v>
      </c>
      <c r="K681" s="92" t="s">
        <v>1061</v>
      </c>
      <c r="L681" s="92">
        <v>0</v>
      </c>
      <c r="M681" s="92">
        <v>6591</v>
      </c>
      <c r="N681" s="92">
        <v>2673</v>
      </c>
      <c r="O681" s="92">
        <v>2673</v>
      </c>
      <c r="P681" s="92">
        <v>0</v>
      </c>
      <c r="Q681" s="92">
        <v>0</v>
      </c>
      <c r="R681" s="92">
        <v>0</v>
      </c>
      <c r="S681" s="92">
        <v>0</v>
      </c>
      <c r="T681" s="92">
        <v>0</v>
      </c>
      <c r="U681" s="92">
        <v>0</v>
      </c>
      <c r="V681" s="92">
        <v>0</v>
      </c>
      <c r="W681" s="92">
        <v>0</v>
      </c>
      <c r="X681" s="92">
        <v>0</v>
      </c>
      <c r="Y681" s="92">
        <v>0</v>
      </c>
      <c r="Z681" s="92">
        <v>0</v>
      </c>
      <c r="AA681" s="92">
        <v>0</v>
      </c>
      <c r="AB681" s="92">
        <v>668911</v>
      </c>
      <c r="AC681" s="92">
        <v>708858</v>
      </c>
      <c r="AD681" s="92">
        <v>751104</v>
      </c>
      <c r="AE681" s="92">
        <v>0</v>
      </c>
      <c r="AF681" s="92">
        <v>0</v>
      </c>
      <c r="AG681" s="92">
        <v>0</v>
      </c>
      <c r="AI681">
        <v>2.41103E-4</v>
      </c>
    </row>
    <row r="682" spans="1:35" x14ac:dyDescent="0.25">
      <c r="A682" t="str">
        <f t="shared" si="14"/>
        <v>10-7-79</v>
      </c>
      <c r="B682">
        <v>10</v>
      </c>
      <c r="C682" s="92" t="s">
        <v>1023</v>
      </c>
      <c r="D682" s="92">
        <v>7</v>
      </c>
      <c r="E682" s="92" t="s">
        <v>586</v>
      </c>
      <c r="F682" s="92">
        <v>79</v>
      </c>
      <c r="G682" s="92" t="s">
        <v>729</v>
      </c>
      <c r="H682" s="92"/>
      <c r="I682" s="92">
        <v>341</v>
      </c>
      <c r="J682" s="92">
        <v>21485484</v>
      </c>
      <c r="K682" s="92" t="s">
        <v>1061</v>
      </c>
      <c r="L682" s="92">
        <v>0</v>
      </c>
      <c r="M682" s="92">
        <v>192</v>
      </c>
      <c r="N682" s="92">
        <v>48</v>
      </c>
      <c r="O682" s="92">
        <v>48</v>
      </c>
      <c r="P682" s="92">
        <v>0</v>
      </c>
      <c r="Q682" s="92">
        <v>0</v>
      </c>
      <c r="R682" s="92">
        <v>0</v>
      </c>
      <c r="S682" s="92">
        <v>0</v>
      </c>
      <c r="T682" s="92">
        <v>0</v>
      </c>
      <c r="U682" s="92">
        <v>0</v>
      </c>
      <c r="V682" s="92">
        <v>0</v>
      </c>
      <c r="W682" s="92">
        <v>0</v>
      </c>
      <c r="X682" s="92">
        <v>0</v>
      </c>
      <c r="Y682" s="92">
        <v>0</v>
      </c>
      <c r="Z682" s="92">
        <v>0</v>
      </c>
      <c r="AA682" s="92">
        <v>0</v>
      </c>
      <c r="AB682" s="92">
        <v>15917</v>
      </c>
      <c r="AC682" s="92">
        <v>16597</v>
      </c>
      <c r="AD682" s="92">
        <v>17592</v>
      </c>
      <c r="AE682" s="92">
        <v>0</v>
      </c>
      <c r="AF682" s="92">
        <v>0</v>
      </c>
      <c r="AG682" s="92">
        <v>0</v>
      </c>
    </row>
    <row r="683" spans="1:35" x14ac:dyDescent="0.25">
      <c r="A683" t="str">
        <f t="shared" si="14"/>
        <v>32-7-80</v>
      </c>
      <c r="B683">
        <v>32</v>
      </c>
      <c r="C683" s="92" t="s">
        <v>1045</v>
      </c>
      <c r="D683" s="92">
        <v>7</v>
      </c>
      <c r="E683" s="92" t="s">
        <v>586</v>
      </c>
      <c r="F683" s="92">
        <v>80</v>
      </c>
      <c r="G683" s="92" t="s">
        <v>933</v>
      </c>
      <c r="H683" s="92"/>
      <c r="I683" s="92">
        <v>0</v>
      </c>
      <c r="J683" s="92">
        <v>81997780</v>
      </c>
      <c r="K683" s="92" t="s">
        <v>1061</v>
      </c>
      <c r="L683" s="92">
        <v>1947</v>
      </c>
      <c r="M683" s="92">
        <v>1307</v>
      </c>
      <c r="N683" s="92">
        <v>458</v>
      </c>
      <c r="O683" s="92">
        <v>458</v>
      </c>
      <c r="P683" s="92">
        <v>0</v>
      </c>
      <c r="Q683" s="92">
        <v>0</v>
      </c>
      <c r="R683" s="92">
        <v>0</v>
      </c>
      <c r="S683" s="92">
        <v>42.7</v>
      </c>
      <c r="T683" s="92">
        <v>59</v>
      </c>
      <c r="U683" s="92">
        <v>82</v>
      </c>
      <c r="V683" s="92">
        <v>0</v>
      </c>
      <c r="W683" s="92">
        <v>0</v>
      </c>
      <c r="X683" s="92">
        <v>0</v>
      </c>
      <c r="Y683" s="92">
        <v>0</v>
      </c>
      <c r="Z683" s="92">
        <v>0</v>
      </c>
      <c r="AA683" s="92">
        <v>0</v>
      </c>
      <c r="AB683" s="92">
        <v>78576</v>
      </c>
      <c r="AC683" s="92">
        <v>81722</v>
      </c>
      <c r="AD683" s="92">
        <v>85615</v>
      </c>
      <c r="AE683" s="92">
        <v>0</v>
      </c>
      <c r="AF683" s="92">
        <v>0</v>
      </c>
      <c r="AG683" s="92">
        <v>0</v>
      </c>
    </row>
    <row r="684" spans="1:35" x14ac:dyDescent="0.25">
      <c r="A684" t="str">
        <f t="shared" si="14"/>
        <v>32-17-11</v>
      </c>
      <c r="B684">
        <v>32</v>
      </c>
      <c r="C684" s="92" t="s">
        <v>1045</v>
      </c>
      <c r="D684" s="92">
        <v>17</v>
      </c>
      <c r="E684" s="92" t="s">
        <v>593</v>
      </c>
      <c r="F684" s="92">
        <v>11</v>
      </c>
      <c r="G684" s="92" t="s">
        <v>937</v>
      </c>
      <c r="H684" s="92"/>
      <c r="I684" s="92">
        <v>0</v>
      </c>
      <c r="J684" s="92">
        <v>176278415</v>
      </c>
      <c r="K684" s="92" t="s">
        <v>1061</v>
      </c>
      <c r="L684" s="92">
        <v>5090</v>
      </c>
      <c r="M684" s="92">
        <v>2826</v>
      </c>
      <c r="N684" s="92">
        <v>1067</v>
      </c>
      <c r="O684" s="92">
        <v>1067</v>
      </c>
      <c r="P684" s="92">
        <v>0</v>
      </c>
      <c r="Q684" s="92">
        <v>0</v>
      </c>
      <c r="R684" s="92">
        <v>0</v>
      </c>
      <c r="S684" s="92">
        <v>57.74</v>
      </c>
      <c r="T684" s="92">
        <v>97</v>
      </c>
      <c r="U684" s="92">
        <v>104</v>
      </c>
      <c r="V684" s="92">
        <v>0</v>
      </c>
      <c r="W684" s="92">
        <v>0</v>
      </c>
      <c r="X684" s="92">
        <v>0</v>
      </c>
      <c r="Y684" s="92">
        <v>0</v>
      </c>
      <c r="Z684" s="92">
        <v>0</v>
      </c>
      <c r="AA684" s="92">
        <v>0</v>
      </c>
      <c r="AB684" s="92">
        <v>189937</v>
      </c>
      <c r="AC684" s="92">
        <v>187523</v>
      </c>
      <c r="AD684" s="92">
        <v>197950</v>
      </c>
      <c r="AE684" s="92">
        <v>0</v>
      </c>
      <c r="AF684" s="92">
        <v>0</v>
      </c>
      <c r="AG684" s="92">
        <v>0</v>
      </c>
    </row>
    <row r="685" spans="1:35" x14ac:dyDescent="0.25">
      <c r="A685" t="str">
        <f t="shared" si="14"/>
        <v>32-2-32</v>
      </c>
      <c r="B685">
        <v>32</v>
      </c>
      <c r="C685" s="92" t="s">
        <v>1045</v>
      </c>
      <c r="D685" s="92">
        <v>2</v>
      </c>
      <c r="E685" s="92" t="s">
        <v>53</v>
      </c>
      <c r="F685" s="92">
        <v>32</v>
      </c>
      <c r="G685" s="92" t="s">
        <v>465</v>
      </c>
      <c r="H685" s="92"/>
      <c r="I685" s="92">
        <v>0</v>
      </c>
      <c r="J685" s="92">
        <v>176278415</v>
      </c>
      <c r="K685" s="92" t="s">
        <v>1061</v>
      </c>
      <c r="L685" s="92">
        <v>44772</v>
      </c>
      <c r="M685" s="92">
        <v>22473</v>
      </c>
      <c r="N685" s="92">
        <v>9163</v>
      </c>
      <c r="O685" s="92">
        <v>9163</v>
      </c>
      <c r="P685" s="92">
        <v>0</v>
      </c>
      <c r="Q685" s="92">
        <v>0</v>
      </c>
      <c r="R685" s="92">
        <v>0</v>
      </c>
      <c r="S685" s="92">
        <v>496.88</v>
      </c>
      <c r="T685" s="92">
        <v>813</v>
      </c>
      <c r="U685" s="92">
        <v>913</v>
      </c>
      <c r="V685" s="92">
        <v>0</v>
      </c>
      <c r="W685" s="92">
        <v>0</v>
      </c>
      <c r="X685" s="92">
        <v>0</v>
      </c>
      <c r="Y685" s="92">
        <v>0</v>
      </c>
      <c r="Z685" s="92">
        <v>0</v>
      </c>
      <c r="AA685" s="92">
        <v>0</v>
      </c>
      <c r="AB685" s="92">
        <v>1581954</v>
      </c>
      <c r="AC685" s="92">
        <v>1644928</v>
      </c>
      <c r="AD685" s="92">
        <v>1662401</v>
      </c>
      <c r="AE685" s="92">
        <v>0</v>
      </c>
      <c r="AF685" s="92">
        <v>0</v>
      </c>
      <c r="AG685" s="92">
        <v>0</v>
      </c>
    </row>
    <row r="686" spans="1:35" x14ac:dyDescent="0.25">
      <c r="A686" t="str">
        <f t="shared" si="14"/>
        <v>32-5-27</v>
      </c>
      <c r="B686">
        <v>32</v>
      </c>
      <c r="C686" s="92" t="s">
        <v>1045</v>
      </c>
      <c r="D686" s="92">
        <v>5</v>
      </c>
      <c r="E686" s="92" t="s">
        <v>200</v>
      </c>
      <c r="F686" s="92">
        <v>27</v>
      </c>
      <c r="G686" s="92" t="s">
        <v>469</v>
      </c>
      <c r="H686" s="92"/>
      <c r="I686" s="92">
        <v>0</v>
      </c>
      <c r="J686" s="92">
        <v>176278415</v>
      </c>
      <c r="K686" s="92" t="s">
        <v>1061</v>
      </c>
      <c r="L686" s="92">
        <v>0</v>
      </c>
      <c r="M686" s="92">
        <v>2446</v>
      </c>
      <c r="N686" s="92">
        <v>1060</v>
      </c>
      <c r="O686" s="92">
        <v>1060</v>
      </c>
      <c r="P686" s="92">
        <v>0</v>
      </c>
      <c r="Q686" s="92">
        <v>0</v>
      </c>
      <c r="R686" s="92">
        <v>0</v>
      </c>
      <c r="S686" s="92">
        <v>57.46</v>
      </c>
      <c r="T686" s="92">
        <v>95</v>
      </c>
      <c r="U686" s="92">
        <v>108</v>
      </c>
      <c r="V686" s="92">
        <v>0</v>
      </c>
      <c r="W686" s="92">
        <v>0</v>
      </c>
      <c r="X686" s="92">
        <v>0</v>
      </c>
      <c r="Y686" s="92">
        <v>0</v>
      </c>
      <c r="Z686" s="92">
        <v>0</v>
      </c>
      <c r="AA686" s="92">
        <v>0</v>
      </c>
      <c r="AB686" s="92">
        <v>185096</v>
      </c>
      <c r="AC686" s="92">
        <v>192256</v>
      </c>
      <c r="AD686" s="92">
        <v>200176</v>
      </c>
      <c r="AE686" s="92">
        <v>0</v>
      </c>
      <c r="AF686" s="92">
        <v>0</v>
      </c>
      <c r="AG686" s="92">
        <v>0</v>
      </c>
      <c r="AI686">
        <v>2.6547700000000002E-4</v>
      </c>
    </row>
    <row r="687" spans="1:35" x14ac:dyDescent="0.25">
      <c r="A687" t="str">
        <f t="shared" si="14"/>
        <v>26-7-81</v>
      </c>
      <c r="B687">
        <v>26</v>
      </c>
      <c r="C687" s="92" t="s">
        <v>1039</v>
      </c>
      <c r="D687" s="92">
        <v>7</v>
      </c>
      <c r="E687" s="92" t="s">
        <v>586</v>
      </c>
      <c r="F687" s="92">
        <v>81</v>
      </c>
      <c r="G687" s="92" t="s">
        <v>872</v>
      </c>
      <c r="H687" s="92"/>
      <c r="I687" s="92">
        <v>1933</v>
      </c>
      <c r="J687" s="92">
        <v>7761789</v>
      </c>
      <c r="K687" s="92" t="s">
        <v>1061</v>
      </c>
      <c r="L687" s="92">
        <v>533</v>
      </c>
      <c r="M687" s="92">
        <v>223</v>
      </c>
      <c r="N687" s="92">
        <v>53</v>
      </c>
      <c r="O687" s="92">
        <v>53</v>
      </c>
      <c r="P687" s="92">
        <v>0</v>
      </c>
      <c r="Q687" s="92">
        <v>0</v>
      </c>
      <c r="R687" s="92">
        <v>0</v>
      </c>
      <c r="S687" s="92">
        <v>0</v>
      </c>
      <c r="T687" s="92">
        <v>0</v>
      </c>
      <c r="U687" s="92">
        <v>0</v>
      </c>
      <c r="V687" s="92">
        <v>0</v>
      </c>
      <c r="W687" s="92">
        <v>0</v>
      </c>
      <c r="X687" s="92">
        <v>0</v>
      </c>
      <c r="Y687" s="92">
        <v>0</v>
      </c>
      <c r="Z687" s="92">
        <v>0</v>
      </c>
      <c r="AA687" s="92">
        <v>0</v>
      </c>
      <c r="AB687" s="92">
        <v>34974</v>
      </c>
      <c r="AC687" s="92">
        <v>36690</v>
      </c>
      <c r="AD687" s="92">
        <v>38431</v>
      </c>
      <c r="AE687" s="92">
        <v>0</v>
      </c>
      <c r="AF687" s="92">
        <v>0</v>
      </c>
      <c r="AG687" s="92">
        <v>0</v>
      </c>
    </row>
    <row r="688" spans="1:35" x14ac:dyDescent="0.25">
      <c r="A688" t="str">
        <f t="shared" si="14"/>
        <v>12-22-3</v>
      </c>
      <c r="B688">
        <v>12</v>
      </c>
      <c r="C688" s="92" t="s">
        <v>1025</v>
      </c>
      <c r="D688" s="92">
        <v>22</v>
      </c>
      <c r="E688" s="92" t="s">
        <v>595</v>
      </c>
      <c r="F688" s="92">
        <v>3</v>
      </c>
      <c r="G688" s="92" t="s">
        <v>214</v>
      </c>
      <c r="H688" s="92"/>
      <c r="I688" s="92">
        <v>191</v>
      </c>
      <c r="J688" s="92">
        <v>0</v>
      </c>
      <c r="K688" s="92" t="s">
        <v>1061</v>
      </c>
      <c r="L688" s="92">
        <v>0</v>
      </c>
      <c r="M688" s="92">
        <v>0</v>
      </c>
      <c r="N688" s="92">
        <v>0</v>
      </c>
      <c r="O688" s="92">
        <v>0</v>
      </c>
      <c r="P688" s="92">
        <v>0</v>
      </c>
      <c r="Q688" s="92">
        <v>0</v>
      </c>
      <c r="R688" s="92">
        <v>0</v>
      </c>
      <c r="S688" s="92">
        <v>0</v>
      </c>
      <c r="T688" s="92">
        <v>0</v>
      </c>
      <c r="U688" s="92">
        <v>0</v>
      </c>
      <c r="V688" s="92">
        <v>0</v>
      </c>
      <c r="W688" s="92">
        <v>0</v>
      </c>
      <c r="X688" s="92">
        <v>0</v>
      </c>
      <c r="Y688" s="92">
        <v>0</v>
      </c>
      <c r="Z688" s="92">
        <v>0</v>
      </c>
      <c r="AA688" s="92">
        <v>0</v>
      </c>
      <c r="AB688" s="92">
        <v>5000</v>
      </c>
      <c r="AC688" s="92">
        <v>5000</v>
      </c>
      <c r="AD688" s="92">
        <v>5197</v>
      </c>
      <c r="AE688" s="92">
        <v>0</v>
      </c>
      <c r="AF688" s="92">
        <v>0</v>
      </c>
      <c r="AG688" s="92">
        <v>0</v>
      </c>
    </row>
    <row r="689" spans="1:35" x14ac:dyDescent="0.25">
      <c r="A689" t="str">
        <f t="shared" si="14"/>
        <v>7-14-24</v>
      </c>
      <c r="B689">
        <v>7</v>
      </c>
      <c r="C689" s="92" t="s">
        <v>1057</v>
      </c>
      <c r="D689" s="92">
        <v>14</v>
      </c>
      <c r="E689" s="92" t="s">
        <v>571</v>
      </c>
      <c r="F689" s="92">
        <v>24</v>
      </c>
      <c r="G689" s="92" t="s">
        <v>695</v>
      </c>
      <c r="H689" s="92"/>
      <c r="I689" s="92">
        <v>0</v>
      </c>
      <c r="J689" s="92">
        <v>76121696</v>
      </c>
      <c r="K689" s="92" t="s">
        <v>1061</v>
      </c>
      <c r="L689" s="92">
        <v>900</v>
      </c>
      <c r="M689" s="92">
        <v>644</v>
      </c>
      <c r="N689" s="92">
        <v>117</v>
      </c>
      <c r="O689" s="92">
        <v>117</v>
      </c>
      <c r="P689" s="92">
        <v>0</v>
      </c>
      <c r="Q689" s="92">
        <v>0</v>
      </c>
      <c r="R689" s="92">
        <v>0</v>
      </c>
      <c r="S689" s="92">
        <v>0</v>
      </c>
      <c r="T689" s="92">
        <v>0</v>
      </c>
      <c r="U689" s="92">
        <v>0</v>
      </c>
      <c r="V689" s="92">
        <v>0</v>
      </c>
      <c r="W689" s="92">
        <v>0</v>
      </c>
      <c r="X689" s="92">
        <v>0</v>
      </c>
      <c r="Y689" s="92">
        <v>0</v>
      </c>
      <c r="Z689" s="92">
        <v>0</v>
      </c>
      <c r="AA689" s="92">
        <v>0</v>
      </c>
      <c r="AB689" s="92">
        <v>34310</v>
      </c>
      <c r="AC689" s="92">
        <v>35848</v>
      </c>
      <c r="AD689" s="92">
        <v>37517</v>
      </c>
      <c r="AE689" s="92">
        <v>0</v>
      </c>
      <c r="AF689" s="92">
        <v>0</v>
      </c>
      <c r="AG689" s="92">
        <v>0</v>
      </c>
      <c r="AI689" s="250">
        <v>1.12711E-4</v>
      </c>
    </row>
    <row r="690" spans="1:35" x14ac:dyDescent="0.25">
      <c r="A690" t="str">
        <f t="shared" si="14"/>
        <v>14-14-52</v>
      </c>
      <c r="B690">
        <v>14</v>
      </c>
      <c r="C690" s="92" t="s">
        <v>1027</v>
      </c>
      <c r="D690" s="92">
        <v>14</v>
      </c>
      <c r="E690" s="92" t="s">
        <v>571</v>
      </c>
      <c r="F690" s="92">
        <v>52</v>
      </c>
      <c r="G690" s="92" t="s">
        <v>248</v>
      </c>
      <c r="H690" s="92"/>
      <c r="I690" s="92">
        <v>0</v>
      </c>
      <c r="J690" s="92">
        <v>7302077</v>
      </c>
      <c r="K690" s="92">
        <v>1</v>
      </c>
      <c r="L690" s="92">
        <v>2064</v>
      </c>
      <c r="M690" s="92">
        <v>1355</v>
      </c>
      <c r="N690" s="92">
        <v>258</v>
      </c>
      <c r="O690" s="92">
        <v>258</v>
      </c>
      <c r="P690" s="92">
        <v>0</v>
      </c>
      <c r="Q690" s="92">
        <v>0</v>
      </c>
      <c r="R690" s="92">
        <v>0</v>
      </c>
      <c r="S690" s="92">
        <v>0</v>
      </c>
      <c r="T690" s="92">
        <v>0</v>
      </c>
      <c r="U690" s="92">
        <v>0</v>
      </c>
      <c r="V690" s="92">
        <v>0</v>
      </c>
      <c r="W690" s="92">
        <v>0</v>
      </c>
      <c r="X690" s="92">
        <v>0</v>
      </c>
      <c r="Y690" s="92">
        <v>0</v>
      </c>
      <c r="Z690" s="92">
        <v>0</v>
      </c>
      <c r="AA690" s="92">
        <v>0</v>
      </c>
      <c r="AB690" s="92">
        <v>103106</v>
      </c>
      <c r="AC690" s="92">
        <v>109520</v>
      </c>
      <c r="AD690" s="92">
        <v>115485</v>
      </c>
      <c r="AE690" s="92">
        <v>0</v>
      </c>
      <c r="AF690" s="92">
        <v>0</v>
      </c>
      <c r="AG690" s="92">
        <v>0</v>
      </c>
      <c r="AI690" s="250">
        <v>1.09158E-4</v>
      </c>
    </row>
    <row r="691" spans="1:35" x14ac:dyDescent="0.25">
      <c r="A691" t="str">
        <f t="shared" si="14"/>
        <v>37-14-52</v>
      </c>
      <c r="B691">
        <v>37</v>
      </c>
      <c r="C691" s="92" t="s">
        <v>1049</v>
      </c>
      <c r="D691" s="92">
        <v>14</v>
      </c>
      <c r="E691" s="92" t="s">
        <v>571</v>
      </c>
      <c r="F691" s="92">
        <v>52</v>
      </c>
      <c r="G691" s="92" t="s">
        <v>248</v>
      </c>
      <c r="H691" s="92"/>
      <c r="I691" s="92">
        <v>0</v>
      </c>
      <c r="J691" s="92">
        <v>14340584</v>
      </c>
      <c r="K691" s="92">
        <v>1</v>
      </c>
      <c r="L691" s="92">
        <v>2064</v>
      </c>
      <c r="M691" s="92">
        <v>1355</v>
      </c>
      <c r="N691" s="92">
        <v>258</v>
      </c>
      <c r="O691" s="92">
        <v>258</v>
      </c>
      <c r="P691" s="92">
        <v>0</v>
      </c>
      <c r="Q691" s="92">
        <v>0</v>
      </c>
      <c r="R691" s="92">
        <v>0</v>
      </c>
      <c r="S691" s="92">
        <v>0</v>
      </c>
      <c r="T691" s="92">
        <v>0</v>
      </c>
      <c r="U691" s="92">
        <v>0</v>
      </c>
      <c r="V691" s="92">
        <v>0</v>
      </c>
      <c r="W691" s="92">
        <v>0</v>
      </c>
      <c r="X691" s="92">
        <v>0</v>
      </c>
      <c r="Y691" s="92">
        <v>0</v>
      </c>
      <c r="Z691" s="92">
        <v>0</v>
      </c>
      <c r="AA691" s="92">
        <v>0</v>
      </c>
      <c r="AB691" s="92">
        <v>103106</v>
      </c>
      <c r="AC691" s="92">
        <v>109520</v>
      </c>
      <c r="AD691" s="92">
        <v>115485</v>
      </c>
      <c r="AE691" s="92">
        <v>0</v>
      </c>
      <c r="AF691" s="92">
        <v>0</v>
      </c>
      <c r="AG691" s="92">
        <v>0</v>
      </c>
      <c r="AI691" s="250">
        <v>1.09158E-4</v>
      </c>
    </row>
    <row r="692" spans="1:35" x14ac:dyDescent="0.25">
      <c r="A692" t="str">
        <f t="shared" si="14"/>
        <v>12-14-6</v>
      </c>
      <c r="B692">
        <v>12</v>
      </c>
      <c r="C692" s="92" t="s">
        <v>1025</v>
      </c>
      <c r="D692" s="92">
        <v>14</v>
      </c>
      <c r="E692" s="92" t="s">
        <v>571</v>
      </c>
      <c r="F692" s="92">
        <v>6</v>
      </c>
      <c r="G692" s="92" t="s">
        <v>745</v>
      </c>
      <c r="H692" s="92"/>
      <c r="I692" s="92">
        <v>0</v>
      </c>
      <c r="J692" s="92">
        <v>23115371</v>
      </c>
      <c r="K692" s="92" t="s">
        <v>1061</v>
      </c>
      <c r="L692" s="92">
        <v>5664</v>
      </c>
      <c r="M692" s="92">
        <v>3632</v>
      </c>
      <c r="N692" s="92">
        <v>777</v>
      </c>
      <c r="O692" s="92">
        <v>777</v>
      </c>
      <c r="P692" s="92">
        <v>0</v>
      </c>
      <c r="Q692" s="92">
        <v>0</v>
      </c>
      <c r="R692" s="92">
        <v>0</v>
      </c>
      <c r="S692" s="92">
        <v>0</v>
      </c>
      <c r="T692" s="92">
        <v>0</v>
      </c>
      <c r="U692" s="92">
        <v>0</v>
      </c>
      <c r="V692" s="92">
        <v>0</v>
      </c>
      <c r="W692" s="92">
        <v>0</v>
      </c>
      <c r="X692" s="92">
        <v>0</v>
      </c>
      <c r="Y692" s="92">
        <v>0</v>
      </c>
      <c r="Z692" s="92">
        <v>0</v>
      </c>
      <c r="AA692" s="92">
        <v>0</v>
      </c>
      <c r="AB692" s="92">
        <v>124032</v>
      </c>
      <c r="AC692" s="92">
        <v>130138</v>
      </c>
      <c r="AD692" s="92">
        <v>136000</v>
      </c>
      <c r="AE692" s="92">
        <v>0</v>
      </c>
      <c r="AF692" s="92">
        <v>0</v>
      </c>
      <c r="AG692" s="92">
        <v>0</v>
      </c>
      <c r="AI692" s="250">
        <v>4.6598700000000001E-4</v>
      </c>
    </row>
    <row r="693" spans="1:35" x14ac:dyDescent="0.25">
      <c r="A693" t="str">
        <f t="shared" si="14"/>
        <v>12-9-46</v>
      </c>
      <c r="B693">
        <v>12</v>
      </c>
      <c r="C693" s="92" t="s">
        <v>1025</v>
      </c>
      <c r="D693" s="92">
        <v>9</v>
      </c>
      <c r="E693" s="92" t="s">
        <v>588</v>
      </c>
      <c r="F693" s="92">
        <v>46</v>
      </c>
      <c r="G693" s="92" t="s">
        <v>744</v>
      </c>
      <c r="H693" s="92"/>
      <c r="I693" s="92">
        <v>0</v>
      </c>
      <c r="J693" s="92">
        <v>0</v>
      </c>
      <c r="K693" s="92" t="s">
        <v>1061</v>
      </c>
      <c r="L693" s="92">
        <v>2902</v>
      </c>
      <c r="M693" s="92">
        <v>444</v>
      </c>
      <c r="N693" s="92">
        <v>0</v>
      </c>
      <c r="O693" s="92">
        <v>0</v>
      </c>
      <c r="P693" s="92">
        <v>0</v>
      </c>
      <c r="Q693" s="92">
        <v>0</v>
      </c>
      <c r="R693" s="92">
        <v>0</v>
      </c>
      <c r="S693" s="92">
        <v>0</v>
      </c>
      <c r="T693" s="92">
        <v>0</v>
      </c>
      <c r="U693" s="92">
        <v>0</v>
      </c>
      <c r="V693" s="92">
        <v>0</v>
      </c>
      <c r="W693" s="92">
        <v>0</v>
      </c>
      <c r="X693" s="92">
        <v>0</v>
      </c>
      <c r="Y693" s="92">
        <v>0</v>
      </c>
      <c r="Z693" s="92">
        <v>0</v>
      </c>
      <c r="AA693" s="92">
        <v>0</v>
      </c>
      <c r="AB693" s="92">
        <v>29140</v>
      </c>
      <c r="AC693" s="92">
        <v>32128</v>
      </c>
      <c r="AD693" s="92">
        <v>33459</v>
      </c>
      <c r="AE693" s="92">
        <v>0</v>
      </c>
      <c r="AF693" s="92">
        <v>1033</v>
      </c>
      <c r="AG693" s="92">
        <v>778</v>
      </c>
      <c r="AI693" s="250">
        <v>2.7709799999999998E-4</v>
      </c>
    </row>
    <row r="694" spans="1:35" x14ac:dyDescent="0.25">
      <c r="A694" t="str">
        <f t="shared" si="14"/>
        <v>12-12-4</v>
      </c>
      <c r="B694">
        <v>12</v>
      </c>
      <c r="C694" s="92" t="s">
        <v>1025</v>
      </c>
      <c r="D694" s="92">
        <v>12</v>
      </c>
      <c r="E694" s="92" t="s">
        <v>71</v>
      </c>
      <c r="F694" s="92">
        <v>4</v>
      </c>
      <c r="G694" s="92" t="s">
        <v>1359</v>
      </c>
      <c r="H694" s="92"/>
      <c r="I694" s="92">
        <v>0</v>
      </c>
      <c r="J694" s="92">
        <v>23115371</v>
      </c>
      <c r="K694" s="92">
        <v>1</v>
      </c>
      <c r="L694" s="92">
        <v>20546</v>
      </c>
      <c r="M694" s="92">
        <v>9344</v>
      </c>
      <c r="N694" s="92">
        <v>3397</v>
      </c>
      <c r="O694" s="92">
        <v>3397</v>
      </c>
      <c r="P694" s="92">
        <v>0</v>
      </c>
      <c r="Q694" s="92">
        <v>0</v>
      </c>
      <c r="R694" s="92">
        <v>0</v>
      </c>
      <c r="S694" s="92">
        <v>0</v>
      </c>
      <c r="T694" s="92">
        <v>0</v>
      </c>
      <c r="U694" s="92">
        <v>0</v>
      </c>
      <c r="V694" s="92">
        <v>0</v>
      </c>
      <c r="W694" s="92">
        <v>0</v>
      </c>
      <c r="X694" s="92">
        <v>0</v>
      </c>
      <c r="Y694" s="92">
        <v>0</v>
      </c>
      <c r="Z694" s="92">
        <v>0</v>
      </c>
      <c r="AA694" s="92">
        <v>0</v>
      </c>
      <c r="AB694" s="92">
        <v>340851</v>
      </c>
      <c r="AC694" s="92">
        <v>357483</v>
      </c>
      <c r="AD694" s="92">
        <v>372238</v>
      </c>
      <c r="AE694" s="92">
        <v>0</v>
      </c>
      <c r="AF694" s="92">
        <v>0</v>
      </c>
      <c r="AG694" s="92">
        <v>0</v>
      </c>
    </row>
    <row r="695" spans="1:35" x14ac:dyDescent="0.25">
      <c r="A695" t="str">
        <f t="shared" si="14"/>
        <v>19-12-4</v>
      </c>
      <c r="B695">
        <v>19</v>
      </c>
      <c r="C695" s="92" t="s">
        <v>1032</v>
      </c>
      <c r="D695" s="92">
        <v>12</v>
      </c>
      <c r="E695" s="92" t="s">
        <v>71</v>
      </c>
      <c r="F695" s="92">
        <v>4</v>
      </c>
      <c r="G695" s="92" t="s">
        <v>1359</v>
      </c>
      <c r="H695" s="92"/>
      <c r="I695" s="92">
        <v>0</v>
      </c>
      <c r="J695" s="92">
        <v>9940186</v>
      </c>
      <c r="K695" s="92">
        <v>1</v>
      </c>
      <c r="L695" s="92">
        <v>20546</v>
      </c>
      <c r="M695" s="92">
        <v>9344</v>
      </c>
      <c r="N695" s="92">
        <v>3397</v>
      </c>
      <c r="O695" s="92">
        <v>3397</v>
      </c>
      <c r="P695" s="92">
        <v>0</v>
      </c>
      <c r="Q695" s="92">
        <v>0</v>
      </c>
      <c r="R695" s="92">
        <v>0</v>
      </c>
      <c r="S695" s="92">
        <v>0</v>
      </c>
      <c r="T695" s="92">
        <v>0</v>
      </c>
      <c r="U695" s="92">
        <v>0</v>
      </c>
      <c r="V695" s="92">
        <v>0</v>
      </c>
      <c r="W695" s="92">
        <v>0</v>
      </c>
      <c r="X695" s="92">
        <v>0</v>
      </c>
      <c r="Y695" s="92">
        <v>0</v>
      </c>
      <c r="Z695" s="92">
        <v>0</v>
      </c>
      <c r="AA695" s="92">
        <v>0</v>
      </c>
      <c r="AB695" s="92">
        <v>340851</v>
      </c>
      <c r="AC695" s="92">
        <v>357483</v>
      </c>
      <c r="AD695" s="92">
        <v>372238</v>
      </c>
      <c r="AE695" s="92">
        <v>0</v>
      </c>
      <c r="AF695" s="92">
        <v>0</v>
      </c>
      <c r="AG695" s="92">
        <v>0</v>
      </c>
    </row>
    <row r="696" spans="1:35" x14ac:dyDescent="0.25">
      <c r="A696" t="str">
        <f t="shared" si="14"/>
        <v>19-11-38</v>
      </c>
      <c r="B696">
        <v>19</v>
      </c>
      <c r="C696" s="92" t="s">
        <v>1032</v>
      </c>
      <c r="D696" s="92">
        <v>11</v>
      </c>
      <c r="E696" s="92" t="s">
        <v>1062</v>
      </c>
      <c r="F696" s="92">
        <v>38</v>
      </c>
      <c r="G696" s="92" t="s">
        <v>816</v>
      </c>
      <c r="H696" s="92"/>
      <c r="I696" s="92">
        <v>0</v>
      </c>
      <c r="J696" s="92">
        <v>9322070</v>
      </c>
      <c r="K696" s="92" t="s">
        <v>1061</v>
      </c>
      <c r="L696" s="92">
        <v>2106</v>
      </c>
      <c r="M696" s="92">
        <v>646</v>
      </c>
      <c r="N696" s="92">
        <v>318</v>
      </c>
      <c r="O696" s="92">
        <v>251</v>
      </c>
      <c r="P696" s="92">
        <v>0</v>
      </c>
      <c r="Q696" s="92">
        <v>0</v>
      </c>
      <c r="R696" s="92">
        <v>0</v>
      </c>
      <c r="S696" s="92">
        <v>0</v>
      </c>
      <c r="T696" s="92">
        <v>0</v>
      </c>
      <c r="U696" s="92">
        <v>0</v>
      </c>
      <c r="V696" s="92">
        <v>0</v>
      </c>
      <c r="W696" s="92">
        <v>0</v>
      </c>
      <c r="X696" s="92">
        <v>0</v>
      </c>
      <c r="Y696" s="92">
        <v>0</v>
      </c>
      <c r="Z696" s="92">
        <v>0</v>
      </c>
      <c r="AA696" s="92">
        <v>0</v>
      </c>
      <c r="AB696" s="92">
        <v>141121</v>
      </c>
      <c r="AC696" s="92">
        <v>147431</v>
      </c>
      <c r="AD696" s="92">
        <v>153679</v>
      </c>
      <c r="AE696" s="92">
        <v>0</v>
      </c>
      <c r="AF696" s="92">
        <v>0</v>
      </c>
      <c r="AG696" s="92">
        <v>0</v>
      </c>
    </row>
    <row r="697" spans="1:35" x14ac:dyDescent="0.25">
      <c r="A697" t="str">
        <f t="shared" si="14"/>
        <v>14-7-82</v>
      </c>
      <c r="B697">
        <v>14</v>
      </c>
      <c r="C697" s="92" t="s">
        <v>1027</v>
      </c>
      <c r="D697" s="92">
        <v>7</v>
      </c>
      <c r="E697" s="92" t="s">
        <v>586</v>
      </c>
      <c r="F697" s="92">
        <v>82</v>
      </c>
      <c r="G697" s="92" t="s">
        <v>229</v>
      </c>
      <c r="H697" s="92"/>
      <c r="I697" s="92">
        <v>0</v>
      </c>
      <c r="J697" s="92">
        <v>23983377</v>
      </c>
      <c r="K697" s="92" t="s">
        <v>1061</v>
      </c>
      <c r="L697" s="92">
        <v>1339</v>
      </c>
      <c r="M697" s="92">
        <v>253</v>
      </c>
      <c r="N697" s="92">
        <v>58</v>
      </c>
      <c r="O697" s="92">
        <v>58</v>
      </c>
      <c r="P697" s="92">
        <v>0</v>
      </c>
      <c r="Q697" s="92">
        <v>0</v>
      </c>
      <c r="R697" s="92">
        <v>0</v>
      </c>
      <c r="S697" s="92">
        <v>0</v>
      </c>
      <c r="T697" s="92">
        <v>0</v>
      </c>
      <c r="U697" s="92">
        <v>0</v>
      </c>
      <c r="V697" s="92">
        <v>0</v>
      </c>
      <c r="W697" s="92">
        <v>0</v>
      </c>
      <c r="X697" s="92">
        <v>0</v>
      </c>
      <c r="Y697" s="92">
        <v>0</v>
      </c>
      <c r="Z697" s="92">
        <v>0</v>
      </c>
      <c r="AA697" s="92">
        <v>0</v>
      </c>
      <c r="AB697" s="92">
        <v>28441</v>
      </c>
      <c r="AC697" s="92">
        <v>29842</v>
      </c>
      <c r="AD697" s="92">
        <v>31025</v>
      </c>
      <c r="AE697" s="92">
        <v>0</v>
      </c>
      <c r="AF697" s="92">
        <v>0</v>
      </c>
      <c r="AG697" s="92">
        <v>0</v>
      </c>
    </row>
    <row r="698" spans="1:35" x14ac:dyDescent="0.25">
      <c r="A698" t="str">
        <f t="shared" si="14"/>
        <v>15-7-83</v>
      </c>
      <c r="B698">
        <v>15</v>
      </c>
      <c r="C698" s="92" t="s">
        <v>1028</v>
      </c>
      <c r="D698" s="92">
        <v>7</v>
      </c>
      <c r="E698" s="92" t="s">
        <v>586</v>
      </c>
      <c r="F698" s="92">
        <v>83</v>
      </c>
      <c r="G698" s="92" t="s">
        <v>260</v>
      </c>
      <c r="H698" s="92"/>
      <c r="I698" s="92">
        <v>0</v>
      </c>
      <c r="J698" s="92">
        <v>12529092</v>
      </c>
      <c r="K698" s="92" t="s">
        <v>1061</v>
      </c>
      <c r="L698" s="92">
        <v>101</v>
      </c>
      <c r="M698" s="92">
        <v>43</v>
      </c>
      <c r="N698" s="92">
        <v>19</v>
      </c>
      <c r="O698" s="92">
        <v>19</v>
      </c>
      <c r="P698" s="92">
        <v>0</v>
      </c>
      <c r="Q698" s="92">
        <v>0</v>
      </c>
      <c r="R698" s="92">
        <v>0</v>
      </c>
      <c r="S698" s="92">
        <v>0</v>
      </c>
      <c r="T698" s="92">
        <v>0</v>
      </c>
      <c r="U698" s="92">
        <v>0</v>
      </c>
      <c r="V698" s="92">
        <v>0</v>
      </c>
      <c r="W698" s="92">
        <v>0</v>
      </c>
      <c r="X698" s="92">
        <v>0</v>
      </c>
      <c r="Y698" s="92">
        <v>0</v>
      </c>
      <c r="Z698" s="92">
        <v>0</v>
      </c>
      <c r="AA698" s="92">
        <v>0</v>
      </c>
      <c r="AB698" s="92">
        <v>4270</v>
      </c>
      <c r="AC698" s="92">
        <v>4270</v>
      </c>
      <c r="AD698" s="92">
        <v>4476</v>
      </c>
      <c r="AE698" s="92">
        <v>0</v>
      </c>
      <c r="AF698" s="92">
        <v>0</v>
      </c>
      <c r="AG698" s="92">
        <v>0</v>
      </c>
    </row>
    <row r="699" spans="1:35" x14ac:dyDescent="0.25">
      <c r="A699" t="str">
        <f t="shared" si="14"/>
        <v>19-15-9</v>
      </c>
      <c r="B699">
        <v>19</v>
      </c>
      <c r="C699" s="92" t="s">
        <v>1032</v>
      </c>
      <c r="D699" s="92">
        <v>15</v>
      </c>
      <c r="E699" s="92" t="s">
        <v>152</v>
      </c>
      <c r="F699" s="92">
        <v>9</v>
      </c>
      <c r="G699" s="92" t="s">
        <v>820</v>
      </c>
      <c r="H699" s="92"/>
      <c r="I699" s="92">
        <v>0</v>
      </c>
      <c r="J699" s="92">
        <v>2579973</v>
      </c>
      <c r="K699" s="92" t="s">
        <v>1061</v>
      </c>
      <c r="L699" s="92">
        <v>0</v>
      </c>
      <c r="M699" s="92">
        <v>243</v>
      </c>
      <c r="N699" s="92">
        <v>89</v>
      </c>
      <c r="O699" s="92">
        <v>89</v>
      </c>
      <c r="P699" s="92">
        <v>0</v>
      </c>
      <c r="Q699" s="92">
        <v>0</v>
      </c>
      <c r="R699" s="92">
        <v>0</v>
      </c>
      <c r="S699" s="92">
        <v>0</v>
      </c>
      <c r="T699" s="92">
        <v>0</v>
      </c>
      <c r="U699" s="92">
        <v>0</v>
      </c>
      <c r="V699" s="92">
        <v>0</v>
      </c>
      <c r="W699" s="92">
        <v>0</v>
      </c>
      <c r="X699" s="92">
        <v>0</v>
      </c>
      <c r="Y699" s="92">
        <v>0</v>
      </c>
      <c r="Z699" s="92">
        <v>0</v>
      </c>
      <c r="AA699" s="92">
        <v>0</v>
      </c>
      <c r="AB699" s="92">
        <v>25311</v>
      </c>
      <c r="AC699" s="92">
        <v>27618</v>
      </c>
      <c r="AD699" s="92">
        <v>28572</v>
      </c>
      <c r="AE699" s="92">
        <v>0</v>
      </c>
      <c r="AF699" s="92">
        <v>806</v>
      </c>
      <c r="AG699" s="92">
        <v>513</v>
      </c>
    </row>
    <row r="700" spans="1:35" x14ac:dyDescent="0.25">
      <c r="A700" t="str">
        <f t="shared" si="14"/>
        <v>19-14-25</v>
      </c>
      <c r="B700">
        <v>19</v>
      </c>
      <c r="C700" s="92" t="s">
        <v>1032</v>
      </c>
      <c r="D700" s="92">
        <v>14</v>
      </c>
      <c r="E700" s="92" t="s">
        <v>571</v>
      </c>
      <c r="F700" s="92">
        <v>25</v>
      </c>
      <c r="G700" s="92" t="s">
        <v>818</v>
      </c>
      <c r="H700" s="92"/>
      <c r="I700" s="92">
        <v>0</v>
      </c>
      <c r="J700" s="92">
        <v>7504870</v>
      </c>
      <c r="K700" s="92" t="s">
        <v>1061</v>
      </c>
      <c r="L700" s="92">
        <v>995</v>
      </c>
      <c r="M700" s="92">
        <v>376</v>
      </c>
      <c r="N700" s="92">
        <v>147</v>
      </c>
      <c r="O700" s="92">
        <v>147</v>
      </c>
      <c r="P700" s="92">
        <v>0</v>
      </c>
      <c r="Q700" s="92">
        <v>0</v>
      </c>
      <c r="R700" s="92">
        <v>0</v>
      </c>
      <c r="S700" s="92">
        <v>0</v>
      </c>
      <c r="T700" s="92">
        <v>0</v>
      </c>
      <c r="U700" s="92">
        <v>0</v>
      </c>
      <c r="V700" s="92">
        <v>0</v>
      </c>
      <c r="W700" s="92">
        <v>0</v>
      </c>
      <c r="X700" s="92">
        <v>0</v>
      </c>
      <c r="Y700" s="92">
        <v>0</v>
      </c>
      <c r="Z700" s="92">
        <v>0</v>
      </c>
      <c r="AA700" s="92">
        <v>0</v>
      </c>
      <c r="AB700" s="92">
        <v>51567</v>
      </c>
      <c r="AC700" s="92">
        <v>53996</v>
      </c>
      <c r="AD700" s="92">
        <v>55922</v>
      </c>
      <c r="AE700" s="92">
        <v>0</v>
      </c>
      <c r="AF700" s="92">
        <v>0</v>
      </c>
      <c r="AG700" s="92">
        <v>0</v>
      </c>
      <c r="AI700" s="250">
        <v>2.2403000000000001E-4</v>
      </c>
    </row>
    <row r="701" spans="1:35" x14ac:dyDescent="0.25">
      <c r="A701" t="str">
        <f t="shared" si="14"/>
        <v>12-4-70</v>
      </c>
      <c r="B701">
        <v>12</v>
      </c>
      <c r="C701" s="92" t="s">
        <v>1025</v>
      </c>
      <c r="D701" s="92">
        <v>4</v>
      </c>
      <c r="E701" s="92" t="s">
        <v>66</v>
      </c>
      <c r="F701" s="92">
        <v>70</v>
      </c>
      <c r="G701" s="92" t="s">
        <v>742</v>
      </c>
      <c r="H701" s="92"/>
      <c r="I701" s="92">
        <v>0</v>
      </c>
      <c r="J701" s="92">
        <v>47129</v>
      </c>
      <c r="K701" s="92">
        <v>1</v>
      </c>
      <c r="L701" s="92">
        <v>2793</v>
      </c>
      <c r="M701" s="92">
        <v>2459</v>
      </c>
      <c r="N701" s="92">
        <v>521</v>
      </c>
      <c r="O701" s="92">
        <v>521</v>
      </c>
      <c r="P701" s="92">
        <v>0</v>
      </c>
      <c r="Q701" s="92">
        <v>0</v>
      </c>
      <c r="R701" s="92">
        <v>0</v>
      </c>
      <c r="S701" s="92">
        <v>0</v>
      </c>
      <c r="T701" s="92">
        <v>0</v>
      </c>
      <c r="U701" s="92">
        <v>0</v>
      </c>
      <c r="V701" s="92">
        <v>0</v>
      </c>
      <c r="W701" s="92">
        <v>0</v>
      </c>
      <c r="X701" s="92">
        <v>0</v>
      </c>
      <c r="Y701" s="92">
        <v>0</v>
      </c>
      <c r="Z701" s="92">
        <v>0</v>
      </c>
      <c r="AA701" s="92">
        <v>0</v>
      </c>
      <c r="AB701" s="92">
        <v>16580</v>
      </c>
      <c r="AC701" s="92">
        <v>17303</v>
      </c>
      <c r="AD701" s="92">
        <v>17901</v>
      </c>
      <c r="AE701" s="92">
        <v>0</v>
      </c>
      <c r="AF701" s="92">
        <v>0</v>
      </c>
      <c r="AG701" s="92">
        <v>0</v>
      </c>
    </row>
    <row r="702" spans="1:35" x14ac:dyDescent="0.25">
      <c r="A702" t="str">
        <f t="shared" si="14"/>
        <v>19-4-70</v>
      </c>
      <c r="B702">
        <v>19</v>
      </c>
      <c r="C702" s="92" t="s">
        <v>1032</v>
      </c>
      <c r="D702" s="92">
        <v>4</v>
      </c>
      <c r="E702" s="92" t="s">
        <v>66</v>
      </c>
      <c r="F702" s="92">
        <v>70</v>
      </c>
      <c r="G702" s="92" t="s">
        <v>742</v>
      </c>
      <c r="H702" s="92"/>
      <c r="I702" s="92">
        <v>0</v>
      </c>
      <c r="J702" s="92">
        <v>9181900</v>
      </c>
      <c r="K702" s="92">
        <v>1</v>
      </c>
      <c r="L702" s="92">
        <v>2793</v>
      </c>
      <c r="M702" s="92">
        <v>2459</v>
      </c>
      <c r="N702" s="92">
        <v>521</v>
      </c>
      <c r="O702" s="92">
        <v>521</v>
      </c>
      <c r="P702" s="92">
        <v>0</v>
      </c>
      <c r="Q702" s="92">
        <v>0</v>
      </c>
      <c r="R702" s="92">
        <v>0</v>
      </c>
      <c r="S702" s="92">
        <v>0</v>
      </c>
      <c r="T702" s="92">
        <v>0</v>
      </c>
      <c r="U702" s="92">
        <v>0</v>
      </c>
      <c r="V702" s="92">
        <v>0</v>
      </c>
      <c r="W702" s="92">
        <v>0</v>
      </c>
      <c r="X702" s="92">
        <v>0</v>
      </c>
      <c r="Y702" s="92">
        <v>0</v>
      </c>
      <c r="Z702" s="92">
        <v>0</v>
      </c>
      <c r="AA702" s="92">
        <v>0</v>
      </c>
      <c r="AB702" s="92">
        <v>16580</v>
      </c>
      <c r="AC702" s="92">
        <v>17303</v>
      </c>
      <c r="AD702" s="92">
        <v>17901</v>
      </c>
      <c r="AE702" s="92">
        <v>0</v>
      </c>
      <c r="AF702" s="92">
        <v>0</v>
      </c>
      <c r="AG702" s="92">
        <v>0</v>
      </c>
    </row>
    <row r="703" spans="1:35" x14ac:dyDescent="0.25">
      <c r="A703" t="str">
        <f t="shared" si="14"/>
        <v>33-5-18</v>
      </c>
      <c r="B703">
        <v>33</v>
      </c>
      <c r="C703" s="92" t="s">
        <v>1046</v>
      </c>
      <c r="D703" s="92">
        <v>5</v>
      </c>
      <c r="E703" s="92" t="s">
        <v>200</v>
      </c>
      <c r="F703" s="92">
        <v>18</v>
      </c>
      <c r="G703" s="92" t="s">
        <v>480</v>
      </c>
      <c r="H703" s="92"/>
      <c r="I703" s="92">
        <v>0</v>
      </c>
      <c r="J703" s="92">
        <v>53863472</v>
      </c>
      <c r="K703" s="92" t="s">
        <v>1061</v>
      </c>
      <c r="L703" s="92">
        <v>9828</v>
      </c>
      <c r="M703" s="92">
        <v>7359</v>
      </c>
      <c r="N703" s="92">
        <v>2711</v>
      </c>
      <c r="O703" s="92">
        <v>2711</v>
      </c>
      <c r="P703" s="92">
        <v>0</v>
      </c>
      <c r="Q703" s="92">
        <v>0</v>
      </c>
      <c r="R703" s="92">
        <v>0</v>
      </c>
      <c r="S703" s="92">
        <v>0</v>
      </c>
      <c r="T703" s="92">
        <v>0</v>
      </c>
      <c r="U703" s="92">
        <v>0</v>
      </c>
      <c r="V703" s="92">
        <v>0</v>
      </c>
      <c r="W703" s="92">
        <v>0</v>
      </c>
      <c r="X703" s="92">
        <v>0</v>
      </c>
      <c r="Y703" s="92">
        <v>0</v>
      </c>
      <c r="Z703" s="92">
        <v>0</v>
      </c>
      <c r="AA703" s="92">
        <v>0</v>
      </c>
      <c r="AB703" s="92">
        <v>1043285</v>
      </c>
      <c r="AC703" s="92">
        <v>1094714</v>
      </c>
      <c r="AD703" s="92">
        <v>1153197</v>
      </c>
      <c r="AE703" s="92">
        <v>0</v>
      </c>
      <c r="AF703" s="92">
        <v>0</v>
      </c>
      <c r="AG703" s="92">
        <v>0</v>
      </c>
      <c r="AI703">
        <v>2.8341500000000002E-4</v>
      </c>
    </row>
    <row r="704" spans="1:35" x14ac:dyDescent="0.25">
      <c r="A704" t="str">
        <f t="shared" si="14"/>
        <v>33-2-33</v>
      </c>
      <c r="B704">
        <v>33</v>
      </c>
      <c r="C704" s="92" t="s">
        <v>1046</v>
      </c>
      <c r="D704" s="92">
        <v>2</v>
      </c>
      <c r="E704" s="92" t="s">
        <v>53</v>
      </c>
      <c r="F704" s="92">
        <v>33</v>
      </c>
      <c r="G704" s="92" t="s">
        <v>477</v>
      </c>
      <c r="H704" s="92"/>
      <c r="I704" s="92">
        <v>0</v>
      </c>
      <c r="J704" s="92">
        <v>53863472</v>
      </c>
      <c r="K704" s="92" t="s">
        <v>1061</v>
      </c>
      <c r="L704" s="92">
        <v>168291</v>
      </c>
      <c r="M704" s="92">
        <v>114412</v>
      </c>
      <c r="N704" s="92">
        <v>40154</v>
      </c>
      <c r="O704" s="92">
        <v>38737</v>
      </c>
      <c r="P704" s="92">
        <v>0</v>
      </c>
      <c r="Q704" s="92">
        <v>0</v>
      </c>
      <c r="R704" s="92">
        <v>0</v>
      </c>
      <c r="S704" s="92">
        <v>0</v>
      </c>
      <c r="T704" s="92">
        <v>0</v>
      </c>
      <c r="U704" s="92">
        <v>0</v>
      </c>
      <c r="V704" s="92">
        <v>0</v>
      </c>
      <c r="W704" s="92">
        <v>0</v>
      </c>
      <c r="X704" s="92">
        <v>0</v>
      </c>
      <c r="Y704" s="92">
        <v>0</v>
      </c>
      <c r="Z704" s="92">
        <v>0</v>
      </c>
      <c r="AA704" s="92">
        <v>0</v>
      </c>
      <c r="AB704" s="92">
        <f>14166802+1516543</f>
        <v>15683345</v>
      </c>
      <c r="AC704" s="92">
        <f>14363500+1851524</f>
        <v>16215024</v>
      </c>
      <c r="AD704" s="92">
        <f>15080209+2003599</f>
        <v>17083808</v>
      </c>
      <c r="AE704" s="92">
        <v>231401</v>
      </c>
      <c r="AF704" s="92">
        <v>0</v>
      </c>
      <c r="AG704" s="92">
        <v>0</v>
      </c>
    </row>
    <row r="705" spans="1:35" x14ac:dyDescent="0.25">
      <c r="A705" t="str">
        <f t="shared" si="14"/>
        <v>33-9-47</v>
      </c>
      <c r="B705">
        <v>33</v>
      </c>
      <c r="C705" s="92" t="s">
        <v>1046</v>
      </c>
      <c r="D705" s="92">
        <v>9</v>
      </c>
      <c r="E705" s="92" t="s">
        <v>588</v>
      </c>
      <c r="F705" s="92">
        <v>47</v>
      </c>
      <c r="G705" s="92" t="s">
        <v>1243</v>
      </c>
      <c r="H705" s="92"/>
      <c r="I705" s="92">
        <v>0</v>
      </c>
      <c r="J705" s="92">
        <v>0</v>
      </c>
      <c r="K705" s="92" t="s">
        <v>1061</v>
      </c>
      <c r="L705" s="92">
        <v>25052</v>
      </c>
      <c r="M705" s="92">
        <v>5463</v>
      </c>
      <c r="N705" s="92">
        <v>1478</v>
      </c>
      <c r="O705" s="92">
        <v>1478</v>
      </c>
      <c r="P705" s="92">
        <v>0</v>
      </c>
      <c r="Q705" s="92">
        <v>0</v>
      </c>
      <c r="R705" s="92">
        <v>0</v>
      </c>
      <c r="S705" s="92">
        <v>0</v>
      </c>
      <c r="T705" s="92">
        <v>0</v>
      </c>
      <c r="U705" s="92">
        <v>0</v>
      </c>
      <c r="V705" s="92">
        <v>0</v>
      </c>
      <c r="W705" s="92">
        <v>0</v>
      </c>
      <c r="X705" s="92">
        <v>0</v>
      </c>
      <c r="Y705" s="92">
        <v>0</v>
      </c>
      <c r="Z705" s="92">
        <v>0</v>
      </c>
      <c r="AA705" s="92">
        <v>0</v>
      </c>
      <c r="AB705" s="92">
        <v>1012638</v>
      </c>
      <c r="AC705" s="92">
        <v>1074681</v>
      </c>
      <c r="AD705" s="92">
        <v>1145815</v>
      </c>
      <c r="AE705" s="92">
        <v>0</v>
      </c>
      <c r="AF705" s="92">
        <v>0</v>
      </c>
      <c r="AG705" s="92">
        <v>0</v>
      </c>
      <c r="AI705" s="250">
        <v>6.93039E-4</v>
      </c>
    </row>
    <row r="706" spans="1:35" x14ac:dyDescent="0.25">
      <c r="A706" t="str">
        <f t="shared" si="14"/>
        <v>33-14-26</v>
      </c>
      <c r="B706">
        <v>33</v>
      </c>
      <c r="C706" s="92" t="s">
        <v>1046</v>
      </c>
      <c r="D706" s="92">
        <v>14</v>
      </c>
      <c r="E706" s="92" t="s">
        <v>571</v>
      </c>
      <c r="F706" s="92">
        <v>26</v>
      </c>
      <c r="G706" s="92" t="s">
        <v>1245</v>
      </c>
      <c r="H706" s="92"/>
      <c r="I706" s="92">
        <v>36960</v>
      </c>
      <c r="J706" s="92">
        <v>37836272</v>
      </c>
      <c r="K706" s="92" t="s">
        <v>1061</v>
      </c>
      <c r="L706" s="92">
        <v>9330</v>
      </c>
      <c r="M706" s="92">
        <v>14374</v>
      </c>
      <c r="N706" s="92">
        <v>4089</v>
      </c>
      <c r="O706" s="92">
        <v>4089</v>
      </c>
      <c r="P706" s="92">
        <v>0</v>
      </c>
      <c r="Q706" s="92">
        <v>0</v>
      </c>
      <c r="R706" s="92">
        <v>0</v>
      </c>
      <c r="S706" s="92">
        <v>0</v>
      </c>
      <c r="T706" s="92">
        <v>0</v>
      </c>
      <c r="U706" s="92">
        <v>0</v>
      </c>
      <c r="V706" s="92">
        <v>0</v>
      </c>
      <c r="W706" s="92">
        <v>0</v>
      </c>
      <c r="X706" s="92">
        <v>0</v>
      </c>
      <c r="Y706" s="92">
        <v>0</v>
      </c>
      <c r="Z706" s="92">
        <v>0</v>
      </c>
      <c r="AA706" s="92">
        <v>0</v>
      </c>
      <c r="AB706" s="92">
        <v>1220709</v>
      </c>
      <c r="AC706" s="92">
        <v>1278468</v>
      </c>
      <c r="AD706" s="92">
        <v>1341856</v>
      </c>
      <c r="AE706" s="92">
        <v>0</v>
      </c>
      <c r="AF706" s="92">
        <v>0</v>
      </c>
      <c r="AG706" s="92">
        <v>0</v>
      </c>
      <c r="AI706" s="250">
        <v>3.87339E-4</v>
      </c>
    </row>
    <row r="707" spans="1:35" x14ac:dyDescent="0.25">
      <c r="A707" t="str">
        <f t="shared" si="14"/>
        <v>33-11-95</v>
      </c>
      <c r="B707">
        <v>33</v>
      </c>
      <c r="C707" s="92" t="s">
        <v>1046</v>
      </c>
      <c r="D707" s="92">
        <v>11</v>
      </c>
      <c r="E707" s="92" t="s">
        <v>1062</v>
      </c>
      <c r="F707" s="92">
        <v>95</v>
      </c>
      <c r="G707" s="92" t="s">
        <v>1244</v>
      </c>
      <c r="H707" s="92">
        <v>1</v>
      </c>
      <c r="I707" s="92">
        <v>0</v>
      </c>
      <c r="J707" s="92">
        <v>53863472</v>
      </c>
      <c r="K707" s="92" t="s">
        <v>1061</v>
      </c>
      <c r="L707" s="92">
        <v>0</v>
      </c>
      <c r="M707" s="92">
        <v>0</v>
      </c>
      <c r="N707" s="92">
        <v>0</v>
      </c>
      <c r="O707" s="92">
        <v>0</v>
      </c>
      <c r="P707" s="92">
        <v>0</v>
      </c>
      <c r="Q707" s="92">
        <v>0</v>
      </c>
      <c r="R707" s="92">
        <v>0</v>
      </c>
      <c r="S707" s="92">
        <v>0</v>
      </c>
      <c r="T707" s="92">
        <v>0</v>
      </c>
      <c r="U707" s="92">
        <v>0</v>
      </c>
      <c r="V707" s="92">
        <v>0</v>
      </c>
      <c r="W707" s="92">
        <v>0</v>
      </c>
      <c r="X707" s="92">
        <v>0</v>
      </c>
      <c r="Y707" s="92">
        <v>0</v>
      </c>
      <c r="Z707" s="92">
        <v>0</v>
      </c>
      <c r="AA707" s="92">
        <v>0</v>
      </c>
      <c r="AB707" s="92">
        <v>1516543</v>
      </c>
      <c r="AC707" s="92">
        <v>1851524</v>
      </c>
      <c r="AD707" s="92">
        <v>2003599</v>
      </c>
      <c r="AE707" s="92">
        <v>0</v>
      </c>
      <c r="AF707" s="92">
        <v>0</v>
      </c>
      <c r="AG707" s="92">
        <v>0</v>
      </c>
    </row>
    <row r="708" spans="1:35" x14ac:dyDescent="0.25">
      <c r="A708" t="str">
        <f t="shared" si="14"/>
        <v>33-15-4</v>
      </c>
      <c r="B708">
        <v>33</v>
      </c>
      <c r="C708" s="92" t="s">
        <v>1046</v>
      </c>
      <c r="D708" s="92">
        <v>15</v>
      </c>
      <c r="E708" s="92" t="s">
        <v>152</v>
      </c>
      <c r="F708" s="92">
        <v>4</v>
      </c>
      <c r="G708" s="92" t="s">
        <v>1242</v>
      </c>
      <c r="H708" s="92"/>
      <c r="I708" s="92">
        <v>733795</v>
      </c>
      <c r="J708" s="92">
        <v>53863472</v>
      </c>
      <c r="K708" s="92" t="s">
        <v>1061</v>
      </c>
      <c r="L708" s="92">
        <v>882</v>
      </c>
      <c r="M708" s="92">
        <v>5113</v>
      </c>
      <c r="N708" s="92">
        <v>1967</v>
      </c>
      <c r="O708" s="92">
        <v>1967</v>
      </c>
      <c r="P708" s="92">
        <v>0</v>
      </c>
      <c r="Q708" s="92">
        <v>0</v>
      </c>
      <c r="R708" s="92">
        <v>0</v>
      </c>
      <c r="S708" s="92">
        <v>0</v>
      </c>
      <c r="T708" s="92">
        <v>0</v>
      </c>
      <c r="U708" s="92">
        <v>0</v>
      </c>
      <c r="V708" s="92">
        <v>0</v>
      </c>
      <c r="W708" s="92">
        <v>0</v>
      </c>
      <c r="X708" s="92">
        <v>0</v>
      </c>
      <c r="Y708" s="92">
        <v>0</v>
      </c>
      <c r="Z708" s="92">
        <v>0</v>
      </c>
      <c r="AA708" s="92">
        <v>0</v>
      </c>
      <c r="AB708" s="92">
        <v>756437</v>
      </c>
      <c r="AC708" s="92">
        <v>793414</v>
      </c>
      <c r="AD708" s="92">
        <v>835444</v>
      </c>
      <c r="AE708" s="92">
        <v>0</v>
      </c>
      <c r="AF708" s="92">
        <v>0</v>
      </c>
      <c r="AG708" s="92">
        <v>0</v>
      </c>
    </row>
    <row r="709" spans="1:35" x14ac:dyDescent="0.25">
      <c r="A709" t="str">
        <f t="shared" si="14"/>
        <v>33-4-132</v>
      </c>
      <c r="B709">
        <v>33</v>
      </c>
      <c r="C709" s="92" t="s">
        <v>1046</v>
      </c>
      <c r="D709" s="92">
        <v>4</v>
      </c>
      <c r="E709" s="92" t="s">
        <v>66</v>
      </c>
      <c r="F709" s="92">
        <v>132</v>
      </c>
      <c r="G709" s="92" t="s">
        <v>938</v>
      </c>
      <c r="H709" s="92"/>
      <c r="I709" s="92">
        <v>0</v>
      </c>
      <c r="J709" s="92">
        <v>37654466</v>
      </c>
      <c r="K709" s="92" t="s">
        <v>1061</v>
      </c>
      <c r="L709" s="92">
        <v>12848</v>
      </c>
      <c r="M709" s="92">
        <v>76973</v>
      </c>
      <c r="N709" s="92">
        <v>31613</v>
      </c>
      <c r="O709" s="92">
        <v>31613</v>
      </c>
      <c r="P709" s="92">
        <v>0</v>
      </c>
      <c r="Q709" s="92">
        <v>0</v>
      </c>
      <c r="R709" s="92">
        <v>0</v>
      </c>
      <c r="S709" s="92">
        <v>0</v>
      </c>
      <c r="T709" s="92">
        <v>0</v>
      </c>
      <c r="U709" s="92">
        <v>0</v>
      </c>
      <c r="V709" s="92">
        <v>0</v>
      </c>
      <c r="W709" s="92">
        <v>0</v>
      </c>
      <c r="X709" s="92">
        <v>0</v>
      </c>
      <c r="Y709" s="92">
        <v>0</v>
      </c>
      <c r="Z709" s="92">
        <v>0</v>
      </c>
      <c r="AA709" s="92">
        <v>0</v>
      </c>
      <c r="AB709" s="92">
        <v>256556</v>
      </c>
      <c r="AC709" s="92">
        <v>268324</v>
      </c>
      <c r="AD709" s="92">
        <v>280858</v>
      </c>
      <c r="AE709" s="92">
        <v>0</v>
      </c>
      <c r="AF709" s="92">
        <v>0</v>
      </c>
      <c r="AG709" s="92">
        <v>0</v>
      </c>
    </row>
    <row r="710" spans="1:35" x14ac:dyDescent="0.25">
      <c r="A710" t="str">
        <f t="shared" si="14"/>
        <v>21-7-86</v>
      </c>
      <c r="B710">
        <v>21</v>
      </c>
      <c r="C710" s="92" t="s">
        <v>1034</v>
      </c>
      <c r="D710" s="92">
        <v>7</v>
      </c>
      <c r="E710" s="92" t="s">
        <v>586</v>
      </c>
      <c r="F710" s="92">
        <v>86</v>
      </c>
      <c r="G710" s="92" t="s">
        <v>323</v>
      </c>
      <c r="H710" s="92"/>
      <c r="I710" s="92">
        <v>115</v>
      </c>
      <c r="J710" s="92">
        <v>1016003</v>
      </c>
      <c r="K710" s="92" t="s">
        <v>1061</v>
      </c>
      <c r="L710" s="92">
        <v>93</v>
      </c>
      <c r="M710" s="92">
        <v>22</v>
      </c>
      <c r="N710" s="92">
        <v>2</v>
      </c>
      <c r="O710" s="92">
        <v>2</v>
      </c>
      <c r="P710" s="92">
        <v>0</v>
      </c>
      <c r="Q710" s="92">
        <v>0</v>
      </c>
      <c r="R710" s="92">
        <v>0</v>
      </c>
      <c r="S710" s="92">
        <v>0</v>
      </c>
      <c r="T710" s="92">
        <v>0</v>
      </c>
      <c r="U710" s="92">
        <v>0</v>
      </c>
      <c r="V710" s="92">
        <v>0</v>
      </c>
      <c r="W710" s="92">
        <v>0</v>
      </c>
      <c r="X710" s="92">
        <v>0</v>
      </c>
      <c r="Y710" s="92">
        <v>0</v>
      </c>
      <c r="Z710" s="92">
        <v>0</v>
      </c>
      <c r="AA710" s="92">
        <v>0</v>
      </c>
      <c r="AB710" s="92">
        <v>11834</v>
      </c>
      <c r="AC710" s="92">
        <v>12622</v>
      </c>
      <c r="AD710" s="92">
        <v>13416</v>
      </c>
      <c r="AE710" s="92">
        <v>0</v>
      </c>
      <c r="AF710" s="92">
        <v>0</v>
      </c>
      <c r="AG710" s="92">
        <v>0</v>
      </c>
    </row>
    <row r="711" spans="1:35" x14ac:dyDescent="0.25">
      <c r="A711" t="str">
        <f t="shared" si="14"/>
        <v>3-7-87</v>
      </c>
      <c r="B711">
        <v>3</v>
      </c>
      <c r="C711" s="92" t="s">
        <v>1018</v>
      </c>
      <c r="D711" s="92">
        <v>7</v>
      </c>
      <c r="E711" s="92" t="s">
        <v>586</v>
      </c>
      <c r="F711" s="92">
        <v>87</v>
      </c>
      <c r="G711" s="92" t="s">
        <v>109</v>
      </c>
      <c r="H711" s="92"/>
      <c r="I711" s="92">
        <v>4993</v>
      </c>
      <c r="J711" s="92">
        <v>101599456</v>
      </c>
      <c r="K711" s="92" t="s">
        <v>1061</v>
      </c>
      <c r="L711" s="92">
        <v>915</v>
      </c>
      <c r="M711" s="92">
        <v>230</v>
      </c>
      <c r="N711" s="92">
        <v>131</v>
      </c>
      <c r="O711" s="92">
        <v>131</v>
      </c>
      <c r="P711" s="92">
        <v>0</v>
      </c>
      <c r="Q711" s="92">
        <v>0</v>
      </c>
      <c r="R711" s="92">
        <v>0</v>
      </c>
      <c r="S711" s="92">
        <v>0</v>
      </c>
      <c r="T711" s="92">
        <v>0</v>
      </c>
      <c r="U711" s="92">
        <v>0</v>
      </c>
      <c r="V711" s="92">
        <v>0</v>
      </c>
      <c r="W711" s="92">
        <v>0</v>
      </c>
      <c r="X711" s="92">
        <v>0</v>
      </c>
      <c r="Y711" s="92">
        <v>0</v>
      </c>
      <c r="Z711" s="92">
        <v>0</v>
      </c>
      <c r="AA711" s="92">
        <v>0</v>
      </c>
      <c r="AB711" s="92">
        <v>26129</v>
      </c>
      <c r="AC711" s="92">
        <v>27238</v>
      </c>
      <c r="AD711" s="92">
        <v>28182</v>
      </c>
      <c r="AE711" s="92">
        <v>0</v>
      </c>
      <c r="AF711" s="92">
        <v>0</v>
      </c>
      <c r="AG711" s="92">
        <v>0</v>
      </c>
    </row>
    <row r="712" spans="1:35" x14ac:dyDescent="0.25">
      <c r="A712" t="str">
        <f t="shared" si="14"/>
        <v>3-4-10</v>
      </c>
      <c r="B712">
        <v>3</v>
      </c>
      <c r="C712" s="92" t="s">
        <v>1018</v>
      </c>
      <c r="D712" s="92">
        <v>4</v>
      </c>
      <c r="E712" s="92" t="s">
        <v>66</v>
      </c>
      <c r="F712" s="92">
        <v>10</v>
      </c>
      <c r="G712" s="92" t="s">
        <v>638</v>
      </c>
      <c r="H712" s="92"/>
      <c r="I712" s="92">
        <v>0</v>
      </c>
      <c r="J712" s="92">
        <v>401032677</v>
      </c>
      <c r="K712" s="92">
        <v>1</v>
      </c>
      <c r="L712" s="92">
        <v>12094</v>
      </c>
      <c r="M712" s="92">
        <v>9579</v>
      </c>
      <c r="N712" s="92">
        <v>6137</v>
      </c>
      <c r="O712" s="92">
        <v>6137</v>
      </c>
      <c r="P712" s="92">
        <v>0</v>
      </c>
      <c r="Q712" s="92">
        <v>0</v>
      </c>
      <c r="R712" s="92">
        <v>0</v>
      </c>
      <c r="S712" s="92">
        <v>0</v>
      </c>
      <c r="T712" s="92">
        <v>0</v>
      </c>
      <c r="U712" s="92">
        <v>0</v>
      </c>
      <c r="V712" s="92">
        <v>0</v>
      </c>
      <c r="W712" s="92">
        <v>0</v>
      </c>
      <c r="X712" s="92">
        <v>0</v>
      </c>
      <c r="Y712" s="92">
        <v>0</v>
      </c>
      <c r="Z712" s="92">
        <v>0</v>
      </c>
      <c r="AA712" s="92">
        <v>0</v>
      </c>
      <c r="AB712" s="92">
        <v>34000</v>
      </c>
      <c r="AC712" s="92">
        <v>34000</v>
      </c>
      <c r="AD712" s="92">
        <v>35452</v>
      </c>
      <c r="AE712" s="92">
        <v>0</v>
      </c>
      <c r="AF712" s="92">
        <v>0</v>
      </c>
      <c r="AG712" s="92">
        <v>0</v>
      </c>
    </row>
    <row r="713" spans="1:35" x14ac:dyDescent="0.25">
      <c r="A713" t="str">
        <f t="shared" si="14"/>
        <v>15-4-10</v>
      </c>
      <c r="B713">
        <v>15</v>
      </c>
      <c r="C713" s="92" t="s">
        <v>1028</v>
      </c>
      <c r="D713" s="92">
        <v>4</v>
      </c>
      <c r="E713" s="92" t="s">
        <v>66</v>
      </c>
      <c r="F713" s="92">
        <v>10</v>
      </c>
      <c r="G713" s="92" t="s">
        <v>638</v>
      </c>
      <c r="H713" s="92"/>
      <c r="I713" s="92">
        <v>0</v>
      </c>
      <c r="J713" s="92">
        <v>0</v>
      </c>
      <c r="K713" s="92">
        <v>1</v>
      </c>
      <c r="L713" s="92">
        <v>12094</v>
      </c>
      <c r="M713" s="92">
        <v>9579</v>
      </c>
      <c r="N713" s="92">
        <v>6137</v>
      </c>
      <c r="O713" s="92">
        <v>6137</v>
      </c>
      <c r="P713" s="92">
        <v>0</v>
      </c>
      <c r="Q713" s="92">
        <v>0</v>
      </c>
      <c r="R713" s="92">
        <v>0</v>
      </c>
      <c r="S713" s="92">
        <v>0</v>
      </c>
      <c r="T713" s="92">
        <v>0</v>
      </c>
      <c r="U713" s="92">
        <v>0</v>
      </c>
      <c r="V713" s="92">
        <v>0</v>
      </c>
      <c r="W713" s="92">
        <v>0</v>
      </c>
      <c r="X713" s="92">
        <v>0</v>
      </c>
      <c r="Y713" s="92">
        <v>0</v>
      </c>
      <c r="Z713" s="92">
        <v>0</v>
      </c>
      <c r="AA713" s="92">
        <v>0</v>
      </c>
      <c r="AB713" s="92">
        <v>34000</v>
      </c>
      <c r="AC713" s="92">
        <v>34000</v>
      </c>
      <c r="AD713" s="92">
        <v>35452</v>
      </c>
      <c r="AE713" s="92">
        <v>0</v>
      </c>
      <c r="AF713" s="92">
        <v>0</v>
      </c>
      <c r="AG713" s="92">
        <v>0</v>
      </c>
    </row>
    <row r="714" spans="1:35" x14ac:dyDescent="0.25">
      <c r="A714" t="str">
        <f t="shared" si="14"/>
        <v>37-5-36</v>
      </c>
      <c r="B714">
        <v>37</v>
      </c>
      <c r="C714" s="92" t="s">
        <v>1049</v>
      </c>
      <c r="D714" s="92">
        <v>5</v>
      </c>
      <c r="E714" s="92" t="s">
        <v>200</v>
      </c>
      <c r="F714" s="92">
        <v>36</v>
      </c>
      <c r="G714" s="92" t="s">
        <v>1344</v>
      </c>
      <c r="H714" s="92"/>
      <c r="I714" s="92">
        <v>0</v>
      </c>
      <c r="J714" s="92">
        <v>46439072</v>
      </c>
      <c r="K714" s="92" t="s">
        <v>1061</v>
      </c>
      <c r="L714" s="92">
        <v>0</v>
      </c>
      <c r="M714" s="92">
        <v>0</v>
      </c>
      <c r="N714" s="92">
        <v>0</v>
      </c>
      <c r="O714" s="92">
        <v>0</v>
      </c>
      <c r="P714" s="92">
        <v>0</v>
      </c>
      <c r="Q714" s="92">
        <v>0</v>
      </c>
      <c r="R714" s="92">
        <v>0</v>
      </c>
      <c r="S714" s="92">
        <v>0</v>
      </c>
      <c r="T714" s="92">
        <v>0</v>
      </c>
      <c r="U714" s="92">
        <v>0</v>
      </c>
      <c r="V714" s="92">
        <v>0</v>
      </c>
      <c r="W714" s="92">
        <v>0</v>
      </c>
      <c r="X714" s="92">
        <v>0</v>
      </c>
      <c r="Y714" s="92">
        <v>0</v>
      </c>
      <c r="Z714" s="92">
        <v>0</v>
      </c>
      <c r="AA714" s="92">
        <v>0</v>
      </c>
      <c r="AB714" s="92">
        <v>0</v>
      </c>
      <c r="AC714" s="92">
        <v>0</v>
      </c>
      <c r="AD714" s="92">
        <v>278810</v>
      </c>
      <c r="AE714" s="92">
        <v>0</v>
      </c>
      <c r="AF714" s="92">
        <v>0</v>
      </c>
      <c r="AG714" s="92">
        <v>0</v>
      </c>
      <c r="AI714">
        <v>3.9999600000000001E-4</v>
      </c>
    </row>
    <row r="715" spans="1:35" x14ac:dyDescent="0.25">
      <c r="A715" t="str">
        <f t="shared" si="14"/>
        <v>14-9-49</v>
      </c>
      <c r="B715">
        <v>14</v>
      </c>
      <c r="C715" s="92" t="s">
        <v>1027</v>
      </c>
      <c r="D715" s="92">
        <v>9</v>
      </c>
      <c r="E715" s="92" t="s">
        <v>588</v>
      </c>
      <c r="F715" s="92">
        <v>49</v>
      </c>
      <c r="G715" s="92" t="s">
        <v>237</v>
      </c>
      <c r="H715" s="92"/>
      <c r="I715" s="92">
        <v>7</v>
      </c>
      <c r="J715" s="92">
        <v>0</v>
      </c>
      <c r="K715" s="92">
        <v>1</v>
      </c>
      <c r="L715" s="92">
        <v>16525</v>
      </c>
      <c r="M715" s="92">
        <v>714</v>
      </c>
      <c r="N715" s="92">
        <v>808</v>
      </c>
      <c r="O715" s="92">
        <v>808</v>
      </c>
      <c r="P715" s="92">
        <v>0</v>
      </c>
      <c r="Q715" s="92">
        <v>0</v>
      </c>
      <c r="R715" s="92">
        <v>0</v>
      </c>
      <c r="S715" s="92">
        <v>0</v>
      </c>
      <c r="T715" s="92">
        <v>0</v>
      </c>
      <c r="U715" s="92">
        <v>0</v>
      </c>
      <c r="V715" s="92">
        <v>0</v>
      </c>
      <c r="W715" s="92">
        <v>0</v>
      </c>
      <c r="X715" s="92">
        <v>0</v>
      </c>
      <c r="Y715" s="92">
        <v>0</v>
      </c>
      <c r="Z715" s="92">
        <v>0</v>
      </c>
      <c r="AA715" s="92">
        <v>0</v>
      </c>
      <c r="AB715" s="92">
        <v>557645</v>
      </c>
      <c r="AC715" s="92">
        <v>591145</v>
      </c>
      <c r="AD715" s="92">
        <v>622861</v>
      </c>
      <c r="AE715" s="92">
        <v>0</v>
      </c>
      <c r="AF715" s="92">
        <v>0</v>
      </c>
      <c r="AG715" s="92">
        <v>0</v>
      </c>
      <c r="AI715" s="250">
        <v>5.6499299999999996E-4</v>
      </c>
    </row>
    <row r="716" spans="1:35" x14ac:dyDescent="0.25">
      <c r="A716" t="str">
        <f t="shared" si="14"/>
        <v>37-9-49</v>
      </c>
      <c r="B716">
        <v>37</v>
      </c>
      <c r="C716" s="92" t="s">
        <v>1049</v>
      </c>
      <c r="D716" s="92">
        <v>9</v>
      </c>
      <c r="E716" s="92" t="s">
        <v>588</v>
      </c>
      <c r="F716" s="92">
        <v>49</v>
      </c>
      <c r="G716" s="92" t="s">
        <v>237</v>
      </c>
      <c r="H716" s="92"/>
      <c r="I716" s="92">
        <v>7</v>
      </c>
      <c r="J716" s="92">
        <v>0</v>
      </c>
      <c r="K716" s="92">
        <v>1</v>
      </c>
      <c r="L716" s="92">
        <v>16525</v>
      </c>
      <c r="M716" s="92">
        <v>714</v>
      </c>
      <c r="N716" s="92">
        <v>808</v>
      </c>
      <c r="O716" s="92">
        <v>808</v>
      </c>
      <c r="P716" s="92">
        <v>0</v>
      </c>
      <c r="Q716" s="92">
        <v>0</v>
      </c>
      <c r="R716" s="92">
        <v>0</v>
      </c>
      <c r="S716" s="92">
        <v>0</v>
      </c>
      <c r="T716" s="92">
        <v>0</v>
      </c>
      <c r="U716" s="92">
        <v>0</v>
      </c>
      <c r="V716" s="92">
        <v>0</v>
      </c>
      <c r="W716" s="92">
        <v>0</v>
      </c>
      <c r="X716" s="92">
        <v>0</v>
      </c>
      <c r="Y716" s="92">
        <v>0</v>
      </c>
      <c r="Z716" s="92">
        <v>0</v>
      </c>
      <c r="AA716" s="92">
        <v>0</v>
      </c>
      <c r="AB716" s="92">
        <v>557645</v>
      </c>
      <c r="AC716" s="92">
        <v>591145</v>
      </c>
      <c r="AD716" s="92">
        <v>622861</v>
      </c>
      <c r="AE716" s="92">
        <v>0</v>
      </c>
      <c r="AF716" s="92">
        <v>0</v>
      </c>
      <c r="AG716" s="92">
        <v>0</v>
      </c>
      <c r="AI716" s="250">
        <v>5.6499299999999996E-4</v>
      </c>
    </row>
    <row r="717" spans="1:35" x14ac:dyDescent="0.25">
      <c r="A717" t="str">
        <f t="shared" si="14"/>
        <v>14-4-144</v>
      </c>
      <c r="B717">
        <v>14</v>
      </c>
      <c r="C717" s="92" t="s">
        <v>1027</v>
      </c>
      <c r="D717" s="92">
        <v>4</v>
      </c>
      <c r="E717" s="92" t="s">
        <v>66</v>
      </c>
      <c r="F717" s="92">
        <v>144</v>
      </c>
      <c r="G717" s="92" t="s">
        <v>757</v>
      </c>
      <c r="H717" s="92"/>
      <c r="I717" s="92">
        <v>0</v>
      </c>
      <c r="J717" s="92">
        <v>2276186</v>
      </c>
      <c r="K717" s="92">
        <v>1</v>
      </c>
      <c r="L717" s="92">
        <v>23958</v>
      </c>
      <c r="M717" s="92">
        <v>7521</v>
      </c>
      <c r="N717" s="92">
        <v>2567</v>
      </c>
      <c r="O717" s="92">
        <v>2567</v>
      </c>
      <c r="P717" s="92">
        <v>0</v>
      </c>
      <c r="Q717" s="92">
        <v>0</v>
      </c>
      <c r="R717" s="92">
        <v>0</v>
      </c>
      <c r="S717" s="92">
        <v>0</v>
      </c>
      <c r="T717" s="92">
        <v>0</v>
      </c>
      <c r="U717" s="92">
        <v>0</v>
      </c>
      <c r="V717" s="92">
        <v>0</v>
      </c>
      <c r="W717" s="92">
        <v>0</v>
      </c>
      <c r="X717" s="92">
        <v>0</v>
      </c>
      <c r="Y717" s="92">
        <v>0</v>
      </c>
      <c r="Z717" s="92">
        <v>0</v>
      </c>
      <c r="AA717" s="92">
        <v>0</v>
      </c>
      <c r="AB717" s="92">
        <v>65789</v>
      </c>
      <c r="AC717" s="92">
        <v>70168</v>
      </c>
      <c r="AD717" s="92">
        <v>73637</v>
      </c>
      <c r="AE717" s="92">
        <v>0</v>
      </c>
      <c r="AF717" s="92">
        <v>0</v>
      </c>
      <c r="AG717" s="92">
        <v>0</v>
      </c>
    </row>
    <row r="718" spans="1:35" x14ac:dyDescent="0.25">
      <c r="A718" t="str">
        <f t="shared" si="14"/>
        <v>37-4-144</v>
      </c>
      <c r="B718">
        <v>37</v>
      </c>
      <c r="C718" s="92" t="s">
        <v>1049</v>
      </c>
      <c r="D718" s="92">
        <v>4</v>
      </c>
      <c r="E718" s="92" t="s">
        <v>66</v>
      </c>
      <c r="F718" s="92">
        <v>144</v>
      </c>
      <c r="G718" s="92" t="s">
        <v>757</v>
      </c>
      <c r="H718" s="92"/>
      <c r="I718" s="92">
        <v>0</v>
      </c>
      <c r="J718" s="92">
        <v>32819415</v>
      </c>
      <c r="K718" s="92">
        <v>1</v>
      </c>
      <c r="L718" s="92">
        <v>23958</v>
      </c>
      <c r="M718" s="92">
        <v>7521</v>
      </c>
      <c r="N718" s="92">
        <v>2567</v>
      </c>
      <c r="O718" s="92">
        <v>2567</v>
      </c>
      <c r="P718" s="92">
        <v>0</v>
      </c>
      <c r="Q718" s="92">
        <v>0</v>
      </c>
      <c r="R718" s="92">
        <v>0</v>
      </c>
      <c r="S718" s="92">
        <v>0</v>
      </c>
      <c r="T718" s="92">
        <v>0</v>
      </c>
      <c r="U718" s="92">
        <v>0</v>
      </c>
      <c r="V718" s="92">
        <v>0</v>
      </c>
      <c r="W718" s="92">
        <v>0</v>
      </c>
      <c r="X718" s="92">
        <v>0</v>
      </c>
      <c r="Y718" s="92">
        <v>0</v>
      </c>
      <c r="Z718" s="92">
        <v>0</v>
      </c>
      <c r="AA718" s="92">
        <v>0</v>
      </c>
      <c r="AB718" s="92">
        <v>65789</v>
      </c>
      <c r="AC718" s="92">
        <v>70168</v>
      </c>
      <c r="AD718" s="92">
        <v>73637</v>
      </c>
      <c r="AE718" s="92">
        <v>0</v>
      </c>
      <c r="AF718" s="92">
        <v>0</v>
      </c>
      <c r="AG718" s="92">
        <v>0</v>
      </c>
    </row>
    <row r="719" spans="1:35" x14ac:dyDescent="0.25">
      <c r="A719" t="str">
        <f t="shared" si="14"/>
        <v>37-7-88</v>
      </c>
      <c r="B719">
        <v>37</v>
      </c>
      <c r="C719" s="92" t="s">
        <v>1049</v>
      </c>
      <c r="D719" s="92">
        <v>7</v>
      </c>
      <c r="E719" s="92" t="s">
        <v>586</v>
      </c>
      <c r="F719" s="92">
        <v>88</v>
      </c>
      <c r="G719" s="92" t="s">
        <v>514</v>
      </c>
      <c r="H719" s="92"/>
      <c r="I719" s="92">
        <v>5847</v>
      </c>
      <c r="J719" s="92">
        <v>48236742</v>
      </c>
      <c r="K719" s="92" t="s">
        <v>1061</v>
      </c>
      <c r="L719" s="92">
        <v>1302</v>
      </c>
      <c r="M719" s="92">
        <v>614</v>
      </c>
      <c r="N719" s="92">
        <v>243</v>
      </c>
      <c r="O719" s="92">
        <v>243</v>
      </c>
      <c r="P719" s="92">
        <v>0</v>
      </c>
      <c r="Q719" s="92">
        <v>0</v>
      </c>
      <c r="R719" s="92">
        <v>0</v>
      </c>
      <c r="S719" s="92">
        <v>0</v>
      </c>
      <c r="T719" s="92">
        <v>0</v>
      </c>
      <c r="U719" s="92">
        <v>0</v>
      </c>
      <c r="V719" s="92">
        <v>0</v>
      </c>
      <c r="W719" s="92">
        <v>0</v>
      </c>
      <c r="X719" s="92">
        <v>0</v>
      </c>
      <c r="Y719" s="92">
        <v>0</v>
      </c>
      <c r="Z719" s="92">
        <v>0</v>
      </c>
      <c r="AA719" s="92">
        <v>0</v>
      </c>
      <c r="AB719" s="92">
        <v>102323</v>
      </c>
      <c r="AC719" s="92">
        <v>108969</v>
      </c>
      <c r="AD719" s="92">
        <v>113928</v>
      </c>
      <c r="AE719" s="92">
        <v>0</v>
      </c>
      <c r="AF719" s="92">
        <v>0</v>
      </c>
      <c r="AG719" s="92">
        <v>0</v>
      </c>
    </row>
    <row r="720" spans="1:35" x14ac:dyDescent="0.25">
      <c r="A720" t="str">
        <f t="shared" si="14"/>
        <v>43-7-84</v>
      </c>
      <c r="B720">
        <v>43</v>
      </c>
      <c r="C720" s="92" t="s">
        <v>1053</v>
      </c>
      <c r="D720" s="92">
        <v>7</v>
      </c>
      <c r="E720" s="92" t="s">
        <v>586</v>
      </c>
      <c r="F720" s="92">
        <v>84</v>
      </c>
      <c r="G720" s="92" t="s">
        <v>568</v>
      </c>
      <c r="H720" s="92"/>
      <c r="I720" s="92">
        <v>2008</v>
      </c>
      <c r="J720" s="92">
        <v>19576917</v>
      </c>
      <c r="K720" s="92" t="s">
        <v>1061</v>
      </c>
      <c r="L720" s="92">
        <v>3</v>
      </c>
      <c r="M720" s="92">
        <v>105</v>
      </c>
      <c r="N720" s="92">
        <v>0</v>
      </c>
      <c r="O720" s="92">
        <v>0</v>
      </c>
      <c r="P720" s="92">
        <v>0</v>
      </c>
      <c r="Q720" s="92">
        <v>0</v>
      </c>
      <c r="R720" s="92">
        <v>0</v>
      </c>
      <c r="S720" s="92">
        <v>0</v>
      </c>
      <c r="T720" s="92">
        <v>0</v>
      </c>
      <c r="U720" s="92">
        <v>0</v>
      </c>
      <c r="V720" s="92">
        <v>0</v>
      </c>
      <c r="W720" s="92">
        <v>0</v>
      </c>
      <c r="X720" s="92">
        <v>0</v>
      </c>
      <c r="Y720" s="92">
        <v>0</v>
      </c>
      <c r="Z720" s="92">
        <v>0</v>
      </c>
      <c r="AA720" s="92">
        <v>0</v>
      </c>
      <c r="AB720" s="92">
        <v>24892</v>
      </c>
      <c r="AC720" s="92">
        <v>24892</v>
      </c>
      <c r="AD720" s="92">
        <v>24892</v>
      </c>
      <c r="AE720" s="92">
        <v>0</v>
      </c>
      <c r="AF720" s="92">
        <v>0</v>
      </c>
      <c r="AG720" s="92">
        <v>0</v>
      </c>
    </row>
    <row r="721" spans="1:35" x14ac:dyDescent="0.25">
      <c r="A721" t="s">
        <v>1319</v>
      </c>
      <c r="B721">
        <v>2</v>
      </c>
      <c r="C721" s="92" t="s">
        <v>1017</v>
      </c>
      <c r="D721" s="92">
        <v>9</v>
      </c>
      <c r="E721" s="92" t="s">
        <v>588</v>
      </c>
      <c r="F721" s="92">
        <v>135</v>
      </c>
      <c r="G721" s="92" t="s">
        <v>1002</v>
      </c>
      <c r="H721" s="92"/>
      <c r="I721" s="92">
        <v>0</v>
      </c>
      <c r="J721" s="92">
        <v>0</v>
      </c>
      <c r="K721" s="92">
        <v>1</v>
      </c>
      <c r="L721" s="92">
        <v>0</v>
      </c>
      <c r="M721" s="92">
        <v>0</v>
      </c>
      <c r="N721" s="92">
        <v>0</v>
      </c>
      <c r="O721" s="92">
        <v>0</v>
      </c>
      <c r="P721" s="92">
        <v>0</v>
      </c>
      <c r="Q721" s="92">
        <v>0</v>
      </c>
      <c r="R721" s="92">
        <v>0</v>
      </c>
      <c r="S721" s="92">
        <v>0</v>
      </c>
      <c r="T721" s="92">
        <v>0</v>
      </c>
      <c r="U721" s="92">
        <v>0</v>
      </c>
      <c r="V721" s="92">
        <v>0</v>
      </c>
      <c r="W721" s="92">
        <v>0</v>
      </c>
      <c r="X721" s="92">
        <v>0</v>
      </c>
      <c r="Y721" s="92">
        <v>0</v>
      </c>
      <c r="Z721" s="92">
        <v>0</v>
      </c>
      <c r="AA721" s="92">
        <v>0</v>
      </c>
      <c r="AB721" s="92">
        <v>2068417</v>
      </c>
      <c r="AC721" s="92">
        <v>2185288</v>
      </c>
      <c r="AD721" s="92">
        <v>2329187</v>
      </c>
      <c r="AE721" s="92">
        <v>0</v>
      </c>
      <c r="AF721" s="92">
        <v>0</v>
      </c>
      <c r="AG721" s="92">
        <v>0</v>
      </c>
      <c r="AI721" s="250">
        <v>4.7911299999999998E-4</v>
      </c>
    </row>
    <row r="722" spans="1:35" x14ac:dyDescent="0.25">
      <c r="A722" t="str">
        <f t="shared" si="14"/>
        <v>43-9-135</v>
      </c>
      <c r="B722">
        <v>43</v>
      </c>
      <c r="C722" s="92" t="s">
        <v>1053</v>
      </c>
      <c r="D722" s="92">
        <v>9</v>
      </c>
      <c r="E722" s="92" t="s">
        <v>588</v>
      </c>
      <c r="F722" s="92">
        <v>135</v>
      </c>
      <c r="G722" s="92" t="s">
        <v>1002</v>
      </c>
      <c r="H722" s="92"/>
      <c r="I722" s="92">
        <v>0</v>
      </c>
      <c r="J722" s="92">
        <v>0</v>
      </c>
      <c r="K722" s="92">
        <v>1</v>
      </c>
      <c r="L722" s="92">
        <v>0</v>
      </c>
      <c r="M722" s="92">
        <v>0</v>
      </c>
      <c r="N722" s="92">
        <v>0</v>
      </c>
      <c r="O722" s="92">
        <v>0</v>
      </c>
      <c r="P722" s="92">
        <v>0</v>
      </c>
      <c r="Q722" s="92">
        <v>0</v>
      </c>
      <c r="R722" s="92">
        <v>0</v>
      </c>
      <c r="S722" s="92">
        <v>0</v>
      </c>
      <c r="T722" s="92">
        <v>0</v>
      </c>
      <c r="U722" s="92">
        <v>0</v>
      </c>
      <c r="V722" s="92">
        <v>0</v>
      </c>
      <c r="W722" s="92">
        <v>0</v>
      </c>
      <c r="X722" s="92">
        <v>0</v>
      </c>
      <c r="Y722" s="92">
        <v>0</v>
      </c>
      <c r="Z722" s="92">
        <v>0</v>
      </c>
      <c r="AA722" s="92">
        <v>0</v>
      </c>
      <c r="AB722" s="92">
        <v>2068417</v>
      </c>
      <c r="AC722" s="92">
        <v>2185288</v>
      </c>
      <c r="AD722" s="92">
        <v>2329187</v>
      </c>
      <c r="AE722" s="92">
        <v>0</v>
      </c>
      <c r="AF722" s="92">
        <v>0</v>
      </c>
      <c r="AG722" s="92">
        <v>0</v>
      </c>
      <c r="AI722" s="250">
        <v>4.7911299999999998E-4</v>
      </c>
    </row>
    <row r="723" spans="1:35" x14ac:dyDescent="0.25">
      <c r="A723" t="str">
        <f t="shared" si="14"/>
        <v>43-12-15</v>
      </c>
      <c r="B723">
        <v>43</v>
      </c>
      <c r="C723" s="92" t="s">
        <v>1053</v>
      </c>
      <c r="D723" s="92">
        <v>12</v>
      </c>
      <c r="E723" s="92" t="s">
        <v>71</v>
      </c>
      <c r="F723" s="92">
        <v>15</v>
      </c>
      <c r="G723" s="92" t="s">
        <v>1158</v>
      </c>
      <c r="H723" s="92"/>
      <c r="I723" s="92">
        <v>78008</v>
      </c>
      <c r="J723" s="92">
        <v>36661732</v>
      </c>
      <c r="K723" s="92" t="s">
        <v>1061</v>
      </c>
      <c r="L723" s="92">
        <v>1237</v>
      </c>
      <c r="M723" s="92">
        <v>4651</v>
      </c>
      <c r="N723" s="92">
        <v>545</v>
      </c>
      <c r="O723" s="92">
        <v>545</v>
      </c>
      <c r="P723" s="92">
        <v>0</v>
      </c>
      <c r="Q723" s="92">
        <v>0</v>
      </c>
      <c r="R723" s="92">
        <v>0</v>
      </c>
      <c r="S723" s="92">
        <v>0</v>
      </c>
      <c r="T723" s="92">
        <v>0</v>
      </c>
      <c r="U723" s="92">
        <v>0</v>
      </c>
      <c r="V723" s="92">
        <v>0</v>
      </c>
      <c r="W723" s="92">
        <v>0</v>
      </c>
      <c r="X723" s="92">
        <v>0</v>
      </c>
      <c r="Y723" s="92">
        <v>0</v>
      </c>
      <c r="Z723" s="92">
        <v>0</v>
      </c>
      <c r="AA723" s="92">
        <v>0</v>
      </c>
      <c r="AB723" s="92">
        <v>1300000</v>
      </c>
      <c r="AC723" s="92">
        <v>1478510</v>
      </c>
      <c r="AD723" s="92">
        <v>1567638</v>
      </c>
      <c r="AE723" s="92">
        <v>0</v>
      </c>
      <c r="AF723" s="92">
        <v>42835</v>
      </c>
      <c r="AG723" s="92">
        <v>45406</v>
      </c>
    </row>
    <row r="724" spans="1:35" x14ac:dyDescent="0.25">
      <c r="A724" t="str">
        <f t="shared" si="14"/>
        <v>2-4-177</v>
      </c>
      <c r="B724">
        <v>2</v>
      </c>
      <c r="C724" s="92" t="s">
        <v>1017</v>
      </c>
      <c r="D724" s="92">
        <v>4</v>
      </c>
      <c r="E724" s="92" t="s">
        <v>66</v>
      </c>
      <c r="F724" s="92">
        <v>177</v>
      </c>
      <c r="G724" s="92" t="s">
        <v>626</v>
      </c>
      <c r="H724" s="92"/>
      <c r="I724" s="92">
        <v>0</v>
      </c>
      <c r="J724" s="92">
        <v>628400</v>
      </c>
      <c r="K724" s="92">
        <v>1</v>
      </c>
      <c r="L724" s="92">
        <v>0</v>
      </c>
      <c r="M724" s="92">
        <v>31457</v>
      </c>
      <c r="N724" s="92">
        <v>3351</v>
      </c>
      <c r="O724" s="92">
        <v>3351</v>
      </c>
      <c r="P724" s="92">
        <v>0</v>
      </c>
      <c r="Q724" s="92">
        <v>0</v>
      </c>
      <c r="R724" s="92">
        <v>0</v>
      </c>
      <c r="S724" s="92">
        <v>0</v>
      </c>
      <c r="T724" s="92">
        <v>0</v>
      </c>
      <c r="U724" s="92">
        <v>0</v>
      </c>
      <c r="V724" s="92">
        <v>0</v>
      </c>
      <c r="W724" s="92">
        <v>0</v>
      </c>
      <c r="X724" s="92">
        <v>0</v>
      </c>
      <c r="Y724" s="92">
        <v>0</v>
      </c>
      <c r="Z724" s="92">
        <v>0</v>
      </c>
      <c r="AA724" s="92">
        <v>0</v>
      </c>
      <c r="AB724" s="92">
        <v>65920</v>
      </c>
      <c r="AC724" s="92">
        <v>69353</v>
      </c>
      <c r="AD724" s="92">
        <v>72884</v>
      </c>
      <c r="AE724" s="92">
        <v>0</v>
      </c>
      <c r="AF724" s="92">
        <v>0</v>
      </c>
      <c r="AG724" s="92">
        <v>0</v>
      </c>
    </row>
    <row r="725" spans="1:35" x14ac:dyDescent="0.25">
      <c r="A725" t="str">
        <f t="shared" si="14"/>
        <v>43-4-177</v>
      </c>
      <c r="B725">
        <v>43</v>
      </c>
      <c r="C725" s="92" t="s">
        <v>1053</v>
      </c>
      <c r="D725" s="92">
        <v>4</v>
      </c>
      <c r="E725" s="92" t="s">
        <v>66</v>
      </c>
      <c r="F725" s="92">
        <v>177</v>
      </c>
      <c r="G725" s="92" t="s">
        <v>626</v>
      </c>
      <c r="H725" s="92"/>
      <c r="I725" s="92">
        <v>0</v>
      </c>
      <c r="J725" s="92">
        <v>42020784</v>
      </c>
      <c r="K725" s="92">
        <v>1</v>
      </c>
      <c r="L725" s="92">
        <v>0</v>
      </c>
      <c r="M725" s="92">
        <v>31457</v>
      </c>
      <c r="N725" s="92">
        <v>3351</v>
      </c>
      <c r="O725" s="92">
        <v>3351</v>
      </c>
      <c r="P725" s="92">
        <v>0</v>
      </c>
      <c r="Q725" s="92">
        <v>0</v>
      </c>
      <c r="R725" s="92">
        <v>0</v>
      </c>
      <c r="S725" s="92">
        <v>0</v>
      </c>
      <c r="T725" s="92">
        <v>0</v>
      </c>
      <c r="U725" s="92">
        <v>0</v>
      </c>
      <c r="V725" s="92">
        <v>0</v>
      </c>
      <c r="W725" s="92">
        <v>0</v>
      </c>
      <c r="X725" s="92">
        <v>0</v>
      </c>
      <c r="Y725" s="92">
        <v>0</v>
      </c>
      <c r="Z725" s="92">
        <v>0</v>
      </c>
      <c r="AA725" s="92">
        <v>0</v>
      </c>
      <c r="AB725" s="92">
        <v>65920</v>
      </c>
      <c r="AC725" s="92">
        <v>69353</v>
      </c>
      <c r="AD725" s="92">
        <v>72884</v>
      </c>
      <c r="AE725" s="92">
        <v>0</v>
      </c>
      <c r="AF725" s="92">
        <v>0</v>
      </c>
      <c r="AG725" s="92">
        <v>0</v>
      </c>
    </row>
    <row r="726" spans="1:35" x14ac:dyDescent="0.25">
      <c r="A726" t="str">
        <f t="shared" si="14"/>
        <v>3-7-85</v>
      </c>
      <c r="B726">
        <v>3</v>
      </c>
      <c r="C726" s="92" t="s">
        <v>1018</v>
      </c>
      <c r="D726" s="92">
        <v>7</v>
      </c>
      <c r="E726" s="92" t="s">
        <v>586</v>
      </c>
      <c r="F726" s="92">
        <v>85</v>
      </c>
      <c r="G726" s="92" t="s">
        <v>110</v>
      </c>
      <c r="H726" s="92"/>
      <c r="I726" s="92">
        <v>373</v>
      </c>
      <c r="J726" s="92">
        <v>83543084</v>
      </c>
      <c r="K726" s="92" t="s">
        <v>1061</v>
      </c>
      <c r="L726" s="92">
        <v>130</v>
      </c>
      <c r="M726" s="92">
        <v>243</v>
      </c>
      <c r="N726" s="92">
        <v>160</v>
      </c>
      <c r="O726" s="92">
        <v>160</v>
      </c>
      <c r="P726" s="92">
        <v>0</v>
      </c>
      <c r="Q726" s="92">
        <v>0</v>
      </c>
      <c r="R726" s="92">
        <v>0</v>
      </c>
      <c r="S726" s="92">
        <v>0</v>
      </c>
      <c r="T726" s="92">
        <v>0</v>
      </c>
      <c r="U726" s="92">
        <v>0</v>
      </c>
      <c r="V726" s="92">
        <v>0</v>
      </c>
      <c r="W726" s="92">
        <v>0</v>
      </c>
      <c r="X726" s="92">
        <v>0</v>
      </c>
      <c r="Y726" s="92">
        <v>0</v>
      </c>
      <c r="Z726" s="92">
        <v>0</v>
      </c>
      <c r="AA726" s="92">
        <v>0</v>
      </c>
      <c r="AB726" s="92">
        <v>30004</v>
      </c>
      <c r="AC726" s="92">
        <v>30004</v>
      </c>
      <c r="AD726" s="92">
        <v>30004</v>
      </c>
      <c r="AE726" s="92">
        <v>0</v>
      </c>
      <c r="AF726" s="92">
        <v>0</v>
      </c>
      <c r="AG726" s="92">
        <v>0</v>
      </c>
    </row>
    <row r="727" spans="1:35" x14ac:dyDescent="0.25">
      <c r="A727" t="str">
        <f t="shared" si="14"/>
        <v>3-9-126</v>
      </c>
      <c r="B727">
        <v>3</v>
      </c>
      <c r="C727" s="92" t="s">
        <v>1018</v>
      </c>
      <c r="D727" s="92">
        <v>9</v>
      </c>
      <c r="E727" s="92" t="s">
        <v>588</v>
      </c>
      <c r="F727" s="92">
        <v>126</v>
      </c>
      <c r="G727" s="92" t="s">
        <v>646</v>
      </c>
      <c r="H727" s="92"/>
      <c r="I727" s="92">
        <v>11</v>
      </c>
      <c r="J727" s="92">
        <v>628000</v>
      </c>
      <c r="K727" s="92" t="s">
        <v>1061</v>
      </c>
      <c r="L727" s="92">
        <v>0</v>
      </c>
      <c r="M727" s="92">
        <v>0</v>
      </c>
      <c r="N727" s="92">
        <v>0</v>
      </c>
      <c r="O727" s="92">
        <v>0</v>
      </c>
      <c r="P727" s="92">
        <v>0</v>
      </c>
      <c r="Q727" s="92">
        <v>0</v>
      </c>
      <c r="R727" s="92">
        <v>0</v>
      </c>
      <c r="S727" s="92">
        <v>0</v>
      </c>
      <c r="T727" s="92">
        <v>0</v>
      </c>
      <c r="U727" s="92">
        <v>0</v>
      </c>
      <c r="V727" s="92">
        <v>0</v>
      </c>
      <c r="W727" s="92">
        <v>0</v>
      </c>
      <c r="X727" s="92">
        <v>0</v>
      </c>
      <c r="Y727" s="92">
        <v>0</v>
      </c>
      <c r="Z727" s="92">
        <v>0</v>
      </c>
      <c r="AA727" s="92">
        <v>0</v>
      </c>
      <c r="AB727" s="92">
        <v>18780</v>
      </c>
      <c r="AC727" s="92">
        <v>20024</v>
      </c>
      <c r="AD727" s="92">
        <v>20906</v>
      </c>
      <c r="AE727" s="92">
        <v>0</v>
      </c>
      <c r="AF727" s="92">
        <v>0</v>
      </c>
      <c r="AG727" s="92">
        <v>0</v>
      </c>
      <c r="AI727" s="250">
        <v>2.41423E-4</v>
      </c>
    </row>
    <row r="728" spans="1:35" x14ac:dyDescent="0.25">
      <c r="A728" t="str">
        <f t="shared" si="14"/>
        <v>2-9-51</v>
      </c>
      <c r="B728">
        <v>2</v>
      </c>
      <c r="C728" s="92" t="s">
        <v>1017</v>
      </c>
      <c r="D728" s="92">
        <v>9</v>
      </c>
      <c r="E728" s="92" t="s">
        <v>588</v>
      </c>
      <c r="F728" s="92">
        <v>51</v>
      </c>
      <c r="G728" s="92" t="s">
        <v>635</v>
      </c>
      <c r="H728" s="92"/>
      <c r="I728" s="92">
        <v>0</v>
      </c>
      <c r="J728" s="92">
        <v>0</v>
      </c>
      <c r="K728" s="92" t="s">
        <v>1061</v>
      </c>
      <c r="L728" s="92">
        <v>0</v>
      </c>
      <c r="M728" s="92">
        <v>0</v>
      </c>
      <c r="N728" s="92">
        <v>0</v>
      </c>
      <c r="O728" s="92">
        <v>0</v>
      </c>
      <c r="P728" s="92">
        <v>0</v>
      </c>
      <c r="Q728" s="92">
        <v>0</v>
      </c>
      <c r="R728" s="92">
        <v>0</v>
      </c>
      <c r="S728" s="92">
        <v>0</v>
      </c>
      <c r="T728" s="92">
        <v>0</v>
      </c>
      <c r="U728" s="92">
        <v>0</v>
      </c>
      <c r="V728" s="92">
        <v>0</v>
      </c>
      <c r="W728" s="92">
        <v>0</v>
      </c>
      <c r="X728" s="92">
        <v>0</v>
      </c>
      <c r="Y728" s="92">
        <v>0</v>
      </c>
      <c r="Z728" s="92">
        <v>0</v>
      </c>
      <c r="AA728" s="92">
        <v>0</v>
      </c>
      <c r="AB728" s="92">
        <v>227417</v>
      </c>
      <c r="AC728" s="92">
        <v>242595</v>
      </c>
      <c r="AD728" s="92">
        <v>260505</v>
      </c>
      <c r="AE728" s="92">
        <v>0</v>
      </c>
      <c r="AF728" s="92">
        <v>0</v>
      </c>
      <c r="AG728" s="92">
        <v>0</v>
      </c>
      <c r="AI728" s="250">
        <v>5.6763500000000004E-4</v>
      </c>
    </row>
    <row r="729" spans="1:35" x14ac:dyDescent="0.25">
      <c r="A729" t="str">
        <f t="shared" ref="A729:A792" si="15">B729&amp;"-"&amp;D729&amp;"-"&amp;F729</f>
        <v>2-5-30</v>
      </c>
      <c r="B729">
        <v>2</v>
      </c>
      <c r="C729" s="92" t="s">
        <v>1017</v>
      </c>
      <c r="D729" s="92">
        <v>5</v>
      </c>
      <c r="E729" s="92" t="s">
        <v>200</v>
      </c>
      <c r="F729" s="92">
        <v>30</v>
      </c>
      <c r="G729" s="92" t="s">
        <v>630</v>
      </c>
      <c r="H729" s="92"/>
      <c r="I729" s="92">
        <v>0</v>
      </c>
      <c r="J729" s="92">
        <v>29988018</v>
      </c>
      <c r="K729" s="92" t="s">
        <v>1061</v>
      </c>
      <c r="L729" s="92">
        <v>0</v>
      </c>
      <c r="M729" s="92">
        <v>0</v>
      </c>
      <c r="N729" s="92">
        <v>174</v>
      </c>
      <c r="O729" s="92">
        <v>174</v>
      </c>
      <c r="P729" s="92">
        <v>0</v>
      </c>
      <c r="Q729" s="92">
        <v>0</v>
      </c>
      <c r="R729" s="92">
        <v>0</v>
      </c>
      <c r="S729" s="92">
        <v>0</v>
      </c>
      <c r="T729" s="92">
        <v>0</v>
      </c>
      <c r="U729" s="92">
        <v>0</v>
      </c>
      <c r="V729" s="92">
        <v>0</v>
      </c>
      <c r="W729" s="92">
        <v>0</v>
      </c>
      <c r="X729" s="92">
        <v>0</v>
      </c>
      <c r="Y729" s="92">
        <v>0</v>
      </c>
      <c r="Z729" s="92">
        <v>0</v>
      </c>
      <c r="AA729" s="92">
        <v>0</v>
      </c>
      <c r="AB729" s="92">
        <v>226925</v>
      </c>
      <c r="AC729" s="92">
        <v>238596</v>
      </c>
      <c r="AD729" s="92">
        <v>251192</v>
      </c>
      <c r="AE729" s="92">
        <v>0</v>
      </c>
      <c r="AF729" s="92">
        <v>0</v>
      </c>
      <c r="AG729" s="92">
        <v>0</v>
      </c>
      <c r="AI729">
        <v>2.74579E-4</v>
      </c>
    </row>
    <row r="730" spans="1:35" x14ac:dyDescent="0.25">
      <c r="A730" t="str">
        <f t="shared" si="15"/>
        <v>2-7-89</v>
      </c>
      <c r="B730">
        <v>2</v>
      </c>
      <c r="C730" s="92" t="s">
        <v>1017</v>
      </c>
      <c r="D730" s="92">
        <v>7</v>
      </c>
      <c r="E730" s="92" t="s">
        <v>586</v>
      </c>
      <c r="F730" s="92">
        <v>89</v>
      </c>
      <c r="G730" s="92" t="s">
        <v>633</v>
      </c>
      <c r="H730" s="92"/>
      <c r="I730" s="92">
        <v>1146</v>
      </c>
      <c r="J730" s="92">
        <v>28370706</v>
      </c>
      <c r="K730" s="92" t="s">
        <v>1061</v>
      </c>
      <c r="L730" s="92">
        <v>33</v>
      </c>
      <c r="M730" s="92">
        <v>156</v>
      </c>
      <c r="N730" s="92">
        <v>28</v>
      </c>
      <c r="O730" s="92">
        <v>28</v>
      </c>
      <c r="P730" s="92">
        <v>0</v>
      </c>
      <c r="Q730" s="92">
        <v>0</v>
      </c>
      <c r="R730" s="92">
        <v>0</v>
      </c>
      <c r="S730" s="92">
        <v>0</v>
      </c>
      <c r="T730" s="92">
        <v>0</v>
      </c>
      <c r="U730" s="92">
        <v>0</v>
      </c>
      <c r="V730" s="92">
        <v>0</v>
      </c>
      <c r="W730" s="92">
        <v>0</v>
      </c>
      <c r="X730" s="92">
        <v>0</v>
      </c>
      <c r="Y730" s="92">
        <v>0</v>
      </c>
      <c r="Z730" s="92">
        <v>0</v>
      </c>
      <c r="AA730" s="92">
        <v>0</v>
      </c>
      <c r="AB730" s="92">
        <v>19635</v>
      </c>
      <c r="AC730" s="92">
        <v>20657</v>
      </c>
      <c r="AD730" s="92">
        <v>21773</v>
      </c>
      <c r="AE730" s="92">
        <v>0</v>
      </c>
      <c r="AF730" s="92">
        <v>0</v>
      </c>
      <c r="AG730" s="92">
        <v>0</v>
      </c>
    </row>
    <row r="731" spans="1:35" x14ac:dyDescent="0.25">
      <c r="A731" t="str">
        <f t="shared" si="15"/>
        <v>2-14-60</v>
      </c>
      <c r="B731">
        <v>2</v>
      </c>
      <c r="C731" s="92" t="s">
        <v>1017</v>
      </c>
      <c r="D731" s="92">
        <v>14</v>
      </c>
      <c r="E731" s="92" t="s">
        <v>571</v>
      </c>
      <c r="F731" s="92">
        <v>60</v>
      </c>
      <c r="G731" s="92" t="s">
        <v>637</v>
      </c>
      <c r="H731" s="92"/>
      <c r="I731" s="92">
        <v>0</v>
      </c>
      <c r="J731" s="92">
        <v>30525481</v>
      </c>
      <c r="K731" s="92" t="s">
        <v>1061</v>
      </c>
      <c r="L731" s="92">
        <v>241</v>
      </c>
      <c r="M731" s="92">
        <v>995</v>
      </c>
      <c r="N731" s="92">
        <v>223</v>
      </c>
      <c r="O731" s="92">
        <v>223</v>
      </c>
      <c r="P731" s="92">
        <v>0</v>
      </c>
      <c r="Q731" s="92">
        <v>0</v>
      </c>
      <c r="R731" s="92">
        <v>0</v>
      </c>
      <c r="S731" s="92">
        <v>0</v>
      </c>
      <c r="T731" s="92">
        <v>0</v>
      </c>
      <c r="U731" s="92">
        <v>0</v>
      </c>
      <c r="V731" s="92">
        <v>0</v>
      </c>
      <c r="W731" s="92">
        <v>0</v>
      </c>
      <c r="X731" s="92">
        <v>0</v>
      </c>
      <c r="Y731" s="92">
        <v>0</v>
      </c>
      <c r="Z731" s="92">
        <v>0</v>
      </c>
      <c r="AA731" s="92">
        <v>0</v>
      </c>
      <c r="AB731" s="92">
        <v>142812</v>
      </c>
      <c r="AC731" s="92">
        <v>149589</v>
      </c>
      <c r="AD731" s="92">
        <v>157936</v>
      </c>
      <c r="AE731" s="92">
        <v>0</v>
      </c>
      <c r="AF731" s="92">
        <v>0</v>
      </c>
      <c r="AG731" s="92">
        <v>0</v>
      </c>
      <c r="AI731" s="250">
        <v>1.97734E-4</v>
      </c>
    </row>
    <row r="732" spans="1:35" x14ac:dyDescent="0.25">
      <c r="A732" t="str">
        <f t="shared" si="15"/>
        <v>2-4-7</v>
      </c>
      <c r="B732">
        <v>2</v>
      </c>
      <c r="C732" s="92" t="s">
        <v>1017</v>
      </c>
      <c r="D732" s="92">
        <v>4</v>
      </c>
      <c r="E732" s="92" t="s">
        <v>66</v>
      </c>
      <c r="F732" s="92">
        <v>7</v>
      </c>
      <c r="G732" s="92" t="s">
        <v>624</v>
      </c>
      <c r="H732" s="92"/>
      <c r="I732" s="92">
        <v>0</v>
      </c>
      <c r="J732" s="92">
        <v>30525481</v>
      </c>
      <c r="K732" s="92" t="s">
        <v>1061</v>
      </c>
      <c r="L732" s="92">
        <v>0</v>
      </c>
      <c r="M732" s="92">
        <v>3286</v>
      </c>
      <c r="N732" s="92">
        <v>596</v>
      </c>
      <c r="O732" s="92">
        <v>596</v>
      </c>
      <c r="P732" s="92">
        <v>0</v>
      </c>
      <c r="Q732" s="92">
        <v>0</v>
      </c>
      <c r="R732" s="92">
        <v>0</v>
      </c>
      <c r="S732" s="92">
        <v>0</v>
      </c>
      <c r="T732" s="92">
        <v>0</v>
      </c>
      <c r="U732" s="92">
        <v>0</v>
      </c>
      <c r="V732" s="92">
        <v>0</v>
      </c>
      <c r="W732" s="92">
        <v>0</v>
      </c>
      <c r="X732" s="92">
        <v>0</v>
      </c>
      <c r="Y732" s="92">
        <v>0</v>
      </c>
      <c r="Z732" s="92">
        <v>0</v>
      </c>
      <c r="AA732" s="92">
        <v>0</v>
      </c>
      <c r="AB732" s="92">
        <v>27787</v>
      </c>
      <c r="AC732" s="92">
        <v>23905</v>
      </c>
      <c r="AD732" s="92">
        <v>29323</v>
      </c>
      <c r="AE732" s="92">
        <v>0</v>
      </c>
      <c r="AF732" s="92">
        <v>0</v>
      </c>
      <c r="AG732" s="92">
        <v>0</v>
      </c>
    </row>
    <row r="733" spans="1:35" x14ac:dyDescent="0.25">
      <c r="A733" t="str">
        <f t="shared" si="15"/>
        <v>1-7-90</v>
      </c>
      <c r="B733">
        <v>1</v>
      </c>
      <c r="C733" s="92" t="s">
        <v>1016</v>
      </c>
      <c r="D733" s="92">
        <v>7</v>
      </c>
      <c r="E733" s="92" t="s">
        <v>586</v>
      </c>
      <c r="F733" s="92">
        <v>90</v>
      </c>
      <c r="G733" s="92" t="s">
        <v>86</v>
      </c>
      <c r="H733" s="92"/>
      <c r="I733" s="92">
        <v>567</v>
      </c>
      <c r="J733" s="92">
        <v>4511479</v>
      </c>
      <c r="K733" s="92">
        <v>1</v>
      </c>
      <c r="L733" s="92">
        <v>1082</v>
      </c>
      <c r="M733" s="92">
        <v>139</v>
      </c>
      <c r="N733" s="92">
        <v>10</v>
      </c>
      <c r="O733" s="92">
        <v>10</v>
      </c>
      <c r="P733" s="92">
        <v>0</v>
      </c>
      <c r="Q733" s="92">
        <v>0</v>
      </c>
      <c r="R733" s="92">
        <v>0</v>
      </c>
      <c r="S733" s="92">
        <v>0</v>
      </c>
      <c r="T733" s="92">
        <v>0</v>
      </c>
      <c r="U733" s="92">
        <v>0</v>
      </c>
      <c r="V733" s="92">
        <v>0</v>
      </c>
      <c r="W733" s="92">
        <v>0</v>
      </c>
      <c r="X733" s="92">
        <v>0</v>
      </c>
      <c r="Y733" s="92">
        <v>0</v>
      </c>
      <c r="Z733" s="92">
        <v>0</v>
      </c>
      <c r="AA733" s="92">
        <v>0</v>
      </c>
      <c r="AB733" s="92">
        <v>27787</v>
      </c>
      <c r="AC733" s="92">
        <v>29469</v>
      </c>
      <c r="AD733" s="92">
        <v>31395</v>
      </c>
      <c r="AE733" s="92">
        <v>0</v>
      </c>
      <c r="AF733" s="92">
        <v>0</v>
      </c>
      <c r="AG733" s="92">
        <v>0</v>
      </c>
    </row>
    <row r="734" spans="1:35" x14ac:dyDescent="0.25">
      <c r="A734" t="str">
        <f t="shared" si="15"/>
        <v>14-7-90</v>
      </c>
      <c r="B734">
        <v>14</v>
      </c>
      <c r="C734" s="92" t="s">
        <v>1027</v>
      </c>
      <c r="D734" s="92">
        <v>7</v>
      </c>
      <c r="E734" s="92" t="s">
        <v>586</v>
      </c>
      <c r="F734" s="92">
        <v>90</v>
      </c>
      <c r="G734" s="92" t="s">
        <v>86</v>
      </c>
      <c r="H734" s="92"/>
      <c r="I734" s="92">
        <v>567</v>
      </c>
      <c r="J734" s="92">
        <v>12656933</v>
      </c>
      <c r="K734" s="92">
        <v>1</v>
      </c>
      <c r="L734" s="92">
        <v>1082</v>
      </c>
      <c r="M734" s="92">
        <v>139</v>
      </c>
      <c r="N734" s="92">
        <v>10</v>
      </c>
      <c r="O734" s="92">
        <v>10</v>
      </c>
      <c r="P734" s="92">
        <v>0</v>
      </c>
      <c r="Q734" s="92">
        <v>0</v>
      </c>
      <c r="R734" s="92">
        <v>0</v>
      </c>
      <c r="S734" s="92">
        <v>0</v>
      </c>
      <c r="T734" s="92">
        <v>0</v>
      </c>
      <c r="U734" s="92">
        <v>0</v>
      </c>
      <c r="V734" s="92">
        <v>0</v>
      </c>
      <c r="W734" s="92">
        <v>0</v>
      </c>
      <c r="X734" s="92">
        <v>0</v>
      </c>
      <c r="Y734" s="92">
        <v>0</v>
      </c>
      <c r="Z734" s="92">
        <v>0</v>
      </c>
      <c r="AA734" s="92">
        <v>0</v>
      </c>
      <c r="AB734" s="92">
        <v>27787</v>
      </c>
      <c r="AC734" s="92">
        <v>29469</v>
      </c>
      <c r="AD734" s="92">
        <v>31395</v>
      </c>
      <c r="AE734" s="92">
        <v>0</v>
      </c>
      <c r="AF734" s="92">
        <v>0</v>
      </c>
      <c r="AG734" s="92">
        <v>0</v>
      </c>
    </row>
    <row r="735" spans="1:35" x14ac:dyDescent="0.25">
      <c r="A735" t="str">
        <f t="shared" si="15"/>
        <v>1-9-52</v>
      </c>
      <c r="B735">
        <v>1</v>
      </c>
      <c r="C735" s="92" t="s">
        <v>1016</v>
      </c>
      <c r="D735" s="92">
        <v>9</v>
      </c>
      <c r="E735" s="92" t="s">
        <v>588</v>
      </c>
      <c r="F735" s="92">
        <v>52</v>
      </c>
      <c r="G735" s="92" t="s">
        <v>238</v>
      </c>
      <c r="H735" s="92"/>
      <c r="I735" s="92">
        <v>3705</v>
      </c>
      <c r="J735" s="92">
        <v>0</v>
      </c>
      <c r="K735" s="92">
        <v>1</v>
      </c>
      <c r="L735" s="92">
        <v>10311</v>
      </c>
      <c r="M735" s="92">
        <v>998</v>
      </c>
      <c r="N735" s="92">
        <v>119</v>
      </c>
      <c r="O735" s="92">
        <v>119</v>
      </c>
      <c r="P735" s="92">
        <v>0</v>
      </c>
      <c r="Q735" s="92">
        <v>0</v>
      </c>
      <c r="R735" s="92">
        <v>0</v>
      </c>
      <c r="S735" s="92">
        <v>0</v>
      </c>
      <c r="T735" s="92">
        <v>0</v>
      </c>
      <c r="U735" s="92">
        <v>0</v>
      </c>
      <c r="V735" s="92">
        <v>0</v>
      </c>
      <c r="W735" s="92">
        <v>0</v>
      </c>
      <c r="X735" s="92">
        <v>0</v>
      </c>
      <c r="Y735" s="92">
        <v>0</v>
      </c>
      <c r="Z735" s="92">
        <v>0</v>
      </c>
      <c r="AA735" s="92">
        <v>0</v>
      </c>
      <c r="AB735" s="92">
        <v>159127</v>
      </c>
      <c r="AC735" s="92">
        <v>168585</v>
      </c>
      <c r="AD735" s="92">
        <v>168585</v>
      </c>
      <c r="AE735" s="92">
        <v>0</v>
      </c>
      <c r="AF735" s="92">
        <v>0</v>
      </c>
      <c r="AG735" s="92">
        <v>0</v>
      </c>
      <c r="AI735" s="250">
        <v>3.28344E-4</v>
      </c>
    </row>
    <row r="736" spans="1:35" x14ac:dyDescent="0.25">
      <c r="A736" t="str">
        <f t="shared" si="15"/>
        <v>14-9-52</v>
      </c>
      <c r="B736">
        <v>14</v>
      </c>
      <c r="C736" s="92" t="s">
        <v>1027</v>
      </c>
      <c r="D736" s="92">
        <v>9</v>
      </c>
      <c r="E736" s="92" t="s">
        <v>588</v>
      </c>
      <c r="F736" s="92">
        <v>52</v>
      </c>
      <c r="G736" s="92" t="s">
        <v>238</v>
      </c>
      <c r="H736" s="92"/>
      <c r="I736" s="92">
        <v>3705</v>
      </c>
      <c r="J736" s="92">
        <v>523000</v>
      </c>
      <c r="K736" s="92">
        <v>1</v>
      </c>
      <c r="L736" s="92">
        <v>10311</v>
      </c>
      <c r="M736" s="92">
        <v>998</v>
      </c>
      <c r="N736" s="92">
        <v>119</v>
      </c>
      <c r="O736" s="92">
        <v>119</v>
      </c>
      <c r="P736" s="92">
        <v>0</v>
      </c>
      <c r="Q736" s="92">
        <v>0</v>
      </c>
      <c r="R736" s="92">
        <v>0</v>
      </c>
      <c r="S736" s="92">
        <v>0</v>
      </c>
      <c r="T736" s="92">
        <v>0</v>
      </c>
      <c r="U736" s="92">
        <v>0</v>
      </c>
      <c r="V736" s="92">
        <v>0</v>
      </c>
      <c r="W736" s="92">
        <v>0</v>
      </c>
      <c r="X736" s="92">
        <v>0</v>
      </c>
      <c r="Y736" s="92">
        <v>0</v>
      </c>
      <c r="Z736" s="92">
        <v>0</v>
      </c>
      <c r="AA736" s="92">
        <v>0</v>
      </c>
      <c r="AB736" s="92">
        <v>159127</v>
      </c>
      <c r="AC736" s="92">
        <v>168585</v>
      </c>
      <c r="AD736" s="92">
        <v>168585</v>
      </c>
      <c r="AE736" s="92">
        <v>0</v>
      </c>
      <c r="AF736" s="92">
        <v>0</v>
      </c>
      <c r="AG736" s="92">
        <v>0</v>
      </c>
      <c r="AI736" s="250">
        <v>3.28344E-4</v>
      </c>
    </row>
    <row r="737" spans="1:35" x14ac:dyDescent="0.25">
      <c r="A737" t="str">
        <f t="shared" si="15"/>
        <v>14-8-1</v>
      </c>
      <c r="B737">
        <v>14</v>
      </c>
      <c r="C737" s="92" t="s">
        <v>1027</v>
      </c>
      <c r="D737" s="92">
        <v>8</v>
      </c>
      <c r="E737" s="92" t="s">
        <v>587</v>
      </c>
      <c r="F737" s="92">
        <v>1</v>
      </c>
      <c r="G737" s="92" t="s">
        <v>250</v>
      </c>
      <c r="H737" s="92"/>
      <c r="I737" s="92">
        <v>2039</v>
      </c>
      <c r="J737" s="92">
        <v>6324585</v>
      </c>
      <c r="K737" s="92" t="s">
        <v>1061</v>
      </c>
      <c r="L737" s="92">
        <v>480</v>
      </c>
      <c r="M737" s="92">
        <v>36</v>
      </c>
      <c r="N737" s="92">
        <v>2</v>
      </c>
      <c r="O737" s="92">
        <v>2</v>
      </c>
      <c r="P737" s="92">
        <v>0</v>
      </c>
      <c r="Q737" s="92">
        <v>0</v>
      </c>
      <c r="R737" s="92">
        <v>0</v>
      </c>
      <c r="S737" s="92">
        <v>0</v>
      </c>
      <c r="T737" s="92">
        <v>0</v>
      </c>
      <c r="U737" s="92">
        <v>0</v>
      </c>
      <c r="V737" s="92">
        <v>0</v>
      </c>
      <c r="W737" s="92">
        <v>0</v>
      </c>
      <c r="X737" s="92">
        <v>0</v>
      </c>
      <c r="Y737" s="92">
        <v>0</v>
      </c>
      <c r="Z737" s="92">
        <v>0</v>
      </c>
      <c r="AA737" s="92">
        <v>0</v>
      </c>
      <c r="AB737" s="92">
        <v>12000</v>
      </c>
      <c r="AC737" s="92">
        <v>12000</v>
      </c>
      <c r="AD737" s="92">
        <v>12000</v>
      </c>
      <c r="AE737" s="92">
        <v>0</v>
      </c>
      <c r="AF737" s="92">
        <v>0</v>
      </c>
      <c r="AG737" s="92">
        <v>0</v>
      </c>
    </row>
    <row r="738" spans="1:35" x14ac:dyDescent="0.25">
      <c r="A738" t="str">
        <f t="shared" si="15"/>
        <v>1-4-44</v>
      </c>
      <c r="B738">
        <v>1</v>
      </c>
      <c r="C738" s="92" t="s">
        <v>1016</v>
      </c>
      <c r="D738" s="92">
        <v>4</v>
      </c>
      <c r="E738" s="92" t="s">
        <v>66</v>
      </c>
      <c r="F738" s="92">
        <v>44</v>
      </c>
      <c r="G738" s="92" t="s">
        <v>606</v>
      </c>
      <c r="H738" s="92"/>
      <c r="I738" s="92">
        <v>0</v>
      </c>
      <c r="J738" s="92">
        <v>12250446</v>
      </c>
      <c r="K738" s="92">
        <v>1</v>
      </c>
      <c r="L738" s="92">
        <v>35300</v>
      </c>
      <c r="M738" s="92">
        <v>6414</v>
      </c>
      <c r="N738" s="92">
        <v>1275</v>
      </c>
      <c r="O738" s="92">
        <v>1275</v>
      </c>
      <c r="P738" s="92">
        <v>0</v>
      </c>
      <c r="Q738" s="92">
        <v>61005</v>
      </c>
      <c r="R738" s="92">
        <v>2964</v>
      </c>
      <c r="S738" s="92">
        <v>0</v>
      </c>
      <c r="T738" s="92">
        <v>0</v>
      </c>
      <c r="U738" s="92">
        <v>0</v>
      </c>
      <c r="V738" s="92">
        <v>0</v>
      </c>
      <c r="W738" s="92">
        <v>0</v>
      </c>
      <c r="X738" s="92">
        <v>0</v>
      </c>
      <c r="Y738" s="92">
        <v>0</v>
      </c>
      <c r="Z738" s="92">
        <v>0</v>
      </c>
      <c r="AA738" s="92">
        <v>0</v>
      </c>
      <c r="AB738" s="92">
        <v>66185</v>
      </c>
      <c r="AC738" s="92">
        <v>42989</v>
      </c>
      <c r="AD738" s="92">
        <v>66505</v>
      </c>
      <c r="AE738" s="92">
        <v>0</v>
      </c>
      <c r="AF738" s="92">
        <v>0</v>
      </c>
      <c r="AG738" s="92">
        <v>0</v>
      </c>
    </row>
    <row r="739" spans="1:35" x14ac:dyDescent="0.25">
      <c r="A739" t="str">
        <f t="shared" si="15"/>
        <v>14-4-44</v>
      </c>
      <c r="B739">
        <v>14</v>
      </c>
      <c r="C739" s="92" t="s">
        <v>1027</v>
      </c>
      <c r="D739" s="92">
        <v>4</v>
      </c>
      <c r="E739" s="92" t="s">
        <v>66</v>
      </c>
      <c r="F739" s="92">
        <v>44</v>
      </c>
      <c r="G739" s="92" t="s">
        <v>606</v>
      </c>
      <c r="H739" s="92"/>
      <c r="I739" s="92">
        <v>0</v>
      </c>
      <c r="J739" s="92">
        <v>16556277</v>
      </c>
      <c r="K739" s="92">
        <v>1</v>
      </c>
      <c r="L739" s="92">
        <v>35300</v>
      </c>
      <c r="M739" s="92">
        <v>6414</v>
      </c>
      <c r="N739" s="92">
        <v>1275</v>
      </c>
      <c r="O739" s="92">
        <v>1275</v>
      </c>
      <c r="P739" s="92">
        <v>0</v>
      </c>
      <c r="Q739" s="92">
        <v>61005</v>
      </c>
      <c r="R739" s="92">
        <v>2964</v>
      </c>
      <c r="S739" s="92">
        <v>0</v>
      </c>
      <c r="T739" s="92">
        <v>0</v>
      </c>
      <c r="U739" s="92">
        <v>0</v>
      </c>
      <c r="V739" s="92">
        <v>0</v>
      </c>
      <c r="W739" s="92">
        <v>0</v>
      </c>
      <c r="X739" s="92">
        <v>0</v>
      </c>
      <c r="Y739" s="92">
        <v>0</v>
      </c>
      <c r="Z739" s="92">
        <v>0</v>
      </c>
      <c r="AA739" s="92">
        <v>0</v>
      </c>
      <c r="AB739" s="92">
        <v>66185</v>
      </c>
      <c r="AC739" s="92">
        <v>42989</v>
      </c>
      <c r="AD739" s="92">
        <v>66505</v>
      </c>
      <c r="AE739" s="92">
        <v>0</v>
      </c>
      <c r="AF739" s="92">
        <v>0</v>
      </c>
      <c r="AG739" s="92">
        <v>0</v>
      </c>
    </row>
    <row r="740" spans="1:35" x14ac:dyDescent="0.25">
      <c r="A740" t="str">
        <f t="shared" si="15"/>
        <v>37-4-44</v>
      </c>
      <c r="B740">
        <v>37</v>
      </c>
      <c r="C740" s="92" t="s">
        <v>1049</v>
      </c>
      <c r="D740" s="92">
        <v>4</v>
      </c>
      <c r="E740" s="92" t="s">
        <v>66</v>
      </c>
      <c r="F740" s="92">
        <v>44</v>
      </c>
      <c r="G740" s="92" t="s">
        <v>606</v>
      </c>
      <c r="H740" s="92"/>
      <c r="I740" s="92">
        <v>0</v>
      </c>
      <c r="J740" s="92">
        <v>15610615</v>
      </c>
      <c r="K740" s="92">
        <v>1</v>
      </c>
      <c r="L740" s="92">
        <v>35300</v>
      </c>
      <c r="M740" s="92">
        <v>6414</v>
      </c>
      <c r="N740" s="92">
        <v>1275</v>
      </c>
      <c r="O740" s="92">
        <v>1275</v>
      </c>
      <c r="P740" s="92">
        <v>0</v>
      </c>
      <c r="Q740" s="92">
        <v>61005</v>
      </c>
      <c r="R740" s="92">
        <v>2964</v>
      </c>
      <c r="S740" s="92">
        <v>0</v>
      </c>
      <c r="T740" s="92">
        <v>0</v>
      </c>
      <c r="U740" s="92">
        <v>0</v>
      </c>
      <c r="V740" s="92">
        <v>0</v>
      </c>
      <c r="W740" s="92">
        <v>0</v>
      </c>
      <c r="X740" s="92">
        <v>0</v>
      </c>
      <c r="Y740" s="92">
        <v>0</v>
      </c>
      <c r="Z740" s="92">
        <v>0</v>
      </c>
      <c r="AA740" s="92">
        <v>0</v>
      </c>
      <c r="AB740" s="92">
        <v>66185</v>
      </c>
      <c r="AC740" s="92">
        <v>42989</v>
      </c>
      <c r="AD740" s="92">
        <v>66505</v>
      </c>
      <c r="AE740" s="92">
        <v>0</v>
      </c>
      <c r="AF740" s="92">
        <v>0</v>
      </c>
      <c r="AG740" s="92">
        <v>0</v>
      </c>
    </row>
    <row r="741" spans="1:35" x14ac:dyDescent="0.25">
      <c r="A741" t="str">
        <f t="shared" si="15"/>
        <v>35-7-92</v>
      </c>
      <c r="B741">
        <v>35</v>
      </c>
      <c r="C741" s="92" t="s">
        <v>1195</v>
      </c>
      <c r="D741" s="92">
        <v>7</v>
      </c>
      <c r="E741" s="92" t="s">
        <v>586</v>
      </c>
      <c r="F741" s="92">
        <v>92</v>
      </c>
      <c r="G741" s="92" t="s">
        <v>499</v>
      </c>
      <c r="H741" s="92"/>
      <c r="I741" s="92">
        <v>0</v>
      </c>
      <c r="J741" s="92">
        <v>3185</v>
      </c>
      <c r="K741" s="92" t="s">
        <v>1061</v>
      </c>
      <c r="L741" s="92">
        <v>46</v>
      </c>
      <c r="M741" s="92">
        <v>1</v>
      </c>
      <c r="N741" s="92">
        <v>0</v>
      </c>
      <c r="O741" s="92">
        <v>0</v>
      </c>
      <c r="P741" s="92">
        <v>0</v>
      </c>
      <c r="Q741" s="92">
        <v>0</v>
      </c>
      <c r="R741" s="92">
        <v>0</v>
      </c>
      <c r="S741" s="92">
        <v>0</v>
      </c>
      <c r="T741" s="92">
        <v>137</v>
      </c>
      <c r="U741" s="92">
        <v>0</v>
      </c>
      <c r="V741" s="92">
        <v>0</v>
      </c>
      <c r="W741" s="92">
        <v>0</v>
      </c>
      <c r="X741" s="92">
        <v>0</v>
      </c>
      <c r="Y741" s="92">
        <v>0</v>
      </c>
      <c r="Z741" s="92">
        <v>0</v>
      </c>
      <c r="AA741" s="92">
        <v>0</v>
      </c>
      <c r="AB741" s="92">
        <v>2246</v>
      </c>
      <c r="AC741" s="92">
        <v>2178</v>
      </c>
      <c r="AD741" s="92">
        <v>2426</v>
      </c>
      <c r="AE741" s="92">
        <v>0</v>
      </c>
      <c r="AF741" s="92">
        <v>0</v>
      </c>
      <c r="AG741" s="92">
        <v>0</v>
      </c>
    </row>
    <row r="742" spans="1:35" x14ac:dyDescent="0.25">
      <c r="A742" t="str">
        <f t="shared" si="15"/>
        <v>1-7-93</v>
      </c>
      <c r="B742">
        <v>1</v>
      </c>
      <c r="C742" s="92" t="s">
        <v>1016</v>
      </c>
      <c r="D742" s="92">
        <v>7</v>
      </c>
      <c r="E742" s="92" t="s">
        <v>586</v>
      </c>
      <c r="F742" s="92">
        <v>93</v>
      </c>
      <c r="G742" s="92" t="s">
        <v>87</v>
      </c>
      <c r="H742" s="92"/>
      <c r="I742" s="92">
        <v>169071</v>
      </c>
      <c r="J742" s="92">
        <v>154078171</v>
      </c>
      <c r="K742" s="92" t="s">
        <v>1061</v>
      </c>
      <c r="L742" s="92">
        <v>161</v>
      </c>
      <c r="M742" s="92">
        <v>1952</v>
      </c>
      <c r="N742" s="92">
        <v>745</v>
      </c>
      <c r="O742" s="92">
        <v>745</v>
      </c>
      <c r="P742" s="92">
        <v>0</v>
      </c>
      <c r="Q742" s="92">
        <v>0</v>
      </c>
      <c r="R742" s="92">
        <v>0</v>
      </c>
      <c r="S742" s="92">
        <v>8</v>
      </c>
      <c r="T742" s="92">
        <v>8</v>
      </c>
      <c r="U742" s="92">
        <v>101</v>
      </c>
      <c r="V742" s="92">
        <v>0</v>
      </c>
      <c r="W742" s="92">
        <v>0</v>
      </c>
      <c r="X742" s="92">
        <v>0</v>
      </c>
      <c r="Y742" s="92">
        <v>0</v>
      </c>
      <c r="Z742" s="92">
        <v>0</v>
      </c>
      <c r="AA742" s="92">
        <v>0</v>
      </c>
      <c r="AB742" s="92">
        <v>712892</v>
      </c>
      <c r="AC742" s="92">
        <v>750538</v>
      </c>
      <c r="AD742" s="92">
        <v>750538</v>
      </c>
      <c r="AE742" s="92">
        <v>0</v>
      </c>
      <c r="AF742" s="92">
        <v>0</v>
      </c>
      <c r="AG742" s="92">
        <v>0</v>
      </c>
    </row>
    <row r="743" spans="1:35" x14ac:dyDescent="0.25">
      <c r="A743" t="str">
        <f t="shared" si="15"/>
        <v>1-9-56</v>
      </c>
      <c r="B743">
        <v>1</v>
      </c>
      <c r="C743" s="92" t="s">
        <v>1016</v>
      </c>
      <c r="D743" s="92">
        <v>9</v>
      </c>
      <c r="E743" s="92" t="s">
        <v>588</v>
      </c>
      <c r="F743" s="92">
        <v>56</v>
      </c>
      <c r="G743" s="92" t="s">
        <v>611</v>
      </c>
      <c r="H743" s="92"/>
      <c r="I743" s="92">
        <v>785035</v>
      </c>
      <c r="J743" s="92">
        <v>0</v>
      </c>
      <c r="K743" s="92" t="s">
        <v>1061</v>
      </c>
      <c r="L743" s="92">
        <v>5992</v>
      </c>
      <c r="M743" s="92">
        <v>8240</v>
      </c>
      <c r="N743" s="92">
        <v>1004</v>
      </c>
      <c r="O743" s="92">
        <v>1004</v>
      </c>
      <c r="P743" s="92">
        <v>0</v>
      </c>
      <c r="Q743" s="92">
        <v>0</v>
      </c>
      <c r="R743" s="92">
        <v>0</v>
      </c>
      <c r="S743" s="92">
        <v>0</v>
      </c>
      <c r="T743" s="92">
        <v>0</v>
      </c>
      <c r="U743" s="92">
        <v>0</v>
      </c>
      <c r="V743" s="92">
        <v>0</v>
      </c>
      <c r="W743" s="92">
        <v>0</v>
      </c>
      <c r="X743" s="92">
        <v>0</v>
      </c>
      <c r="Y743" s="92">
        <v>0</v>
      </c>
      <c r="Z743" s="92">
        <v>0</v>
      </c>
      <c r="AA743" s="92">
        <v>0</v>
      </c>
      <c r="AB743" s="92">
        <v>2229293</v>
      </c>
      <c r="AC743" s="92">
        <v>1669882</v>
      </c>
      <c r="AD743" s="92">
        <v>1854474</v>
      </c>
      <c r="AE743" s="92">
        <v>0</v>
      </c>
      <c r="AF743" s="92">
        <v>0</v>
      </c>
      <c r="AG743" s="92">
        <v>0</v>
      </c>
      <c r="AI743" s="250">
        <v>6.7490400000000004E-4</v>
      </c>
    </row>
    <row r="744" spans="1:35" x14ac:dyDescent="0.25">
      <c r="A744" t="str">
        <f t="shared" si="15"/>
        <v>1-14-27</v>
      </c>
      <c r="B744">
        <v>1</v>
      </c>
      <c r="C744" s="92" t="s">
        <v>1016</v>
      </c>
      <c r="D744" s="92">
        <v>14</v>
      </c>
      <c r="E744" s="92" t="s">
        <v>571</v>
      </c>
      <c r="F744" s="92">
        <v>27</v>
      </c>
      <c r="G744" s="92" t="s">
        <v>92</v>
      </c>
      <c r="H744" s="92"/>
      <c r="I744" s="92">
        <v>0</v>
      </c>
      <c r="J744" s="92">
        <v>163315726</v>
      </c>
      <c r="K744" s="92" t="s">
        <v>1061</v>
      </c>
      <c r="L744" s="92">
        <v>1940</v>
      </c>
      <c r="M744" s="92">
        <v>29979</v>
      </c>
      <c r="N744" s="92">
        <v>9060</v>
      </c>
      <c r="O744" s="92">
        <v>9060</v>
      </c>
      <c r="P744" s="92">
        <v>0</v>
      </c>
      <c r="Q744" s="92">
        <v>0</v>
      </c>
      <c r="R744" s="92">
        <v>0</v>
      </c>
      <c r="S744" s="92">
        <v>95</v>
      </c>
      <c r="T744" s="92">
        <v>100</v>
      </c>
      <c r="U744" s="92">
        <v>1201</v>
      </c>
      <c r="V744" s="92">
        <v>0</v>
      </c>
      <c r="W744" s="92">
        <v>0</v>
      </c>
      <c r="X744" s="92">
        <v>0</v>
      </c>
      <c r="Y744" s="92">
        <v>0</v>
      </c>
      <c r="Z744" s="92">
        <v>0</v>
      </c>
      <c r="AA744" s="92">
        <v>0</v>
      </c>
      <c r="AB744" s="92">
        <v>7822975</v>
      </c>
      <c r="AC744" s="92">
        <v>8160920</v>
      </c>
      <c r="AD744" s="92">
        <v>8596791</v>
      </c>
      <c r="AE744" s="92">
        <v>89845</v>
      </c>
      <c r="AF744" s="92">
        <v>0</v>
      </c>
      <c r="AG744" s="92">
        <v>0</v>
      </c>
      <c r="AI744" s="250">
        <v>2.9841200000000002E-4</v>
      </c>
    </row>
    <row r="745" spans="1:35" x14ac:dyDescent="0.25">
      <c r="A745" t="str">
        <f t="shared" si="15"/>
        <v>28-9-169</v>
      </c>
      <c r="B745">
        <v>28</v>
      </c>
      <c r="C745" s="92" t="s">
        <v>1041</v>
      </c>
      <c r="D745" s="92">
        <v>9</v>
      </c>
      <c r="E745" s="92" t="s">
        <v>588</v>
      </c>
      <c r="F745" s="92">
        <v>169</v>
      </c>
      <c r="G745" s="92" t="s">
        <v>891</v>
      </c>
      <c r="H745" s="92"/>
      <c r="I745" s="92">
        <v>0</v>
      </c>
      <c r="J745" s="92">
        <v>0</v>
      </c>
      <c r="K745" s="92" t="s">
        <v>1061</v>
      </c>
      <c r="L745" s="92">
        <v>189</v>
      </c>
      <c r="M745" s="92">
        <v>204</v>
      </c>
      <c r="N745" s="92">
        <v>3</v>
      </c>
      <c r="O745" s="92">
        <v>3</v>
      </c>
      <c r="P745" s="92">
        <v>0</v>
      </c>
      <c r="Q745" s="92">
        <v>0</v>
      </c>
      <c r="R745" s="92">
        <v>0</v>
      </c>
      <c r="S745" s="92">
        <v>0</v>
      </c>
      <c r="T745" s="92">
        <v>0</v>
      </c>
      <c r="U745" s="92">
        <v>0</v>
      </c>
      <c r="V745" s="92">
        <v>0</v>
      </c>
      <c r="W745" s="92">
        <v>0</v>
      </c>
      <c r="X745" s="92">
        <v>0</v>
      </c>
      <c r="Y745" s="92">
        <v>0</v>
      </c>
      <c r="Z745" s="92">
        <v>0</v>
      </c>
      <c r="AA745" s="92">
        <v>0</v>
      </c>
      <c r="AB745" s="92">
        <v>430114</v>
      </c>
      <c r="AC745" s="92">
        <f>446789+244886</f>
        <v>691675</v>
      </c>
      <c r="AD745" s="92">
        <v>717006</v>
      </c>
      <c r="AE745" s="92">
        <v>0</v>
      </c>
      <c r="AF745" s="92">
        <v>0</v>
      </c>
      <c r="AG745" s="92">
        <v>0</v>
      </c>
      <c r="AI745" s="250">
        <v>4.7523699999999999E-4</v>
      </c>
    </row>
    <row r="746" spans="1:35" x14ac:dyDescent="0.25">
      <c r="A746" t="str">
        <f t="shared" si="15"/>
        <v>14-7-94</v>
      </c>
      <c r="B746">
        <v>14</v>
      </c>
      <c r="C746" s="92" t="s">
        <v>1027</v>
      </c>
      <c r="D746" s="92">
        <v>7</v>
      </c>
      <c r="E746" s="92" t="s">
        <v>586</v>
      </c>
      <c r="F746" s="92">
        <v>94</v>
      </c>
      <c r="G746" s="92" t="s">
        <v>230</v>
      </c>
      <c r="H746" s="92"/>
      <c r="I746" s="92">
        <v>0</v>
      </c>
      <c r="J746" s="92">
        <v>26340165</v>
      </c>
      <c r="K746" s="92" t="s">
        <v>1061</v>
      </c>
      <c r="L746" s="92">
        <v>304</v>
      </c>
      <c r="M746" s="92">
        <v>231</v>
      </c>
      <c r="N746" s="92">
        <v>19</v>
      </c>
      <c r="O746" s="92">
        <v>19</v>
      </c>
      <c r="P746" s="92">
        <v>0</v>
      </c>
      <c r="Q746" s="92">
        <v>0</v>
      </c>
      <c r="R746" s="92">
        <v>0</v>
      </c>
      <c r="S746" s="92">
        <v>0</v>
      </c>
      <c r="T746" s="92">
        <v>0</v>
      </c>
      <c r="U746" s="92">
        <v>0</v>
      </c>
      <c r="V746" s="92">
        <v>0</v>
      </c>
      <c r="W746" s="92">
        <v>0</v>
      </c>
      <c r="X746" s="92">
        <v>0</v>
      </c>
      <c r="Y746" s="92">
        <v>0</v>
      </c>
      <c r="Z746" s="92">
        <v>0</v>
      </c>
      <c r="AA746" s="92">
        <v>0</v>
      </c>
      <c r="AB746" s="92">
        <v>71679</v>
      </c>
      <c r="AC746" s="92">
        <v>76635</v>
      </c>
      <c r="AD746" s="92">
        <v>76635</v>
      </c>
      <c r="AE746" s="92">
        <v>0</v>
      </c>
      <c r="AF746" s="92">
        <v>0</v>
      </c>
      <c r="AG746" s="92">
        <v>0</v>
      </c>
    </row>
    <row r="747" spans="1:35" x14ac:dyDescent="0.25">
      <c r="A747" t="str">
        <f t="shared" si="15"/>
        <v>14-9-57</v>
      </c>
      <c r="B747">
        <v>14</v>
      </c>
      <c r="C747" s="92" t="s">
        <v>1027</v>
      </c>
      <c r="D747" s="92">
        <v>9</v>
      </c>
      <c r="E747" s="92" t="s">
        <v>588</v>
      </c>
      <c r="F747" s="92">
        <v>57</v>
      </c>
      <c r="G747" s="92" t="s">
        <v>239</v>
      </c>
      <c r="H747" s="92"/>
      <c r="I747" s="92">
        <v>0</v>
      </c>
      <c r="J747" s="92">
        <v>75593</v>
      </c>
      <c r="K747" s="92">
        <v>1</v>
      </c>
      <c r="L747" s="92">
        <v>7941</v>
      </c>
      <c r="M747" s="92">
        <v>11186</v>
      </c>
      <c r="N747" s="92">
        <v>502</v>
      </c>
      <c r="O747" s="92">
        <v>502</v>
      </c>
      <c r="P747" s="92">
        <v>0</v>
      </c>
      <c r="Q747" s="92">
        <v>0</v>
      </c>
      <c r="R747" s="92">
        <v>0</v>
      </c>
      <c r="S747" s="92">
        <v>0</v>
      </c>
      <c r="T747" s="92">
        <v>0</v>
      </c>
      <c r="U747" s="92">
        <v>0</v>
      </c>
      <c r="V747" s="92">
        <v>0</v>
      </c>
      <c r="W747" s="92">
        <v>0</v>
      </c>
      <c r="X747" s="92">
        <v>0</v>
      </c>
      <c r="Y747" s="92">
        <v>0</v>
      </c>
      <c r="Z747" s="92">
        <v>0</v>
      </c>
      <c r="AA747" s="92">
        <v>0</v>
      </c>
      <c r="AB747" s="92">
        <v>2618770</v>
      </c>
      <c r="AC747" s="92">
        <v>2785779</v>
      </c>
      <c r="AD747" s="92">
        <v>2978026</v>
      </c>
      <c r="AE747" s="92">
        <v>0</v>
      </c>
      <c r="AF747" s="92">
        <v>0</v>
      </c>
      <c r="AG747" s="92">
        <v>0</v>
      </c>
      <c r="AI747" s="250">
        <v>7.3252099999999998E-4</v>
      </c>
    </row>
    <row r="748" spans="1:35" x14ac:dyDescent="0.25">
      <c r="A748" t="str">
        <f t="shared" si="15"/>
        <v>23-9-57</v>
      </c>
      <c r="B748">
        <v>23</v>
      </c>
      <c r="C748" s="92" t="s">
        <v>1036</v>
      </c>
      <c r="D748" s="92">
        <v>9</v>
      </c>
      <c r="E748" s="92" t="s">
        <v>588</v>
      </c>
      <c r="F748" s="92">
        <v>57</v>
      </c>
      <c r="G748" s="92" t="s">
        <v>239</v>
      </c>
      <c r="H748" s="92"/>
      <c r="I748" s="92">
        <v>0</v>
      </c>
      <c r="J748" s="92">
        <v>28312</v>
      </c>
      <c r="K748" s="92">
        <v>1</v>
      </c>
      <c r="L748" s="92">
        <v>7941</v>
      </c>
      <c r="M748" s="92">
        <v>11186</v>
      </c>
      <c r="N748" s="92">
        <v>502</v>
      </c>
      <c r="O748" s="92">
        <v>502</v>
      </c>
      <c r="P748" s="92">
        <v>0</v>
      </c>
      <c r="Q748" s="92">
        <v>0</v>
      </c>
      <c r="R748" s="92">
        <v>0</v>
      </c>
      <c r="S748" s="92">
        <v>0</v>
      </c>
      <c r="T748" s="92">
        <v>0</v>
      </c>
      <c r="U748" s="92">
        <v>0</v>
      </c>
      <c r="V748" s="92">
        <v>0</v>
      </c>
      <c r="W748" s="92">
        <v>0</v>
      </c>
      <c r="X748" s="92">
        <v>0</v>
      </c>
      <c r="Y748" s="92">
        <v>0</v>
      </c>
      <c r="Z748" s="92">
        <v>0</v>
      </c>
      <c r="AA748" s="92">
        <v>0</v>
      </c>
      <c r="AB748" s="92">
        <v>2618770</v>
      </c>
      <c r="AC748" s="92">
        <v>2785779</v>
      </c>
      <c r="AD748" s="92">
        <v>2978026</v>
      </c>
      <c r="AE748" s="92">
        <v>0</v>
      </c>
      <c r="AF748" s="92">
        <v>0</v>
      </c>
      <c r="AG748" s="92">
        <v>0</v>
      </c>
      <c r="AI748" s="250">
        <v>7.3252099999999998E-4</v>
      </c>
    </row>
    <row r="749" spans="1:35" x14ac:dyDescent="0.25">
      <c r="A749" t="str">
        <f t="shared" si="15"/>
        <v>14-17-23</v>
      </c>
      <c r="B749">
        <v>14</v>
      </c>
      <c r="C749" s="92" t="s">
        <v>1027</v>
      </c>
      <c r="D749" s="92">
        <v>17</v>
      </c>
      <c r="E749" s="92" t="s">
        <v>593</v>
      </c>
      <c r="F749" s="92">
        <v>23</v>
      </c>
      <c r="G749" s="92" t="s">
        <v>761</v>
      </c>
      <c r="H749" s="92"/>
      <c r="I749" s="92">
        <v>0</v>
      </c>
      <c r="J749" s="92">
        <v>42339776</v>
      </c>
      <c r="K749" s="92" t="s">
        <v>1061</v>
      </c>
      <c r="L749" s="92">
        <v>0</v>
      </c>
      <c r="M749" s="92">
        <v>2766</v>
      </c>
      <c r="N749" s="92">
        <v>242</v>
      </c>
      <c r="O749" s="92">
        <v>242</v>
      </c>
      <c r="P749" s="92">
        <v>0</v>
      </c>
      <c r="Q749" s="92">
        <v>0</v>
      </c>
      <c r="R749" s="92">
        <v>0</v>
      </c>
      <c r="S749" s="92">
        <v>0</v>
      </c>
      <c r="T749" s="92">
        <v>0</v>
      </c>
      <c r="U749" s="92">
        <v>0</v>
      </c>
      <c r="V749" s="92">
        <v>0</v>
      </c>
      <c r="W749" s="92">
        <v>0</v>
      </c>
      <c r="X749" s="92">
        <v>0</v>
      </c>
      <c r="Y749" s="92">
        <v>0</v>
      </c>
      <c r="Z749" s="92">
        <v>0</v>
      </c>
      <c r="AA749" s="92">
        <v>0</v>
      </c>
      <c r="AB749" s="92">
        <v>964867</v>
      </c>
      <c r="AC749" s="92">
        <v>1030076</v>
      </c>
      <c r="AD749" s="92">
        <v>1099851</v>
      </c>
      <c r="AE749" s="92">
        <v>0</v>
      </c>
      <c r="AF749" s="92">
        <v>0</v>
      </c>
      <c r="AG749" s="92">
        <v>0</v>
      </c>
    </row>
    <row r="750" spans="1:35" x14ac:dyDescent="0.25">
      <c r="A750" t="str">
        <f t="shared" si="15"/>
        <v>14-4-42</v>
      </c>
      <c r="B750">
        <v>14</v>
      </c>
      <c r="C750" s="92" t="s">
        <v>1027</v>
      </c>
      <c r="D750" s="92">
        <v>4</v>
      </c>
      <c r="E750" s="92" t="s">
        <v>66</v>
      </c>
      <c r="F750" s="92">
        <v>42</v>
      </c>
      <c r="G750" s="92" t="s">
        <v>753</v>
      </c>
      <c r="H750" s="92"/>
      <c r="I750" s="92">
        <v>0</v>
      </c>
      <c r="J750" s="92">
        <v>42339776</v>
      </c>
      <c r="K750" s="92" t="s">
        <v>1061</v>
      </c>
      <c r="L750" s="92">
        <v>12562</v>
      </c>
      <c r="M750" s="92">
        <v>25638</v>
      </c>
      <c r="N750" s="92">
        <v>1733</v>
      </c>
      <c r="O750" s="92">
        <v>1733</v>
      </c>
      <c r="P750" s="92">
        <v>0</v>
      </c>
      <c r="Q750" s="92">
        <v>0</v>
      </c>
      <c r="R750" s="92">
        <v>0</v>
      </c>
      <c r="S750" s="92">
        <v>0</v>
      </c>
      <c r="T750" s="92">
        <v>0</v>
      </c>
      <c r="U750" s="92">
        <v>0</v>
      </c>
      <c r="V750" s="92">
        <v>0</v>
      </c>
      <c r="W750" s="92">
        <v>0</v>
      </c>
      <c r="X750" s="92">
        <v>0</v>
      </c>
      <c r="Y750" s="92">
        <v>0</v>
      </c>
      <c r="Z750" s="92">
        <v>0</v>
      </c>
      <c r="AA750" s="92">
        <v>0</v>
      </c>
      <c r="AB750" s="92">
        <v>101634</v>
      </c>
      <c r="AC750" s="92">
        <v>108481</v>
      </c>
      <c r="AD750" s="92">
        <v>115866</v>
      </c>
      <c r="AE750" s="92">
        <v>0</v>
      </c>
      <c r="AF750" s="92">
        <v>0</v>
      </c>
      <c r="AG750" s="92">
        <v>0</v>
      </c>
    </row>
    <row r="751" spans="1:35" x14ac:dyDescent="0.25">
      <c r="A751" t="str">
        <f t="shared" si="15"/>
        <v>44-7-95</v>
      </c>
      <c r="B751">
        <v>44</v>
      </c>
      <c r="C751" s="92" t="s">
        <v>1054</v>
      </c>
      <c r="D751" s="92">
        <v>7</v>
      </c>
      <c r="E751" s="92" t="s">
        <v>586</v>
      </c>
      <c r="F751" s="92">
        <v>95</v>
      </c>
      <c r="G751" s="92" t="s">
        <v>580</v>
      </c>
      <c r="H751" s="92"/>
      <c r="I751" s="92">
        <v>4183</v>
      </c>
      <c r="J751" s="92">
        <v>86818167</v>
      </c>
      <c r="K751" s="92" t="s">
        <v>1061</v>
      </c>
      <c r="L751" s="92">
        <v>1206</v>
      </c>
      <c r="M751" s="92">
        <v>137</v>
      </c>
      <c r="N751" s="92">
        <v>50</v>
      </c>
      <c r="O751" s="92">
        <v>50</v>
      </c>
      <c r="P751" s="92">
        <v>0</v>
      </c>
      <c r="Q751" s="92">
        <v>0</v>
      </c>
      <c r="R751" s="92">
        <v>0</v>
      </c>
      <c r="S751" s="92">
        <v>0</v>
      </c>
      <c r="T751" s="92">
        <v>0</v>
      </c>
      <c r="U751" s="92">
        <v>0</v>
      </c>
      <c r="V751" s="92">
        <v>0</v>
      </c>
      <c r="W751" s="92">
        <v>0</v>
      </c>
      <c r="X751" s="92">
        <v>0</v>
      </c>
      <c r="Y751" s="92">
        <v>0</v>
      </c>
      <c r="Z751" s="92">
        <v>0</v>
      </c>
      <c r="AA751" s="92">
        <v>0</v>
      </c>
      <c r="AB751" s="92">
        <v>35615</v>
      </c>
      <c r="AC751" s="92">
        <v>37106</v>
      </c>
      <c r="AD751" s="92">
        <v>38715</v>
      </c>
      <c r="AE751" s="92">
        <v>0</v>
      </c>
      <c r="AF751" s="92">
        <v>0</v>
      </c>
      <c r="AG751" s="92">
        <v>0</v>
      </c>
    </row>
    <row r="752" spans="1:35" x14ac:dyDescent="0.25">
      <c r="A752" t="str">
        <f t="shared" si="15"/>
        <v>44-9-58</v>
      </c>
      <c r="B752">
        <v>44</v>
      </c>
      <c r="C752" s="92" t="s">
        <v>1054</v>
      </c>
      <c r="D752" s="92">
        <v>9</v>
      </c>
      <c r="E752" s="92" t="s">
        <v>588</v>
      </c>
      <c r="F752" s="92">
        <v>58</v>
      </c>
      <c r="G752" s="92" t="s">
        <v>582</v>
      </c>
      <c r="H752" s="92"/>
      <c r="I752" s="92">
        <v>1221</v>
      </c>
      <c r="J752" s="92">
        <v>0</v>
      </c>
      <c r="K752" s="92" t="s">
        <v>1061</v>
      </c>
      <c r="L752" s="92">
        <v>2415</v>
      </c>
      <c r="M752" s="92">
        <v>284</v>
      </c>
      <c r="N752" s="92">
        <v>24</v>
      </c>
      <c r="O752" s="92">
        <v>24</v>
      </c>
      <c r="P752" s="92">
        <v>0</v>
      </c>
      <c r="Q752" s="92">
        <v>0</v>
      </c>
      <c r="R752" s="92">
        <v>0</v>
      </c>
      <c r="S752" s="92">
        <v>0</v>
      </c>
      <c r="T752" s="92">
        <v>0</v>
      </c>
      <c r="U752" s="92">
        <v>0</v>
      </c>
      <c r="V752" s="92">
        <v>0</v>
      </c>
      <c r="W752" s="92">
        <v>0</v>
      </c>
      <c r="X752" s="92">
        <v>0</v>
      </c>
      <c r="Y752" s="92">
        <v>0</v>
      </c>
      <c r="Z752" s="92">
        <v>0</v>
      </c>
      <c r="AA752" s="92">
        <v>0</v>
      </c>
      <c r="AB752" s="92">
        <v>55125</v>
      </c>
      <c r="AC752" s="92">
        <v>57857</v>
      </c>
      <c r="AD752" s="92">
        <v>60709</v>
      </c>
      <c r="AE752" s="92">
        <v>0</v>
      </c>
      <c r="AF752" s="92">
        <v>0</v>
      </c>
      <c r="AG752" s="92">
        <v>0</v>
      </c>
      <c r="AI752" s="250">
        <v>5.8929700000000002E-4</v>
      </c>
    </row>
    <row r="753" spans="1:35" x14ac:dyDescent="0.25">
      <c r="A753" t="str">
        <f t="shared" si="15"/>
        <v>44-14-28</v>
      </c>
      <c r="B753">
        <v>44</v>
      </c>
      <c r="C753" s="92" t="s">
        <v>1054</v>
      </c>
      <c r="D753" s="92">
        <v>14</v>
      </c>
      <c r="E753" s="92" t="s">
        <v>571</v>
      </c>
      <c r="F753" s="92">
        <v>28</v>
      </c>
      <c r="G753" s="92" t="s">
        <v>584</v>
      </c>
      <c r="H753" s="92"/>
      <c r="I753" s="92">
        <v>0</v>
      </c>
      <c r="J753" s="92">
        <v>108800346</v>
      </c>
      <c r="K753" s="92" t="s">
        <v>1061</v>
      </c>
      <c r="L753" s="92">
        <v>904</v>
      </c>
      <c r="M753" s="92">
        <v>117</v>
      </c>
      <c r="N753" s="92">
        <v>48</v>
      </c>
      <c r="O753" s="92">
        <v>48</v>
      </c>
      <c r="P753" s="92">
        <v>0</v>
      </c>
      <c r="Q753" s="92">
        <v>0</v>
      </c>
      <c r="R753" s="92">
        <v>0</v>
      </c>
      <c r="S753" s="92">
        <v>0</v>
      </c>
      <c r="T753" s="92">
        <v>0</v>
      </c>
      <c r="U753" s="92">
        <v>0</v>
      </c>
      <c r="V753" s="92">
        <v>0</v>
      </c>
      <c r="W753" s="92">
        <v>0</v>
      </c>
      <c r="X753" s="92">
        <v>0</v>
      </c>
      <c r="Y753" s="92">
        <v>0</v>
      </c>
      <c r="Z753" s="92">
        <v>0</v>
      </c>
      <c r="AA753" s="92">
        <v>0</v>
      </c>
      <c r="AB753" s="92">
        <v>34831</v>
      </c>
      <c r="AC753" s="92">
        <v>36233</v>
      </c>
      <c r="AD753" s="92">
        <v>34381</v>
      </c>
      <c r="AE753" s="92">
        <v>0</v>
      </c>
      <c r="AF753" s="92">
        <v>0</v>
      </c>
      <c r="AG753" s="92">
        <v>0</v>
      </c>
      <c r="AI753" s="250">
        <v>1.6240699999999999E-4</v>
      </c>
    </row>
    <row r="754" spans="1:35" x14ac:dyDescent="0.25">
      <c r="A754" t="str">
        <f t="shared" si="15"/>
        <v>44-4-182</v>
      </c>
      <c r="B754">
        <v>44</v>
      </c>
      <c r="C754" s="92" t="s">
        <v>1054</v>
      </c>
      <c r="D754" s="92">
        <v>4</v>
      </c>
      <c r="E754" s="92" t="s">
        <v>66</v>
      </c>
      <c r="F754" s="92">
        <v>182</v>
      </c>
      <c r="G754" s="92" t="s">
        <v>1009</v>
      </c>
      <c r="H754" s="92"/>
      <c r="I754" s="92">
        <v>0</v>
      </c>
      <c r="J754" s="92">
        <v>108800346</v>
      </c>
      <c r="K754" s="92" t="s">
        <v>1061</v>
      </c>
      <c r="L754" s="92">
        <v>0</v>
      </c>
      <c r="M754" s="92">
        <v>64</v>
      </c>
      <c r="N754" s="92">
        <v>366</v>
      </c>
      <c r="O754" s="92">
        <v>366</v>
      </c>
      <c r="P754" s="92">
        <v>0</v>
      </c>
      <c r="Q754" s="92">
        <v>0</v>
      </c>
      <c r="R754" s="92">
        <v>0</v>
      </c>
      <c r="S754" s="92">
        <v>0</v>
      </c>
      <c r="T754" s="92">
        <v>0</v>
      </c>
      <c r="U754" s="92">
        <v>0</v>
      </c>
      <c r="V754" s="92">
        <v>0</v>
      </c>
      <c r="W754" s="92">
        <v>0</v>
      </c>
      <c r="X754" s="92">
        <v>0</v>
      </c>
      <c r="Y754" s="92">
        <v>0</v>
      </c>
      <c r="Z754" s="92">
        <v>0</v>
      </c>
      <c r="AA754" s="92">
        <v>0</v>
      </c>
      <c r="AB754" s="92">
        <v>9022</v>
      </c>
      <c r="AC754" s="92">
        <v>9375</v>
      </c>
      <c r="AD754" s="92">
        <v>9306</v>
      </c>
      <c r="AE754" s="92">
        <v>0</v>
      </c>
      <c r="AF754" s="92">
        <v>0</v>
      </c>
      <c r="AG754" s="92">
        <v>0</v>
      </c>
    </row>
    <row r="755" spans="1:35" x14ac:dyDescent="0.25">
      <c r="A755" t="str">
        <f t="shared" si="15"/>
        <v>26-15-21</v>
      </c>
      <c r="B755">
        <v>26</v>
      </c>
      <c r="C755" s="92" t="s">
        <v>1039</v>
      </c>
      <c r="D755" s="92">
        <v>15</v>
      </c>
      <c r="E755" s="92" t="s">
        <v>152</v>
      </c>
      <c r="F755" s="92">
        <v>21</v>
      </c>
      <c r="G755" s="92" t="s">
        <v>880</v>
      </c>
      <c r="H755" s="92"/>
      <c r="I755" s="92">
        <v>204271</v>
      </c>
      <c r="J755" s="92">
        <v>102751827</v>
      </c>
      <c r="K755" s="92" t="s">
        <v>1061</v>
      </c>
      <c r="L755" s="92">
        <v>0</v>
      </c>
      <c r="M755" s="92">
        <v>5391</v>
      </c>
      <c r="N755" s="92">
        <v>1057</v>
      </c>
      <c r="O755" s="92">
        <v>1057</v>
      </c>
      <c r="P755" s="92">
        <v>0</v>
      </c>
      <c r="Q755" s="92">
        <v>0</v>
      </c>
      <c r="R755" s="92">
        <v>0</v>
      </c>
      <c r="S755" s="92">
        <v>0</v>
      </c>
      <c r="T755" s="92">
        <v>0</v>
      </c>
      <c r="U755" s="92">
        <v>0</v>
      </c>
      <c r="V755" s="92">
        <v>0</v>
      </c>
      <c r="W755" s="92">
        <v>0</v>
      </c>
      <c r="X755" s="92">
        <v>0</v>
      </c>
      <c r="Y755" s="92">
        <v>0</v>
      </c>
      <c r="Z755" s="92">
        <v>0</v>
      </c>
      <c r="AA755" s="92">
        <v>0</v>
      </c>
      <c r="AB755" s="92">
        <v>444700</v>
      </c>
      <c r="AC755" s="92">
        <v>467744</v>
      </c>
      <c r="AD755" s="92">
        <v>0</v>
      </c>
      <c r="AE755" s="92">
        <v>0</v>
      </c>
      <c r="AF755" s="92">
        <v>0</v>
      </c>
      <c r="AG755" s="92">
        <v>0</v>
      </c>
    </row>
    <row r="756" spans="1:35" x14ac:dyDescent="0.25">
      <c r="A756" t="str">
        <f t="shared" si="15"/>
        <v>10-7-96</v>
      </c>
      <c r="B756">
        <v>10</v>
      </c>
      <c r="C756" s="92" t="s">
        <v>1023</v>
      </c>
      <c r="D756" s="92">
        <v>7</v>
      </c>
      <c r="E756" s="92" t="s">
        <v>586</v>
      </c>
      <c r="F756" s="92">
        <v>96</v>
      </c>
      <c r="G756" s="92" t="s">
        <v>204</v>
      </c>
      <c r="H756" s="92"/>
      <c r="I756" s="92">
        <v>1301</v>
      </c>
      <c r="J756" s="92">
        <v>2450455</v>
      </c>
      <c r="K756" s="92" t="s">
        <v>1061</v>
      </c>
      <c r="L756" s="92">
        <v>275</v>
      </c>
      <c r="M756" s="92">
        <v>43</v>
      </c>
      <c r="N756" s="92">
        <v>8</v>
      </c>
      <c r="O756" s="92">
        <v>8</v>
      </c>
      <c r="P756" s="92">
        <v>0</v>
      </c>
      <c r="Q756" s="92">
        <v>0</v>
      </c>
      <c r="R756" s="92">
        <v>0</v>
      </c>
      <c r="S756" s="92">
        <v>0</v>
      </c>
      <c r="T756" s="92">
        <v>0</v>
      </c>
      <c r="U756" s="92">
        <v>0</v>
      </c>
      <c r="V756" s="92">
        <v>0</v>
      </c>
      <c r="W756" s="92">
        <v>0</v>
      </c>
      <c r="X756" s="92">
        <v>0</v>
      </c>
      <c r="Y756" s="92">
        <v>0</v>
      </c>
      <c r="Z756" s="92">
        <v>0</v>
      </c>
      <c r="AA756" s="92">
        <v>0</v>
      </c>
      <c r="AB756" s="92">
        <v>11127</v>
      </c>
      <c r="AC756" s="92">
        <v>11627</v>
      </c>
      <c r="AD756" s="92">
        <v>12215</v>
      </c>
      <c r="AE756" s="92">
        <v>0</v>
      </c>
      <c r="AF756" s="92">
        <v>0</v>
      </c>
      <c r="AG756" s="92">
        <v>0</v>
      </c>
    </row>
    <row r="757" spans="1:35" x14ac:dyDescent="0.25">
      <c r="A757" t="str">
        <f t="shared" si="15"/>
        <v>34-2-34</v>
      </c>
      <c r="B757">
        <v>34</v>
      </c>
      <c r="C757" s="92" t="s">
        <v>1047</v>
      </c>
      <c r="D757" s="92">
        <v>2</v>
      </c>
      <c r="E757" s="92" t="s">
        <v>53</v>
      </c>
      <c r="F757" s="92">
        <v>34</v>
      </c>
      <c r="G757" s="92" t="s">
        <v>487</v>
      </c>
      <c r="H757" s="92"/>
      <c r="I757" s="92">
        <v>0</v>
      </c>
      <c r="J757" s="92">
        <v>103969951</v>
      </c>
      <c r="K757" s="92" t="s">
        <v>1061</v>
      </c>
      <c r="L757" s="92">
        <v>258789</v>
      </c>
      <c r="M757" s="92">
        <v>74251</v>
      </c>
      <c r="N757" s="92">
        <v>26474</v>
      </c>
      <c r="O757" s="92">
        <v>26474</v>
      </c>
      <c r="P757" s="92">
        <v>0</v>
      </c>
      <c r="Q757" s="92">
        <v>0</v>
      </c>
      <c r="R757" s="92">
        <v>0</v>
      </c>
      <c r="S757" s="92">
        <v>0</v>
      </c>
      <c r="T757" s="92">
        <v>0</v>
      </c>
      <c r="U757" s="92">
        <v>0</v>
      </c>
      <c r="V757" s="92">
        <v>0</v>
      </c>
      <c r="W757" s="92">
        <v>0</v>
      </c>
      <c r="X757" s="92">
        <v>0</v>
      </c>
      <c r="Y757" s="92">
        <v>0</v>
      </c>
      <c r="Z757" s="92">
        <v>0</v>
      </c>
      <c r="AA757" s="92">
        <v>0</v>
      </c>
      <c r="AB757" s="92">
        <v>7304673</v>
      </c>
      <c r="AC757" s="92">
        <v>7665560</v>
      </c>
      <c r="AD757" s="92">
        <v>7996705</v>
      </c>
      <c r="AE757" s="92">
        <v>0</v>
      </c>
      <c r="AF757" s="92">
        <v>0</v>
      </c>
      <c r="AG757" s="92">
        <v>0</v>
      </c>
    </row>
    <row r="758" spans="1:35" x14ac:dyDescent="0.25">
      <c r="A758" t="str">
        <f t="shared" si="15"/>
        <v>7-9-59</v>
      </c>
      <c r="B758">
        <v>7</v>
      </c>
      <c r="C758" s="92" t="s">
        <v>1057</v>
      </c>
      <c r="D758" s="92">
        <v>9</v>
      </c>
      <c r="E758" s="92" t="s">
        <v>588</v>
      </c>
      <c r="F758" s="92">
        <v>59</v>
      </c>
      <c r="G758" s="92" t="s">
        <v>692</v>
      </c>
      <c r="H758" s="92"/>
      <c r="I758" s="92">
        <v>0</v>
      </c>
      <c r="J758" s="92">
        <v>0</v>
      </c>
      <c r="K758" s="92">
        <v>1</v>
      </c>
      <c r="L758" s="92">
        <v>31144</v>
      </c>
      <c r="M758" s="92">
        <v>4197</v>
      </c>
      <c r="N758" s="92">
        <v>1851</v>
      </c>
      <c r="O758" s="92">
        <v>1851</v>
      </c>
      <c r="P758" s="92">
        <v>0</v>
      </c>
      <c r="Q758" s="92">
        <v>0</v>
      </c>
      <c r="R758" s="92">
        <v>0</v>
      </c>
      <c r="S758" s="92">
        <v>0</v>
      </c>
      <c r="T758" s="92">
        <v>0</v>
      </c>
      <c r="U758" s="92">
        <v>0</v>
      </c>
      <c r="V758" s="92">
        <v>0</v>
      </c>
      <c r="W758" s="92">
        <v>0</v>
      </c>
      <c r="X758" s="92">
        <v>0</v>
      </c>
      <c r="Y758" s="92">
        <v>0</v>
      </c>
      <c r="Z758" s="92">
        <v>0</v>
      </c>
      <c r="AA758" s="92">
        <v>0</v>
      </c>
      <c r="AB758" s="92">
        <v>788532</v>
      </c>
      <c r="AC758" s="92">
        <v>830249</v>
      </c>
      <c r="AD758" s="92">
        <v>865135</v>
      </c>
      <c r="AE758" s="92">
        <v>0</v>
      </c>
      <c r="AF758" s="92">
        <v>0</v>
      </c>
      <c r="AG758" s="92">
        <v>0</v>
      </c>
      <c r="AI758" s="250">
        <v>5.6773700000000002E-4</v>
      </c>
    </row>
    <row r="759" spans="1:35" x14ac:dyDescent="0.25">
      <c r="A759" t="str">
        <f t="shared" si="15"/>
        <v>16-9-59</v>
      </c>
      <c r="B759">
        <v>16</v>
      </c>
      <c r="C759" s="92" t="s">
        <v>1029</v>
      </c>
      <c r="D759" s="92">
        <v>9</v>
      </c>
      <c r="E759" s="92" t="s">
        <v>588</v>
      </c>
      <c r="F759" s="92">
        <v>59</v>
      </c>
      <c r="G759" s="92" t="s">
        <v>692</v>
      </c>
      <c r="H759" s="92"/>
      <c r="I759" s="92">
        <v>0</v>
      </c>
      <c r="J759" s="92">
        <v>0</v>
      </c>
      <c r="K759" s="92">
        <v>1</v>
      </c>
      <c r="L759" s="92">
        <v>31144</v>
      </c>
      <c r="M759" s="92">
        <v>4197</v>
      </c>
      <c r="N759" s="92">
        <v>1851</v>
      </c>
      <c r="O759" s="92">
        <v>1851</v>
      </c>
      <c r="P759" s="92">
        <v>0</v>
      </c>
      <c r="Q759" s="92">
        <v>0</v>
      </c>
      <c r="R759" s="92">
        <v>0</v>
      </c>
      <c r="S759" s="92">
        <v>0</v>
      </c>
      <c r="T759" s="92">
        <v>0</v>
      </c>
      <c r="U759" s="92">
        <v>0</v>
      </c>
      <c r="V759" s="92">
        <v>0</v>
      </c>
      <c r="W759" s="92">
        <v>0</v>
      </c>
      <c r="X759" s="92">
        <v>0</v>
      </c>
      <c r="Y759" s="92">
        <v>0</v>
      </c>
      <c r="Z759" s="92">
        <v>0</v>
      </c>
      <c r="AA759" s="92">
        <v>0</v>
      </c>
      <c r="AB759" s="92">
        <v>788532</v>
      </c>
      <c r="AC759" s="92">
        <v>830249</v>
      </c>
      <c r="AD759" s="92">
        <v>865135</v>
      </c>
      <c r="AE759" s="92">
        <v>0</v>
      </c>
      <c r="AF759" s="92">
        <v>0</v>
      </c>
      <c r="AG759" s="92">
        <v>0</v>
      </c>
      <c r="AI759" s="250">
        <v>5.6773700000000002E-4</v>
      </c>
    </row>
    <row r="760" spans="1:35" x14ac:dyDescent="0.25">
      <c r="A760" t="str">
        <f t="shared" si="15"/>
        <v>34-9-59</v>
      </c>
      <c r="B760">
        <v>34</v>
      </c>
      <c r="C760" s="92" t="s">
        <v>1047</v>
      </c>
      <c r="D760" s="92">
        <v>9</v>
      </c>
      <c r="E760" s="92" t="s">
        <v>588</v>
      </c>
      <c r="F760" s="92">
        <v>59</v>
      </c>
      <c r="G760" s="92" t="s">
        <v>692</v>
      </c>
      <c r="H760" s="92"/>
      <c r="I760" s="92">
        <v>0</v>
      </c>
      <c r="J760" s="92">
        <v>0</v>
      </c>
      <c r="K760" s="92">
        <v>1</v>
      </c>
      <c r="L760" s="92">
        <v>31144</v>
      </c>
      <c r="M760" s="92">
        <v>4197</v>
      </c>
      <c r="N760" s="92">
        <v>1851</v>
      </c>
      <c r="O760" s="92">
        <v>1851</v>
      </c>
      <c r="P760" s="92">
        <v>0</v>
      </c>
      <c r="Q760" s="92">
        <v>0</v>
      </c>
      <c r="R760" s="92">
        <v>0</v>
      </c>
      <c r="S760" s="92">
        <v>0</v>
      </c>
      <c r="T760" s="92">
        <v>0</v>
      </c>
      <c r="U760" s="92">
        <v>0</v>
      </c>
      <c r="V760" s="92">
        <v>0</v>
      </c>
      <c r="W760" s="92">
        <v>0</v>
      </c>
      <c r="X760" s="92">
        <v>0</v>
      </c>
      <c r="Y760" s="92">
        <v>0</v>
      </c>
      <c r="Z760" s="92">
        <v>0</v>
      </c>
      <c r="AA760" s="92">
        <v>0</v>
      </c>
      <c r="AB760" s="92">
        <v>788532</v>
      </c>
      <c r="AC760" s="92">
        <v>830249</v>
      </c>
      <c r="AD760" s="92">
        <v>865135</v>
      </c>
      <c r="AE760" s="92">
        <v>0</v>
      </c>
      <c r="AF760" s="92">
        <v>0</v>
      </c>
      <c r="AG760" s="92">
        <v>0</v>
      </c>
      <c r="AI760" s="250">
        <v>5.6773700000000002E-4</v>
      </c>
    </row>
    <row r="761" spans="1:35" x14ac:dyDescent="0.25">
      <c r="A761" t="str">
        <f t="shared" si="15"/>
        <v>34-11-39</v>
      </c>
      <c r="B761">
        <v>34</v>
      </c>
      <c r="C761" s="92" t="s">
        <v>1047</v>
      </c>
      <c r="D761" s="92">
        <v>11</v>
      </c>
      <c r="E761" s="92" t="s">
        <v>1062</v>
      </c>
      <c r="F761" s="92">
        <v>39</v>
      </c>
      <c r="G761" s="92" t="s">
        <v>1246</v>
      </c>
      <c r="H761" s="92"/>
      <c r="I761" s="92">
        <v>0</v>
      </c>
      <c r="J761" s="92">
        <v>103969951</v>
      </c>
      <c r="K761" s="92" t="s">
        <v>1061</v>
      </c>
      <c r="L761" s="92">
        <v>67957</v>
      </c>
      <c r="M761" s="92">
        <v>17866</v>
      </c>
      <c r="N761" s="92">
        <v>6697</v>
      </c>
      <c r="O761" s="92">
        <v>6640</v>
      </c>
      <c r="P761" s="92">
        <v>0</v>
      </c>
      <c r="Q761" s="92">
        <v>0</v>
      </c>
      <c r="R761" s="92">
        <v>0</v>
      </c>
      <c r="S761" s="92">
        <v>0</v>
      </c>
      <c r="T761" s="92">
        <v>0</v>
      </c>
      <c r="U761" s="92">
        <v>0</v>
      </c>
      <c r="V761" s="92">
        <v>0</v>
      </c>
      <c r="W761" s="92">
        <v>0</v>
      </c>
      <c r="X761" s="92">
        <v>0</v>
      </c>
      <c r="Y761" s="92">
        <v>0</v>
      </c>
      <c r="Z761" s="92">
        <v>0</v>
      </c>
      <c r="AA761" s="92">
        <v>0</v>
      </c>
      <c r="AB761" s="92">
        <v>1859518</v>
      </c>
      <c r="AC761" s="92">
        <v>1951434</v>
      </c>
      <c r="AD761" s="92">
        <v>2035832</v>
      </c>
      <c r="AE761" s="92">
        <v>0</v>
      </c>
      <c r="AF761" s="92">
        <v>0</v>
      </c>
      <c r="AG761" s="92">
        <v>0</v>
      </c>
    </row>
    <row r="762" spans="1:35" x14ac:dyDescent="0.25">
      <c r="A762" t="str">
        <f t="shared" si="15"/>
        <v>16-4-135</v>
      </c>
      <c r="B762">
        <v>16</v>
      </c>
      <c r="C762" s="92" t="s">
        <v>1029</v>
      </c>
      <c r="D762" s="92">
        <v>4</v>
      </c>
      <c r="E762" s="92" t="s">
        <v>66</v>
      </c>
      <c r="F762" s="92">
        <v>135</v>
      </c>
      <c r="G762" s="92" t="s">
        <v>767</v>
      </c>
      <c r="H762" s="92"/>
      <c r="I762" s="92">
        <v>0</v>
      </c>
      <c r="J762" s="92">
        <v>1341400</v>
      </c>
      <c r="K762" s="92">
        <v>1</v>
      </c>
      <c r="L762" s="92">
        <v>76853</v>
      </c>
      <c r="M762" s="92">
        <v>42280</v>
      </c>
      <c r="N762" s="92">
        <v>14801</v>
      </c>
      <c r="O762" s="92">
        <v>14801</v>
      </c>
      <c r="P762" s="92">
        <v>0</v>
      </c>
      <c r="Q762" s="92">
        <v>0</v>
      </c>
      <c r="R762" s="92">
        <v>0</v>
      </c>
      <c r="S762" s="92">
        <v>0</v>
      </c>
      <c r="T762" s="92">
        <v>0</v>
      </c>
      <c r="U762" s="92">
        <v>0</v>
      </c>
      <c r="V762" s="92">
        <v>0</v>
      </c>
      <c r="W762" s="92">
        <v>0</v>
      </c>
      <c r="X762" s="92">
        <v>0</v>
      </c>
      <c r="Y762" s="92">
        <v>0</v>
      </c>
      <c r="Z762" s="92">
        <v>0</v>
      </c>
      <c r="AA762" s="92">
        <v>0</v>
      </c>
      <c r="AB762" s="92">
        <v>142545</v>
      </c>
      <c r="AC762" s="92">
        <v>149197</v>
      </c>
      <c r="AD762" s="92">
        <v>155311</v>
      </c>
      <c r="AE762" s="92">
        <v>0</v>
      </c>
      <c r="AF762" s="92">
        <v>0</v>
      </c>
      <c r="AG762" s="92">
        <v>0</v>
      </c>
    </row>
    <row r="763" spans="1:35" x14ac:dyDescent="0.25">
      <c r="A763" t="str">
        <f t="shared" si="15"/>
        <v>27-4-135</v>
      </c>
      <c r="B763">
        <v>27</v>
      </c>
      <c r="C763" s="92" t="s">
        <v>1040</v>
      </c>
      <c r="D763" s="92">
        <v>4</v>
      </c>
      <c r="E763" s="92" t="s">
        <v>66</v>
      </c>
      <c r="F763" s="92">
        <v>135</v>
      </c>
      <c r="G763" s="92" t="s">
        <v>767</v>
      </c>
      <c r="H763" s="92"/>
      <c r="I763" s="92">
        <v>0</v>
      </c>
      <c r="J763" s="92">
        <v>9270885</v>
      </c>
      <c r="K763" s="92">
        <v>1</v>
      </c>
      <c r="L763" s="92">
        <v>76853</v>
      </c>
      <c r="M763" s="92">
        <v>42280</v>
      </c>
      <c r="N763" s="92">
        <v>14801</v>
      </c>
      <c r="O763" s="92">
        <v>14801</v>
      </c>
      <c r="P763" s="92">
        <v>0</v>
      </c>
      <c r="Q763" s="92">
        <v>0</v>
      </c>
      <c r="R763" s="92">
        <v>0</v>
      </c>
      <c r="S763" s="92">
        <v>0</v>
      </c>
      <c r="T763" s="92">
        <v>0</v>
      </c>
      <c r="U763" s="92">
        <v>0</v>
      </c>
      <c r="V763" s="92">
        <v>0</v>
      </c>
      <c r="W763" s="92">
        <v>0</v>
      </c>
      <c r="X763" s="92">
        <v>0</v>
      </c>
      <c r="Y763" s="92">
        <v>0</v>
      </c>
      <c r="Z763" s="92">
        <v>0</v>
      </c>
      <c r="AA763" s="92">
        <v>0</v>
      </c>
      <c r="AB763" s="92">
        <v>142545</v>
      </c>
      <c r="AC763" s="92">
        <v>149197</v>
      </c>
      <c r="AD763" s="92">
        <v>155311</v>
      </c>
      <c r="AE763" s="92">
        <v>0</v>
      </c>
      <c r="AF763" s="92">
        <v>0</v>
      </c>
      <c r="AG763" s="92">
        <v>0</v>
      </c>
    </row>
    <row r="764" spans="1:35" x14ac:dyDescent="0.25">
      <c r="A764" t="str">
        <f t="shared" si="15"/>
        <v>32-4-135</v>
      </c>
      <c r="B764">
        <v>32</v>
      </c>
      <c r="C764" s="92" t="s">
        <v>1045</v>
      </c>
      <c r="D764" s="92">
        <v>4</v>
      </c>
      <c r="E764" s="92" t="s">
        <v>66</v>
      </c>
      <c r="F764" s="92">
        <v>135</v>
      </c>
      <c r="G764" s="92" t="s">
        <v>767</v>
      </c>
      <c r="H764" s="92"/>
      <c r="I764" s="92">
        <v>0</v>
      </c>
      <c r="J764" s="92">
        <v>22744061</v>
      </c>
      <c r="K764" s="92">
        <v>1</v>
      </c>
      <c r="L764" s="92">
        <v>76853</v>
      </c>
      <c r="M764" s="92">
        <v>42280</v>
      </c>
      <c r="N764" s="92">
        <v>14801</v>
      </c>
      <c r="O764" s="92">
        <v>14801</v>
      </c>
      <c r="P764" s="92">
        <v>0</v>
      </c>
      <c r="Q764" s="92">
        <v>0</v>
      </c>
      <c r="R764" s="92">
        <v>0</v>
      </c>
      <c r="S764" s="92">
        <v>0</v>
      </c>
      <c r="T764" s="92">
        <v>0</v>
      </c>
      <c r="U764" s="92">
        <v>0</v>
      </c>
      <c r="V764" s="92">
        <v>0</v>
      </c>
      <c r="W764" s="92">
        <v>0</v>
      </c>
      <c r="X764" s="92">
        <v>0</v>
      </c>
      <c r="Y764" s="92">
        <v>0</v>
      </c>
      <c r="Z764" s="92">
        <v>0</v>
      </c>
      <c r="AA764" s="92">
        <v>0</v>
      </c>
      <c r="AB764" s="92">
        <v>142545</v>
      </c>
      <c r="AC764" s="92">
        <v>149197</v>
      </c>
      <c r="AD764" s="92">
        <v>155311</v>
      </c>
      <c r="AE764" s="92">
        <v>0</v>
      </c>
      <c r="AF764" s="92">
        <v>0</v>
      </c>
      <c r="AG764" s="92">
        <v>0</v>
      </c>
    </row>
    <row r="765" spans="1:35" x14ac:dyDescent="0.25">
      <c r="A765" t="str">
        <f t="shared" si="15"/>
        <v>34-4-135</v>
      </c>
      <c r="B765">
        <v>34</v>
      </c>
      <c r="C765" s="92" t="s">
        <v>1047</v>
      </c>
      <c r="D765" s="92">
        <v>4</v>
      </c>
      <c r="E765" s="92" t="s">
        <v>66</v>
      </c>
      <c r="F765" s="92">
        <v>135</v>
      </c>
      <c r="G765" s="92" t="s">
        <v>767</v>
      </c>
      <c r="H765" s="92"/>
      <c r="I765" s="92">
        <v>0</v>
      </c>
      <c r="J765" s="92">
        <v>103969951</v>
      </c>
      <c r="K765" s="92">
        <v>1</v>
      </c>
      <c r="L765" s="92">
        <v>76853</v>
      </c>
      <c r="M765" s="92">
        <v>42280</v>
      </c>
      <c r="N765" s="92">
        <v>14801</v>
      </c>
      <c r="O765" s="92">
        <v>14801</v>
      </c>
      <c r="P765" s="92">
        <v>0</v>
      </c>
      <c r="Q765" s="92">
        <v>0</v>
      </c>
      <c r="R765" s="92">
        <v>0</v>
      </c>
      <c r="S765" s="92">
        <v>0</v>
      </c>
      <c r="T765" s="92">
        <v>0</v>
      </c>
      <c r="U765" s="92">
        <v>0</v>
      </c>
      <c r="V765" s="92">
        <v>0</v>
      </c>
      <c r="W765" s="92">
        <v>0</v>
      </c>
      <c r="X765" s="92">
        <v>0</v>
      </c>
      <c r="Y765" s="92">
        <v>0</v>
      </c>
      <c r="Z765" s="92">
        <v>0</v>
      </c>
      <c r="AA765" s="92">
        <v>0</v>
      </c>
      <c r="AB765" s="92">
        <v>142545</v>
      </c>
      <c r="AC765" s="92">
        <v>149197</v>
      </c>
      <c r="AD765" s="92">
        <v>155311</v>
      </c>
      <c r="AE765" s="92">
        <v>0</v>
      </c>
      <c r="AF765" s="92">
        <v>0</v>
      </c>
      <c r="AG765" s="92">
        <v>0</v>
      </c>
    </row>
    <row r="766" spans="1:35" x14ac:dyDescent="0.25">
      <c r="A766" t="str">
        <f t="shared" si="15"/>
        <v>21-7-97</v>
      </c>
      <c r="B766">
        <v>21</v>
      </c>
      <c r="C766" s="92" t="s">
        <v>1034</v>
      </c>
      <c r="D766" s="92">
        <v>7</v>
      </c>
      <c r="E766" s="92" t="s">
        <v>586</v>
      </c>
      <c r="F766" s="92">
        <v>97</v>
      </c>
      <c r="G766" s="92" t="s">
        <v>324</v>
      </c>
      <c r="H766" s="92"/>
      <c r="I766" s="92">
        <v>0</v>
      </c>
      <c r="J766" s="92">
        <v>6363950</v>
      </c>
      <c r="K766" s="92" t="s">
        <v>1061</v>
      </c>
      <c r="L766" s="92">
        <v>126</v>
      </c>
      <c r="M766" s="92">
        <v>3</v>
      </c>
      <c r="N766" s="92">
        <v>4</v>
      </c>
      <c r="O766" s="92">
        <v>4</v>
      </c>
      <c r="P766" s="92">
        <v>0</v>
      </c>
      <c r="Q766" s="92">
        <v>0</v>
      </c>
      <c r="R766" s="92">
        <v>0</v>
      </c>
      <c r="S766" s="92">
        <v>0</v>
      </c>
      <c r="T766" s="92">
        <v>0</v>
      </c>
      <c r="U766" s="92">
        <v>0</v>
      </c>
      <c r="V766" s="92">
        <v>0</v>
      </c>
      <c r="W766" s="92">
        <v>0</v>
      </c>
      <c r="X766" s="92">
        <v>0</v>
      </c>
      <c r="Y766" s="92">
        <v>0</v>
      </c>
      <c r="Z766" s="92">
        <v>0</v>
      </c>
      <c r="AA766" s="92">
        <v>0</v>
      </c>
      <c r="AB766" s="92">
        <v>7200</v>
      </c>
      <c r="AC766" s="92">
        <v>7554</v>
      </c>
      <c r="AD766" s="92">
        <v>8040</v>
      </c>
      <c r="AE766" s="92">
        <v>0</v>
      </c>
      <c r="AF766" s="92">
        <v>0</v>
      </c>
      <c r="AG766" s="92">
        <v>0</v>
      </c>
    </row>
    <row r="767" spans="1:35" x14ac:dyDescent="0.25">
      <c r="A767" t="str">
        <f t="shared" si="15"/>
        <v>6-7-98</v>
      </c>
      <c r="B767">
        <v>6</v>
      </c>
      <c r="C767" s="92" t="s">
        <v>1020</v>
      </c>
      <c r="D767" s="92">
        <v>7</v>
      </c>
      <c r="E767" s="92" t="s">
        <v>586</v>
      </c>
      <c r="F767" s="92">
        <v>98</v>
      </c>
      <c r="G767" s="92" t="s">
        <v>142</v>
      </c>
      <c r="H767" s="92"/>
      <c r="I767" s="92">
        <v>0</v>
      </c>
      <c r="J767" s="92">
        <v>28924334</v>
      </c>
      <c r="K767" s="92" t="s">
        <v>1061</v>
      </c>
      <c r="L767" s="92">
        <v>2268</v>
      </c>
      <c r="M767" s="92">
        <v>254</v>
      </c>
      <c r="N767" s="92">
        <v>409</v>
      </c>
      <c r="O767" s="92">
        <v>409</v>
      </c>
      <c r="P767" s="92">
        <v>0</v>
      </c>
      <c r="Q767" s="92">
        <v>0</v>
      </c>
      <c r="R767" s="92">
        <v>0</v>
      </c>
      <c r="S767" s="92">
        <v>0</v>
      </c>
      <c r="T767" s="92">
        <v>0</v>
      </c>
      <c r="U767" s="92">
        <v>0</v>
      </c>
      <c r="V767" s="92">
        <v>0</v>
      </c>
      <c r="W767" s="92">
        <v>0</v>
      </c>
      <c r="X767" s="92">
        <v>0</v>
      </c>
      <c r="Y767" s="92">
        <v>0</v>
      </c>
      <c r="Z767" s="92">
        <v>0</v>
      </c>
      <c r="AA767" s="92">
        <v>0</v>
      </c>
      <c r="AB767" s="92">
        <v>22402</v>
      </c>
      <c r="AC767" s="92">
        <v>23353</v>
      </c>
      <c r="AD767" s="92">
        <v>23353</v>
      </c>
      <c r="AE767" s="92">
        <v>0</v>
      </c>
      <c r="AF767" s="92">
        <v>0</v>
      </c>
      <c r="AG767" s="92">
        <v>0</v>
      </c>
    </row>
    <row r="768" spans="1:35" x14ac:dyDescent="0.25">
      <c r="A768" t="str">
        <f t="shared" si="15"/>
        <v>6-20-54</v>
      </c>
      <c r="B768">
        <v>6</v>
      </c>
      <c r="C768" s="92" t="s">
        <v>1020</v>
      </c>
      <c r="D768" s="92">
        <v>20</v>
      </c>
      <c r="E768" s="92" t="s">
        <v>153</v>
      </c>
      <c r="F768" s="92">
        <v>54</v>
      </c>
      <c r="G768" s="92" t="s">
        <v>689</v>
      </c>
      <c r="H768" s="92"/>
      <c r="I768" s="92">
        <v>60</v>
      </c>
      <c r="J768" s="92">
        <v>182224</v>
      </c>
      <c r="K768" s="92" t="s">
        <v>1061</v>
      </c>
      <c r="L768" s="92">
        <v>0</v>
      </c>
      <c r="M768" s="92">
        <v>30</v>
      </c>
      <c r="N768" s="92">
        <v>9</v>
      </c>
      <c r="O768" s="92">
        <v>9</v>
      </c>
      <c r="P768" s="92">
        <v>0</v>
      </c>
      <c r="Q768" s="92">
        <v>0</v>
      </c>
      <c r="R768" s="92">
        <v>0</v>
      </c>
      <c r="S768" s="92">
        <v>0</v>
      </c>
      <c r="T768" s="92">
        <v>0</v>
      </c>
      <c r="U768" s="92">
        <v>0</v>
      </c>
      <c r="V768" s="92">
        <v>0</v>
      </c>
      <c r="W768" s="92">
        <v>0</v>
      </c>
      <c r="X768" s="92">
        <v>0</v>
      </c>
      <c r="Y768" s="92">
        <v>0</v>
      </c>
      <c r="Z768" s="92">
        <v>0</v>
      </c>
      <c r="AA768" s="92">
        <v>0</v>
      </c>
      <c r="AB768" s="92">
        <v>16226</v>
      </c>
      <c r="AC768" s="92">
        <v>16996</v>
      </c>
      <c r="AD768" s="92">
        <v>16996</v>
      </c>
      <c r="AE768" s="92">
        <v>0</v>
      </c>
      <c r="AF768" s="92">
        <v>0</v>
      </c>
      <c r="AG768" s="92">
        <v>0</v>
      </c>
    </row>
    <row r="769" spans="1:35" x14ac:dyDescent="0.25">
      <c r="A769" t="str">
        <f t="shared" si="15"/>
        <v>29-7-99</v>
      </c>
      <c r="B769">
        <v>29</v>
      </c>
      <c r="C769" s="92" t="s">
        <v>1042</v>
      </c>
      <c r="D769" s="92">
        <v>7</v>
      </c>
      <c r="E769" s="92" t="s">
        <v>586</v>
      </c>
      <c r="F769" s="92">
        <v>99</v>
      </c>
      <c r="G769" s="92" t="s">
        <v>444</v>
      </c>
      <c r="H769" s="92"/>
      <c r="I769" s="92">
        <v>0</v>
      </c>
      <c r="J769" s="92">
        <v>27140102</v>
      </c>
      <c r="K769" s="92" t="s">
        <v>1061</v>
      </c>
      <c r="L769" s="92">
        <v>1124</v>
      </c>
      <c r="M769" s="92">
        <v>3338</v>
      </c>
      <c r="N769" s="92">
        <v>762</v>
      </c>
      <c r="O769" s="92">
        <v>762</v>
      </c>
      <c r="P769" s="92">
        <v>0</v>
      </c>
      <c r="Q769" s="92">
        <v>0</v>
      </c>
      <c r="R769" s="92">
        <v>0</v>
      </c>
      <c r="S769" s="92">
        <v>203.35</v>
      </c>
      <c r="T769" s="92">
        <v>140</v>
      </c>
      <c r="U769" s="92">
        <v>0</v>
      </c>
      <c r="V769" s="92">
        <v>0</v>
      </c>
      <c r="W769" s="92">
        <v>0</v>
      </c>
      <c r="X769" s="92">
        <v>0</v>
      </c>
      <c r="Y769" s="92">
        <v>0</v>
      </c>
      <c r="Z769" s="92">
        <v>0</v>
      </c>
      <c r="AA769" s="92">
        <v>0</v>
      </c>
      <c r="AB769" s="92">
        <v>338679</v>
      </c>
      <c r="AC769" s="92">
        <v>353762</v>
      </c>
      <c r="AD769" s="92">
        <v>370040</v>
      </c>
      <c r="AE769" s="92">
        <v>0</v>
      </c>
      <c r="AF769" s="92">
        <v>0</v>
      </c>
      <c r="AG769" s="92">
        <v>0</v>
      </c>
    </row>
    <row r="770" spans="1:35" x14ac:dyDescent="0.25">
      <c r="A770" t="str">
        <f t="shared" si="15"/>
        <v>29-9-60</v>
      </c>
      <c r="B770">
        <v>29</v>
      </c>
      <c r="C770" s="92" t="s">
        <v>1042</v>
      </c>
      <c r="D770" s="92">
        <v>9</v>
      </c>
      <c r="E770" s="92" t="s">
        <v>588</v>
      </c>
      <c r="F770" s="92">
        <v>60</v>
      </c>
      <c r="G770" s="92" t="s">
        <v>907</v>
      </c>
      <c r="H770" s="92"/>
      <c r="I770" s="92">
        <v>74112</v>
      </c>
      <c r="J770" s="92">
        <v>13686714</v>
      </c>
      <c r="K770" s="92" t="s">
        <v>1061</v>
      </c>
      <c r="L770" s="92">
        <v>5940</v>
      </c>
      <c r="M770" s="92">
        <v>1496</v>
      </c>
      <c r="N770" s="92">
        <v>145</v>
      </c>
      <c r="O770" s="92">
        <v>145</v>
      </c>
      <c r="P770" s="92">
        <v>0</v>
      </c>
      <c r="Q770" s="92">
        <v>0</v>
      </c>
      <c r="R770" s="92">
        <v>0</v>
      </c>
      <c r="S770" s="92">
        <v>130.86000000000001</v>
      </c>
      <c r="T770" s="92">
        <v>160</v>
      </c>
      <c r="U770" s="92">
        <v>0</v>
      </c>
      <c r="V770" s="92">
        <v>0</v>
      </c>
      <c r="W770" s="92">
        <v>0</v>
      </c>
      <c r="X770" s="92">
        <v>0</v>
      </c>
      <c r="Y770" s="92">
        <v>0</v>
      </c>
      <c r="Z770" s="92">
        <v>0</v>
      </c>
      <c r="AA770" s="92">
        <v>0</v>
      </c>
      <c r="AB770" s="92">
        <v>300980</v>
      </c>
      <c r="AC770" s="92">
        <v>305587</v>
      </c>
      <c r="AD770" s="92">
        <v>318774</v>
      </c>
      <c r="AE770" s="92">
        <v>0</v>
      </c>
      <c r="AF770" s="92">
        <v>0</v>
      </c>
      <c r="AG770" s="92">
        <v>0</v>
      </c>
      <c r="AI770" s="250">
        <v>4.6094000000000002E-4</v>
      </c>
    </row>
    <row r="771" spans="1:35" x14ac:dyDescent="0.25">
      <c r="A771" t="str">
        <f t="shared" si="15"/>
        <v>29-4-110</v>
      </c>
      <c r="B771">
        <v>29</v>
      </c>
      <c r="C771" s="92" t="s">
        <v>1042</v>
      </c>
      <c r="D771" s="92">
        <v>4</v>
      </c>
      <c r="E771" s="92" t="s">
        <v>66</v>
      </c>
      <c r="F771" s="92">
        <v>110</v>
      </c>
      <c r="G771" s="92" t="s">
        <v>898</v>
      </c>
      <c r="H771" s="92"/>
      <c r="I771" s="92">
        <v>0</v>
      </c>
      <c r="J771" s="92">
        <v>28346253</v>
      </c>
      <c r="K771" s="92" t="s">
        <v>1061</v>
      </c>
      <c r="L771" s="92">
        <v>34674</v>
      </c>
      <c r="M771" s="92">
        <v>153116</v>
      </c>
      <c r="N771" s="92">
        <v>27552</v>
      </c>
      <c r="O771" s="92">
        <v>27552</v>
      </c>
      <c r="P771" s="92">
        <v>0</v>
      </c>
      <c r="Q771" s="92">
        <v>0</v>
      </c>
      <c r="R771" s="92">
        <v>0</v>
      </c>
      <c r="S771" s="92">
        <v>7556</v>
      </c>
      <c r="T771" s="92">
        <v>5047</v>
      </c>
      <c r="U771" s="92">
        <v>0</v>
      </c>
      <c r="V771" s="92">
        <v>0</v>
      </c>
      <c r="W771" s="92">
        <v>0</v>
      </c>
      <c r="X771" s="92">
        <v>0</v>
      </c>
      <c r="Y771" s="92">
        <v>0</v>
      </c>
      <c r="Z771" s="92">
        <v>0</v>
      </c>
      <c r="AA771" s="92">
        <v>0</v>
      </c>
      <c r="AB771" s="92">
        <v>89328</v>
      </c>
      <c r="AC771" s="92">
        <v>92008</v>
      </c>
      <c r="AD771" s="92">
        <v>94768</v>
      </c>
      <c r="AE771" s="92">
        <v>0</v>
      </c>
      <c r="AF771" s="92">
        <v>0</v>
      </c>
      <c r="AG771" s="92">
        <v>0</v>
      </c>
    </row>
    <row r="772" spans="1:35" x14ac:dyDescent="0.25">
      <c r="A772" t="str">
        <f t="shared" si="15"/>
        <v>20-9-61</v>
      </c>
      <c r="B772">
        <v>20</v>
      </c>
      <c r="C772" s="92" t="s">
        <v>1033</v>
      </c>
      <c r="D772" s="92">
        <v>9</v>
      </c>
      <c r="E772" s="92" t="s">
        <v>588</v>
      </c>
      <c r="F772" s="92">
        <v>61</v>
      </c>
      <c r="G772" s="92" t="s">
        <v>826</v>
      </c>
      <c r="H772" s="92"/>
      <c r="I772" s="92">
        <v>0</v>
      </c>
      <c r="J772" s="92">
        <v>0</v>
      </c>
      <c r="K772" s="92" t="s">
        <v>1061</v>
      </c>
      <c r="L772" s="92">
        <v>2104</v>
      </c>
      <c r="M772" s="92">
        <v>2226</v>
      </c>
      <c r="N772" s="92">
        <v>218</v>
      </c>
      <c r="O772" s="92">
        <v>218</v>
      </c>
      <c r="P772" s="92">
        <v>9899</v>
      </c>
      <c r="Q772" s="92">
        <v>1638</v>
      </c>
      <c r="R772" s="92">
        <v>2938</v>
      </c>
      <c r="S772" s="92">
        <v>0</v>
      </c>
      <c r="T772" s="92">
        <v>0</v>
      </c>
      <c r="U772" s="92">
        <v>0</v>
      </c>
      <c r="V772" s="92">
        <v>0</v>
      </c>
      <c r="W772" s="92">
        <v>0</v>
      </c>
      <c r="X772" s="92">
        <v>0</v>
      </c>
      <c r="Y772" s="92">
        <v>0</v>
      </c>
      <c r="Z772" s="92">
        <v>0</v>
      </c>
      <c r="AA772" s="92">
        <v>0</v>
      </c>
      <c r="AB772" s="92">
        <v>242850</v>
      </c>
      <c r="AC772" s="92">
        <v>265111</v>
      </c>
      <c r="AD772" s="92">
        <v>275494</v>
      </c>
      <c r="AE772" s="92">
        <v>0</v>
      </c>
      <c r="AF772" s="92">
        <v>0</v>
      </c>
      <c r="AG772" s="92">
        <v>0</v>
      </c>
      <c r="AI772" s="250">
        <v>3.8980200000000002E-4</v>
      </c>
    </row>
    <row r="773" spans="1:35" x14ac:dyDescent="0.25">
      <c r="A773" t="str">
        <f t="shared" si="15"/>
        <v>20-11-40</v>
      </c>
      <c r="B773">
        <v>20</v>
      </c>
      <c r="C773" s="92" t="s">
        <v>1033</v>
      </c>
      <c r="D773" s="92">
        <v>11</v>
      </c>
      <c r="E773" s="92" t="s">
        <v>1062</v>
      </c>
      <c r="F773" s="92">
        <v>40</v>
      </c>
      <c r="G773" s="92" t="s">
        <v>1247</v>
      </c>
      <c r="H773" s="92"/>
      <c r="I773" s="92">
        <v>0</v>
      </c>
      <c r="J773" s="92">
        <v>257034382</v>
      </c>
      <c r="K773" s="92" t="s">
        <v>1061</v>
      </c>
      <c r="L773" s="92">
        <v>5235</v>
      </c>
      <c r="M773" s="92">
        <v>8134</v>
      </c>
      <c r="N773" s="92">
        <v>2302</v>
      </c>
      <c r="O773" s="92">
        <v>1797</v>
      </c>
      <c r="P773" s="92">
        <v>89067</v>
      </c>
      <c r="Q773" s="92">
        <v>46662</v>
      </c>
      <c r="R773" s="92">
        <v>49041</v>
      </c>
      <c r="S773" s="92">
        <v>323</v>
      </c>
      <c r="T773" s="92">
        <v>0</v>
      </c>
      <c r="U773" s="92">
        <v>0</v>
      </c>
      <c r="V773" s="92">
        <v>0</v>
      </c>
      <c r="W773" s="92">
        <v>0</v>
      </c>
      <c r="X773" s="92">
        <v>0</v>
      </c>
      <c r="Y773" s="92">
        <v>0</v>
      </c>
      <c r="Z773" s="92">
        <v>0</v>
      </c>
      <c r="AA773" s="92">
        <v>0</v>
      </c>
      <c r="AB773" s="92">
        <v>1198528</v>
      </c>
      <c r="AC773" s="92">
        <v>1301752</v>
      </c>
      <c r="AD773" s="92">
        <v>1362861</v>
      </c>
      <c r="AE773" s="92">
        <v>0</v>
      </c>
      <c r="AF773" s="92">
        <v>0</v>
      </c>
      <c r="AG773" s="92">
        <v>0</v>
      </c>
    </row>
    <row r="774" spans="1:35" x14ac:dyDescent="0.25">
      <c r="A774" t="str">
        <f t="shared" si="15"/>
        <v>20-4-75</v>
      </c>
      <c r="B774">
        <v>20</v>
      </c>
      <c r="C774" s="92" t="s">
        <v>1033</v>
      </c>
      <c r="D774" s="92">
        <v>4</v>
      </c>
      <c r="E774" s="92" t="s">
        <v>66</v>
      </c>
      <c r="F774" s="92">
        <v>75</v>
      </c>
      <c r="G774" s="92" t="s">
        <v>822</v>
      </c>
      <c r="H774" s="92"/>
      <c r="I774" s="92">
        <v>0</v>
      </c>
      <c r="J774" s="92">
        <v>300432221</v>
      </c>
      <c r="K774" s="92" t="s">
        <v>1061</v>
      </c>
      <c r="L774" s="92">
        <v>15459</v>
      </c>
      <c r="M774" s="92">
        <v>56090</v>
      </c>
      <c r="N774" s="92">
        <v>6310</v>
      </c>
      <c r="O774" s="92">
        <v>6310</v>
      </c>
      <c r="P774" s="92">
        <v>65132</v>
      </c>
      <c r="Q774" s="92">
        <v>16957</v>
      </c>
      <c r="R774" s="92">
        <v>11820</v>
      </c>
      <c r="S774" s="92">
        <v>903</v>
      </c>
      <c r="T774" s="92">
        <v>0</v>
      </c>
      <c r="U774" s="92">
        <v>0</v>
      </c>
      <c r="V774" s="92">
        <v>0</v>
      </c>
      <c r="W774" s="92">
        <v>0</v>
      </c>
      <c r="X774" s="92">
        <v>0</v>
      </c>
      <c r="Y774" s="92">
        <v>0</v>
      </c>
      <c r="Z774" s="92">
        <v>0</v>
      </c>
      <c r="AA774" s="92">
        <v>0</v>
      </c>
      <c r="AB774" s="92">
        <v>79960</v>
      </c>
      <c r="AC774" s="92">
        <v>94236</v>
      </c>
      <c r="AD774" s="92">
        <v>113150</v>
      </c>
      <c r="AE774" s="92">
        <v>0</v>
      </c>
      <c r="AF774" s="92">
        <v>0</v>
      </c>
      <c r="AG774" s="92">
        <v>0</v>
      </c>
    </row>
    <row r="775" spans="1:35" x14ac:dyDescent="0.25">
      <c r="A775" t="str">
        <f t="shared" si="15"/>
        <v>29-7-100</v>
      </c>
      <c r="B775">
        <v>29</v>
      </c>
      <c r="C775" s="92" t="s">
        <v>1042</v>
      </c>
      <c r="D775" s="92">
        <v>7</v>
      </c>
      <c r="E775" s="92" t="s">
        <v>586</v>
      </c>
      <c r="F775" s="92">
        <v>100</v>
      </c>
      <c r="G775" s="92" t="s">
        <v>445</v>
      </c>
      <c r="H775" s="92"/>
      <c r="I775" s="92">
        <v>112</v>
      </c>
      <c r="J775" s="92">
        <v>700873</v>
      </c>
      <c r="K775" s="92" t="s">
        <v>1061</v>
      </c>
      <c r="L775" s="92">
        <v>178</v>
      </c>
      <c r="M775" s="92">
        <v>6</v>
      </c>
      <c r="N775" s="92">
        <v>0</v>
      </c>
      <c r="O775" s="92">
        <v>0</v>
      </c>
      <c r="P775" s="92">
        <v>0</v>
      </c>
      <c r="Q775" s="92">
        <v>0</v>
      </c>
      <c r="R775" s="92">
        <v>0</v>
      </c>
      <c r="S775" s="92">
        <v>0</v>
      </c>
      <c r="T775" s="92">
        <v>0</v>
      </c>
      <c r="U775" s="92">
        <v>0</v>
      </c>
      <c r="V775" s="92">
        <v>0</v>
      </c>
      <c r="W775" s="92">
        <v>0</v>
      </c>
      <c r="X775" s="92">
        <v>0</v>
      </c>
      <c r="Y775" s="92">
        <v>0</v>
      </c>
      <c r="Z775" s="92">
        <v>0</v>
      </c>
      <c r="AA775" s="92">
        <v>0</v>
      </c>
      <c r="AB775" s="92">
        <v>825</v>
      </c>
      <c r="AC775" s="92">
        <v>895</v>
      </c>
      <c r="AD775" s="92">
        <v>895</v>
      </c>
      <c r="AE775" s="92">
        <v>0</v>
      </c>
      <c r="AF775" s="92">
        <v>0</v>
      </c>
      <c r="AG775" s="92">
        <v>0</v>
      </c>
    </row>
    <row r="776" spans="1:35" x14ac:dyDescent="0.25">
      <c r="A776" t="str">
        <f t="shared" si="15"/>
        <v>25-4-203</v>
      </c>
      <c r="B776">
        <v>25</v>
      </c>
      <c r="C776" s="92" t="s">
        <v>1038</v>
      </c>
      <c r="D776" s="92">
        <v>4</v>
      </c>
      <c r="E776" s="92" t="s">
        <v>66</v>
      </c>
      <c r="F776" s="92">
        <v>203</v>
      </c>
      <c r="G776" s="92" t="s">
        <v>863</v>
      </c>
      <c r="H776" s="92"/>
      <c r="I776" s="92">
        <v>0</v>
      </c>
      <c r="J776" s="92">
        <v>26003096</v>
      </c>
      <c r="K776" s="92" t="s">
        <v>1061</v>
      </c>
      <c r="L776" s="92">
        <v>8243</v>
      </c>
      <c r="M776" s="92">
        <v>43828</v>
      </c>
      <c r="N776" s="92">
        <v>56</v>
      </c>
      <c r="O776" s="92">
        <v>56</v>
      </c>
      <c r="P776" s="92">
        <v>0</v>
      </c>
      <c r="Q776" s="92">
        <v>0</v>
      </c>
      <c r="R776" s="92">
        <v>0</v>
      </c>
      <c r="S776" s="92">
        <v>0</v>
      </c>
      <c r="T776" s="92">
        <v>0</v>
      </c>
      <c r="U776" s="92">
        <v>0</v>
      </c>
      <c r="V776" s="92">
        <v>0</v>
      </c>
      <c r="W776" s="92">
        <v>0</v>
      </c>
      <c r="X776" s="92">
        <v>0</v>
      </c>
      <c r="Y776" s="92">
        <v>0</v>
      </c>
      <c r="Z776" s="92">
        <v>0</v>
      </c>
      <c r="AA776" s="92">
        <v>0</v>
      </c>
      <c r="AB776" s="92">
        <v>92516</v>
      </c>
      <c r="AC776" s="92">
        <v>95976</v>
      </c>
      <c r="AD776" s="92">
        <v>99965</v>
      </c>
      <c r="AE776" s="92">
        <v>0</v>
      </c>
      <c r="AF776" s="92">
        <v>0</v>
      </c>
      <c r="AG776" s="92">
        <v>0</v>
      </c>
    </row>
    <row r="777" spans="1:35" x14ac:dyDescent="0.25">
      <c r="A777" t="str">
        <f t="shared" si="15"/>
        <v>40-4-161</v>
      </c>
      <c r="B777">
        <v>40</v>
      </c>
      <c r="C777" s="92" t="s">
        <v>1051</v>
      </c>
      <c r="D777" s="92">
        <v>4</v>
      </c>
      <c r="E777" s="92" t="s">
        <v>66</v>
      </c>
      <c r="F777" s="92">
        <v>161</v>
      </c>
      <c r="G777" s="92" t="s">
        <v>972</v>
      </c>
      <c r="H777" s="92"/>
      <c r="I777" s="92">
        <v>0</v>
      </c>
      <c r="J777" s="92">
        <v>4764410</v>
      </c>
      <c r="K777" s="92" t="s">
        <v>1061</v>
      </c>
      <c r="L777" s="92">
        <v>148</v>
      </c>
      <c r="M777" s="92">
        <v>7327</v>
      </c>
      <c r="N777" s="92">
        <v>1419</v>
      </c>
      <c r="O777" s="92">
        <v>1419</v>
      </c>
      <c r="P777" s="92">
        <v>0</v>
      </c>
      <c r="Q777" s="92">
        <v>0</v>
      </c>
      <c r="R777" s="92">
        <v>0</v>
      </c>
      <c r="S777" s="92">
        <v>0</v>
      </c>
      <c r="T777" s="92">
        <v>0</v>
      </c>
      <c r="U777" s="92">
        <v>0</v>
      </c>
      <c r="V777" s="92">
        <v>0</v>
      </c>
      <c r="W777" s="92">
        <v>0</v>
      </c>
      <c r="X777" s="92">
        <v>0</v>
      </c>
      <c r="Y777" s="92">
        <v>0</v>
      </c>
      <c r="Z777" s="92">
        <v>0</v>
      </c>
      <c r="AA777" s="92">
        <v>0</v>
      </c>
      <c r="AB777" s="92">
        <v>18795</v>
      </c>
      <c r="AC777" s="92">
        <v>19407</v>
      </c>
      <c r="AD777" s="92">
        <v>20039</v>
      </c>
      <c r="AE777" s="92">
        <v>0</v>
      </c>
      <c r="AF777" s="92">
        <v>0</v>
      </c>
      <c r="AG777" s="92">
        <v>0</v>
      </c>
    </row>
    <row r="778" spans="1:35" x14ac:dyDescent="0.25">
      <c r="A778" t="str">
        <f t="shared" si="15"/>
        <v>37-9-125</v>
      </c>
      <c r="B778">
        <v>37</v>
      </c>
      <c r="C778" s="92" t="s">
        <v>1049</v>
      </c>
      <c r="D778" s="92">
        <v>9</v>
      </c>
      <c r="E778" s="92" t="s">
        <v>588</v>
      </c>
      <c r="F778" s="92">
        <v>125</v>
      </c>
      <c r="G778" s="92" t="s">
        <v>956</v>
      </c>
      <c r="H778" s="92"/>
      <c r="I778" s="92">
        <v>0</v>
      </c>
      <c r="J778" s="92">
        <v>0</v>
      </c>
      <c r="K778" s="92" t="s">
        <v>1061</v>
      </c>
      <c r="L778" s="92">
        <v>1605</v>
      </c>
      <c r="M778" s="92">
        <v>493</v>
      </c>
      <c r="N778" s="92">
        <v>80</v>
      </c>
      <c r="O778" s="92">
        <v>80</v>
      </c>
      <c r="P778" s="92">
        <v>0</v>
      </c>
      <c r="Q778" s="92">
        <v>17814</v>
      </c>
      <c r="R778" s="92">
        <v>12216</v>
      </c>
      <c r="S778" s="92">
        <v>0</v>
      </c>
      <c r="T778" s="92">
        <v>0</v>
      </c>
      <c r="U778" s="92">
        <v>0</v>
      </c>
      <c r="V778" s="92">
        <v>0</v>
      </c>
      <c r="W778" s="92">
        <v>0</v>
      </c>
      <c r="X778" s="92">
        <v>0</v>
      </c>
      <c r="Y778" s="92">
        <v>0</v>
      </c>
      <c r="Z778" s="92">
        <v>0</v>
      </c>
      <c r="AA778" s="92">
        <v>0</v>
      </c>
      <c r="AB778" s="92">
        <v>74840</v>
      </c>
      <c r="AC778" s="92">
        <v>61019</v>
      </c>
      <c r="AD778" s="92">
        <v>65819</v>
      </c>
      <c r="AE778" s="92">
        <v>0</v>
      </c>
      <c r="AF778" s="92">
        <v>0</v>
      </c>
      <c r="AG778" s="92">
        <v>0</v>
      </c>
      <c r="AI778" s="250">
        <v>3.9295699999999999E-4</v>
      </c>
    </row>
    <row r="779" spans="1:35" x14ac:dyDescent="0.25">
      <c r="A779" t="str">
        <f t="shared" si="15"/>
        <v>16-11-41</v>
      </c>
      <c r="B779">
        <v>16</v>
      </c>
      <c r="C779" s="92" t="s">
        <v>1029</v>
      </c>
      <c r="D779" s="92">
        <v>11</v>
      </c>
      <c r="E779" s="92" t="s">
        <v>1062</v>
      </c>
      <c r="F779" s="92">
        <v>41</v>
      </c>
      <c r="G779" s="92" t="s">
        <v>780</v>
      </c>
      <c r="H779" s="92"/>
      <c r="I779" s="92">
        <v>1389</v>
      </c>
      <c r="J779" s="92">
        <v>997147</v>
      </c>
      <c r="K779" s="92">
        <v>1</v>
      </c>
      <c r="L779" s="92">
        <v>12944</v>
      </c>
      <c r="M779" s="92">
        <v>843</v>
      </c>
      <c r="N779" s="92">
        <v>590</v>
      </c>
      <c r="O779" s="92">
        <v>519</v>
      </c>
      <c r="P779" s="92">
        <v>0</v>
      </c>
      <c r="Q779" s="92">
        <v>0</v>
      </c>
      <c r="R779" s="92">
        <v>0</v>
      </c>
      <c r="S779" s="92">
        <v>0</v>
      </c>
      <c r="T779" s="92">
        <v>0</v>
      </c>
      <c r="U779" s="92">
        <v>91</v>
      </c>
      <c r="V779" s="92">
        <v>0</v>
      </c>
      <c r="W779" s="92">
        <v>3015</v>
      </c>
      <c r="X779" s="92">
        <v>0</v>
      </c>
      <c r="Y779" s="92">
        <v>0</v>
      </c>
      <c r="Z779" s="92">
        <v>0</v>
      </c>
      <c r="AA779" s="92">
        <v>0</v>
      </c>
      <c r="AB779" s="92">
        <v>253295</v>
      </c>
      <c r="AC779" s="92">
        <v>259489</v>
      </c>
      <c r="AD779" s="92">
        <v>273743</v>
      </c>
      <c r="AE779" s="92">
        <v>0</v>
      </c>
      <c r="AF779" s="92">
        <v>0</v>
      </c>
      <c r="AG779" s="92">
        <v>0</v>
      </c>
    </row>
    <row r="780" spans="1:35" x14ac:dyDescent="0.25">
      <c r="A780" t="str">
        <f t="shared" si="15"/>
        <v>42-11-41</v>
      </c>
      <c r="B780">
        <v>42</v>
      </c>
      <c r="C780" s="92" t="s">
        <v>1196</v>
      </c>
      <c r="D780" s="92">
        <v>11</v>
      </c>
      <c r="E780" s="92" t="s">
        <v>1062</v>
      </c>
      <c r="F780" s="92">
        <v>41</v>
      </c>
      <c r="G780" s="92" t="s">
        <v>780</v>
      </c>
      <c r="H780" s="92"/>
      <c r="I780" s="92">
        <v>1389</v>
      </c>
      <c r="J780" s="92">
        <v>29506255</v>
      </c>
      <c r="K780" s="92">
        <v>1</v>
      </c>
      <c r="L780" s="92">
        <v>12944</v>
      </c>
      <c r="M780" s="92">
        <v>843</v>
      </c>
      <c r="N780" s="92">
        <v>590</v>
      </c>
      <c r="O780" s="92">
        <v>519</v>
      </c>
      <c r="P780" s="92">
        <v>0</v>
      </c>
      <c r="Q780" s="92">
        <v>0</v>
      </c>
      <c r="R780" s="92">
        <v>0</v>
      </c>
      <c r="S780" s="92">
        <v>0</v>
      </c>
      <c r="T780" s="92">
        <v>0</v>
      </c>
      <c r="U780" s="92">
        <v>91</v>
      </c>
      <c r="V780" s="92">
        <v>0</v>
      </c>
      <c r="W780" s="92">
        <v>3015</v>
      </c>
      <c r="X780" s="92">
        <v>0</v>
      </c>
      <c r="Y780" s="92">
        <v>0</v>
      </c>
      <c r="Z780" s="92">
        <v>0</v>
      </c>
      <c r="AA780" s="92">
        <v>0</v>
      </c>
      <c r="AB780" s="92">
        <v>253295</v>
      </c>
      <c r="AC780" s="92">
        <v>259489</v>
      </c>
      <c r="AD780" s="92">
        <v>273743</v>
      </c>
      <c r="AE780" s="92">
        <v>0</v>
      </c>
      <c r="AF780" s="92">
        <v>0</v>
      </c>
      <c r="AG780" s="92">
        <v>0</v>
      </c>
    </row>
    <row r="781" spans="1:35" x14ac:dyDescent="0.25">
      <c r="A781" t="str">
        <f t="shared" si="15"/>
        <v>16-4-175</v>
      </c>
      <c r="B781">
        <v>16</v>
      </c>
      <c r="C781" s="92" t="s">
        <v>1029</v>
      </c>
      <c r="D781" s="92">
        <v>4</v>
      </c>
      <c r="E781" s="92" t="s">
        <v>66</v>
      </c>
      <c r="F781" s="92">
        <v>175</v>
      </c>
      <c r="G781" s="92" t="s">
        <v>769</v>
      </c>
      <c r="H781" s="92"/>
      <c r="I781" s="92">
        <v>0</v>
      </c>
      <c r="J781" s="92">
        <v>1583362</v>
      </c>
      <c r="K781" s="92">
        <v>1</v>
      </c>
      <c r="L781" s="92">
        <v>17451</v>
      </c>
      <c r="M781" s="92">
        <v>2238</v>
      </c>
      <c r="N781" s="92">
        <v>2211</v>
      </c>
      <c r="O781" s="92">
        <v>2211</v>
      </c>
      <c r="P781" s="92">
        <v>0</v>
      </c>
      <c r="Q781" s="92">
        <v>0</v>
      </c>
      <c r="R781" s="92">
        <v>0</v>
      </c>
      <c r="S781" s="92">
        <v>0</v>
      </c>
      <c r="T781" s="92">
        <v>0</v>
      </c>
      <c r="U781" s="92">
        <v>93</v>
      </c>
      <c r="V781" s="92">
        <v>0</v>
      </c>
      <c r="W781" s="92">
        <v>9696</v>
      </c>
      <c r="X781" s="92">
        <v>0</v>
      </c>
      <c r="Y781" s="92">
        <v>0</v>
      </c>
      <c r="Z781" s="92">
        <v>0</v>
      </c>
      <c r="AA781" s="92">
        <v>0</v>
      </c>
      <c r="AB781" s="92">
        <v>26711</v>
      </c>
      <c r="AC781" s="92">
        <v>27572</v>
      </c>
      <c r="AD781" s="92">
        <v>28727</v>
      </c>
      <c r="AE781" s="92">
        <v>0</v>
      </c>
      <c r="AF781" s="92">
        <v>0</v>
      </c>
      <c r="AG781" s="92">
        <v>0</v>
      </c>
    </row>
    <row r="782" spans="1:35" x14ac:dyDescent="0.25">
      <c r="A782" t="str">
        <f t="shared" si="15"/>
        <v>42-4-175</v>
      </c>
      <c r="B782">
        <v>42</v>
      </c>
      <c r="C782" s="92" t="s">
        <v>1196</v>
      </c>
      <c r="D782" s="92">
        <v>4</v>
      </c>
      <c r="E782" s="92" t="s">
        <v>66</v>
      </c>
      <c r="F782" s="92">
        <v>175</v>
      </c>
      <c r="G782" s="92" t="s">
        <v>769</v>
      </c>
      <c r="H782" s="92"/>
      <c r="I782" s="92">
        <v>0</v>
      </c>
      <c r="J782" s="92">
        <v>22703194</v>
      </c>
      <c r="K782" s="92">
        <v>1</v>
      </c>
      <c r="L782" s="92">
        <v>17451</v>
      </c>
      <c r="M782" s="92">
        <v>2238</v>
      </c>
      <c r="N782" s="92">
        <v>2211</v>
      </c>
      <c r="O782" s="92">
        <v>2211</v>
      </c>
      <c r="P782" s="92">
        <v>0</v>
      </c>
      <c r="Q782" s="92">
        <v>0</v>
      </c>
      <c r="R782" s="92">
        <v>0</v>
      </c>
      <c r="S782" s="92">
        <v>0</v>
      </c>
      <c r="T782" s="92">
        <v>0</v>
      </c>
      <c r="U782" s="92">
        <v>93</v>
      </c>
      <c r="V782" s="92">
        <v>0</v>
      </c>
      <c r="W782" s="92">
        <v>9696</v>
      </c>
      <c r="X782" s="92">
        <v>0</v>
      </c>
      <c r="Y782" s="92">
        <v>0</v>
      </c>
      <c r="Z782" s="92">
        <v>0</v>
      </c>
      <c r="AA782" s="92">
        <v>0</v>
      </c>
      <c r="AB782" s="92">
        <v>26711</v>
      </c>
      <c r="AC782" s="92">
        <v>27572</v>
      </c>
      <c r="AD782" s="92">
        <v>28727</v>
      </c>
      <c r="AE782" s="92">
        <v>0</v>
      </c>
      <c r="AF782" s="92">
        <v>0</v>
      </c>
      <c r="AG782" s="92">
        <v>0</v>
      </c>
    </row>
    <row r="783" spans="1:35" x14ac:dyDescent="0.25">
      <c r="A783" t="str">
        <f t="shared" si="15"/>
        <v>18-7-106</v>
      </c>
      <c r="B783">
        <v>18</v>
      </c>
      <c r="C783" s="92" t="s">
        <v>1031</v>
      </c>
      <c r="D783" s="92">
        <v>7</v>
      </c>
      <c r="E783" s="92" t="s">
        <v>586</v>
      </c>
      <c r="F783" s="92">
        <v>106</v>
      </c>
      <c r="G783" s="92" t="s">
        <v>791</v>
      </c>
      <c r="H783" s="92"/>
      <c r="I783" s="92">
        <v>375</v>
      </c>
      <c r="J783" s="92">
        <v>940085</v>
      </c>
      <c r="K783" s="92">
        <v>1</v>
      </c>
      <c r="L783" s="92">
        <v>84</v>
      </c>
      <c r="M783" s="92">
        <v>50</v>
      </c>
      <c r="N783" s="92">
        <v>13</v>
      </c>
      <c r="O783" s="92">
        <v>13</v>
      </c>
      <c r="P783" s="92">
        <v>0</v>
      </c>
      <c r="Q783" s="92">
        <v>0</v>
      </c>
      <c r="R783" s="92">
        <v>0</v>
      </c>
      <c r="S783" s="92">
        <v>0</v>
      </c>
      <c r="T783" s="92">
        <v>0</v>
      </c>
      <c r="U783" s="92">
        <v>17</v>
      </c>
      <c r="V783" s="92">
        <v>0</v>
      </c>
      <c r="W783" s="92">
        <v>0</v>
      </c>
      <c r="X783" s="92">
        <v>0</v>
      </c>
      <c r="Y783" s="92">
        <v>0</v>
      </c>
      <c r="Z783" s="92">
        <v>0</v>
      </c>
      <c r="AA783" s="92">
        <v>0</v>
      </c>
      <c r="AB783" s="92">
        <v>8747</v>
      </c>
      <c r="AC783" s="92">
        <v>9146</v>
      </c>
      <c r="AD783" s="92">
        <v>9567</v>
      </c>
      <c r="AE783" s="92">
        <v>0</v>
      </c>
      <c r="AF783" s="92">
        <v>0</v>
      </c>
      <c r="AG783" s="92">
        <v>0</v>
      </c>
    </row>
    <row r="784" spans="1:35" x14ac:dyDescent="0.25">
      <c r="A784" t="str">
        <f t="shared" si="15"/>
        <v>35-7-106</v>
      </c>
      <c r="B784">
        <v>35</v>
      </c>
      <c r="C784" s="92" t="s">
        <v>1195</v>
      </c>
      <c r="D784" s="92">
        <v>7</v>
      </c>
      <c r="E784" s="92" t="s">
        <v>586</v>
      </c>
      <c r="F784" s="92">
        <v>106</v>
      </c>
      <c r="G784" s="92" t="s">
        <v>791</v>
      </c>
      <c r="H784" s="92"/>
      <c r="I784" s="92">
        <v>375</v>
      </c>
      <c r="J784" s="92">
        <v>1921275</v>
      </c>
      <c r="K784" s="92">
        <v>1</v>
      </c>
      <c r="L784" s="92">
        <v>84</v>
      </c>
      <c r="M784" s="92">
        <v>50</v>
      </c>
      <c r="N784" s="92">
        <v>13</v>
      </c>
      <c r="O784" s="92">
        <v>13</v>
      </c>
      <c r="P784" s="92">
        <v>0</v>
      </c>
      <c r="Q784" s="92">
        <v>0</v>
      </c>
      <c r="R784" s="92">
        <v>0</v>
      </c>
      <c r="S784" s="92">
        <v>0</v>
      </c>
      <c r="T784" s="92">
        <v>0</v>
      </c>
      <c r="U784" s="92">
        <v>17</v>
      </c>
      <c r="V784" s="92">
        <v>0</v>
      </c>
      <c r="W784" s="92">
        <v>0</v>
      </c>
      <c r="X784" s="92">
        <v>0</v>
      </c>
      <c r="Y784" s="92">
        <v>0</v>
      </c>
      <c r="Z784" s="92">
        <v>0</v>
      </c>
      <c r="AA784" s="92">
        <v>0</v>
      </c>
      <c r="AB784" s="92">
        <v>8747</v>
      </c>
      <c r="AC784" s="92">
        <v>9146</v>
      </c>
      <c r="AD784" s="92">
        <v>9567</v>
      </c>
      <c r="AE784" s="92">
        <v>0</v>
      </c>
      <c r="AF784" s="92">
        <v>0</v>
      </c>
      <c r="AG784" s="92">
        <v>0</v>
      </c>
    </row>
    <row r="785" spans="1:35" x14ac:dyDescent="0.25">
      <c r="A785" t="str">
        <f t="shared" si="15"/>
        <v>19-9-66</v>
      </c>
      <c r="B785">
        <v>19</v>
      </c>
      <c r="C785" s="92" t="s">
        <v>1032</v>
      </c>
      <c r="D785" s="92">
        <v>9</v>
      </c>
      <c r="E785" s="92" t="s">
        <v>588</v>
      </c>
      <c r="F785" s="92">
        <v>66</v>
      </c>
      <c r="G785" s="92" t="s">
        <v>813</v>
      </c>
      <c r="H785" s="92"/>
      <c r="I785" s="92">
        <v>0</v>
      </c>
      <c r="J785" s="92">
        <v>403000</v>
      </c>
      <c r="K785" s="92">
        <v>1</v>
      </c>
      <c r="L785" s="92">
        <v>927</v>
      </c>
      <c r="M785" s="92">
        <v>745</v>
      </c>
      <c r="N785" s="92">
        <v>241</v>
      </c>
      <c r="O785" s="92">
        <v>241</v>
      </c>
      <c r="P785" s="92">
        <v>0</v>
      </c>
      <c r="Q785" s="92">
        <v>0</v>
      </c>
      <c r="R785" s="92">
        <v>0</v>
      </c>
      <c r="S785" s="92">
        <v>0</v>
      </c>
      <c r="T785" s="92">
        <v>0</v>
      </c>
      <c r="U785" s="92">
        <v>0</v>
      </c>
      <c r="V785" s="92">
        <v>0</v>
      </c>
      <c r="W785" s="92">
        <v>0</v>
      </c>
      <c r="X785" s="92">
        <v>0</v>
      </c>
      <c r="Y785" s="92">
        <v>0</v>
      </c>
      <c r="Z785" s="92">
        <v>0</v>
      </c>
      <c r="AA785" s="92">
        <v>0</v>
      </c>
      <c r="AB785" s="92">
        <v>194570</v>
      </c>
      <c r="AC785" s="92">
        <v>200547</v>
      </c>
      <c r="AD785" s="92">
        <v>207575</v>
      </c>
      <c r="AE785" s="92">
        <v>0</v>
      </c>
      <c r="AF785" s="92">
        <v>0</v>
      </c>
      <c r="AG785" s="92">
        <v>0</v>
      </c>
      <c r="AI785" s="250">
        <v>4.5312E-4</v>
      </c>
    </row>
    <row r="786" spans="1:35" x14ac:dyDescent="0.25">
      <c r="A786" t="str">
        <f t="shared" si="15"/>
        <v>30-9-66</v>
      </c>
      <c r="B786">
        <v>30</v>
      </c>
      <c r="C786" s="92" t="s">
        <v>1043</v>
      </c>
      <c r="D786" s="92">
        <v>9</v>
      </c>
      <c r="E786" s="92" t="s">
        <v>588</v>
      </c>
      <c r="F786" s="92">
        <v>66</v>
      </c>
      <c r="G786" s="92" t="s">
        <v>813</v>
      </c>
      <c r="H786" s="92"/>
      <c r="I786" s="92">
        <v>0</v>
      </c>
      <c r="J786" s="92">
        <v>0</v>
      </c>
      <c r="K786" s="92">
        <v>1</v>
      </c>
      <c r="L786" s="92">
        <v>927</v>
      </c>
      <c r="M786" s="92">
        <v>745</v>
      </c>
      <c r="N786" s="92">
        <v>241</v>
      </c>
      <c r="O786" s="92">
        <v>241</v>
      </c>
      <c r="P786" s="92">
        <v>0</v>
      </c>
      <c r="Q786" s="92">
        <v>0</v>
      </c>
      <c r="R786" s="92">
        <v>0</v>
      </c>
      <c r="S786" s="92">
        <v>0</v>
      </c>
      <c r="T786" s="92">
        <v>0</v>
      </c>
      <c r="U786" s="92">
        <v>0</v>
      </c>
      <c r="V786" s="92">
        <v>0</v>
      </c>
      <c r="W786" s="92">
        <v>0</v>
      </c>
      <c r="X786" s="92">
        <v>0</v>
      </c>
      <c r="Y786" s="92">
        <v>0</v>
      </c>
      <c r="Z786" s="92">
        <v>0</v>
      </c>
      <c r="AA786" s="92">
        <v>0</v>
      </c>
      <c r="AB786" s="92">
        <v>194570</v>
      </c>
      <c r="AC786" s="92">
        <v>200547</v>
      </c>
      <c r="AD786" s="92">
        <v>207575</v>
      </c>
      <c r="AE786" s="92">
        <v>0</v>
      </c>
      <c r="AF786" s="92">
        <v>0</v>
      </c>
      <c r="AG786" s="92">
        <v>0</v>
      </c>
      <c r="AI786" s="250">
        <v>4.5312E-4</v>
      </c>
    </row>
    <row r="787" spans="1:35" x14ac:dyDescent="0.25">
      <c r="A787" t="str">
        <f t="shared" si="15"/>
        <v>19-12-7</v>
      </c>
      <c r="B787">
        <v>19</v>
      </c>
      <c r="C787" s="92" t="s">
        <v>1032</v>
      </c>
      <c r="D787" s="92">
        <v>12</v>
      </c>
      <c r="E787" s="92" t="s">
        <v>71</v>
      </c>
      <c r="F787" s="92">
        <v>7</v>
      </c>
      <c r="G787" s="92" t="s">
        <v>817</v>
      </c>
      <c r="H787" s="92"/>
      <c r="I787" s="92">
        <v>0</v>
      </c>
      <c r="J787" s="92">
        <v>8144570</v>
      </c>
      <c r="K787" s="92" t="s">
        <v>1061</v>
      </c>
      <c r="L787" s="92">
        <v>3521</v>
      </c>
      <c r="M787" s="92">
        <v>660</v>
      </c>
      <c r="N787" s="92">
        <v>246</v>
      </c>
      <c r="O787" s="92">
        <v>246</v>
      </c>
      <c r="P787" s="92">
        <v>0</v>
      </c>
      <c r="Q787" s="92">
        <v>0</v>
      </c>
      <c r="R787" s="92">
        <v>0</v>
      </c>
      <c r="S787" s="92">
        <v>0</v>
      </c>
      <c r="T787" s="92">
        <v>0</v>
      </c>
      <c r="U787" s="92">
        <v>0</v>
      </c>
      <c r="V787" s="92">
        <v>0</v>
      </c>
      <c r="W787" s="92">
        <v>0</v>
      </c>
      <c r="X787" s="92">
        <v>0</v>
      </c>
      <c r="Y787" s="92">
        <v>0</v>
      </c>
      <c r="Z787" s="92">
        <v>0</v>
      </c>
      <c r="AA787" s="92">
        <v>0</v>
      </c>
      <c r="AB787" s="92">
        <v>119352</v>
      </c>
      <c r="AC787" s="92">
        <v>123111</v>
      </c>
      <c r="AD787" s="92">
        <v>127417</v>
      </c>
      <c r="AE787" s="92">
        <v>0</v>
      </c>
      <c r="AF787" s="92">
        <v>0</v>
      </c>
      <c r="AG787" s="92">
        <v>0</v>
      </c>
    </row>
    <row r="788" spans="1:35" x14ac:dyDescent="0.25">
      <c r="A788" t="str">
        <f t="shared" si="15"/>
        <v>30-9-138</v>
      </c>
      <c r="B788">
        <v>30</v>
      </c>
      <c r="C788" s="92" t="s">
        <v>1043</v>
      </c>
      <c r="D788" s="92">
        <v>9</v>
      </c>
      <c r="E788" s="92" t="s">
        <v>588</v>
      </c>
      <c r="F788" s="92">
        <v>138</v>
      </c>
      <c r="G788" s="92" t="s">
        <v>919</v>
      </c>
      <c r="H788" s="92"/>
      <c r="I788" s="92">
        <v>1977</v>
      </c>
      <c r="J788" s="92">
        <v>0</v>
      </c>
      <c r="K788" s="92" t="s">
        <v>1061</v>
      </c>
      <c r="L788" s="92">
        <v>35</v>
      </c>
      <c r="M788" s="92">
        <v>161</v>
      </c>
      <c r="N788" s="92">
        <v>0</v>
      </c>
      <c r="O788" s="92">
        <v>0</v>
      </c>
      <c r="P788" s="92">
        <v>0</v>
      </c>
      <c r="Q788" s="92">
        <v>0</v>
      </c>
      <c r="R788" s="92">
        <v>0</v>
      </c>
      <c r="S788" s="92">
        <v>0</v>
      </c>
      <c r="T788" s="92">
        <v>0</v>
      </c>
      <c r="U788" s="92">
        <v>0</v>
      </c>
      <c r="V788" s="92">
        <v>0</v>
      </c>
      <c r="W788" s="92">
        <v>0</v>
      </c>
      <c r="X788" s="92">
        <v>0</v>
      </c>
      <c r="Y788" s="92">
        <v>0</v>
      </c>
      <c r="Z788" s="92">
        <v>0</v>
      </c>
      <c r="AA788" s="92">
        <v>0</v>
      </c>
      <c r="AB788" s="92">
        <v>66759</v>
      </c>
      <c r="AC788" s="92">
        <v>71354</v>
      </c>
      <c r="AD788" s="92">
        <v>74107</v>
      </c>
      <c r="AE788" s="92">
        <v>0</v>
      </c>
      <c r="AF788" s="92">
        <v>0</v>
      </c>
      <c r="AG788" s="92">
        <v>0</v>
      </c>
      <c r="AI788" s="250">
        <v>6.5627999999999997E-4</v>
      </c>
    </row>
    <row r="789" spans="1:35" x14ac:dyDescent="0.25">
      <c r="A789" t="str">
        <f t="shared" si="15"/>
        <v>14-9-62</v>
      </c>
      <c r="B789">
        <v>14</v>
      </c>
      <c r="C789" s="92" t="s">
        <v>1027</v>
      </c>
      <c r="D789" s="92">
        <v>9</v>
      </c>
      <c r="E789" s="92" t="s">
        <v>588</v>
      </c>
      <c r="F789" s="92">
        <v>62</v>
      </c>
      <c r="G789" s="92" t="s">
        <v>759</v>
      </c>
      <c r="H789" s="92"/>
      <c r="I789" s="92">
        <v>921280</v>
      </c>
      <c r="J789" s="92">
        <v>61730139</v>
      </c>
      <c r="K789" s="92" t="s">
        <v>1061</v>
      </c>
      <c r="L789" s="92">
        <v>25257</v>
      </c>
      <c r="M789" s="92">
        <v>14189</v>
      </c>
      <c r="N789" s="92">
        <v>29029</v>
      </c>
      <c r="O789" s="92">
        <v>29029</v>
      </c>
      <c r="P789" s="92">
        <v>0</v>
      </c>
      <c r="Q789" s="92">
        <v>0</v>
      </c>
      <c r="R789" s="92">
        <v>0</v>
      </c>
      <c r="S789" s="92">
        <v>0</v>
      </c>
      <c r="T789" s="92">
        <v>0</v>
      </c>
      <c r="U789" s="92">
        <v>0</v>
      </c>
      <c r="V789" s="92">
        <v>0</v>
      </c>
      <c r="W789" s="92">
        <v>0</v>
      </c>
      <c r="X789" s="92">
        <v>0</v>
      </c>
      <c r="Y789" s="92">
        <v>0</v>
      </c>
      <c r="Z789" s="92">
        <v>0</v>
      </c>
      <c r="AA789" s="92">
        <v>0</v>
      </c>
      <c r="AB789" s="92">
        <v>18769154</v>
      </c>
      <c r="AC789" s="92">
        <v>20828233</v>
      </c>
      <c r="AD789" s="92">
        <v>21236745</v>
      </c>
      <c r="AE789" s="92">
        <v>0</v>
      </c>
      <c r="AF789" s="92">
        <v>602790</v>
      </c>
      <c r="AG789" s="92">
        <v>0</v>
      </c>
      <c r="AI789" s="250">
        <v>1.0613039999999999E-3</v>
      </c>
    </row>
    <row r="790" spans="1:35" x14ac:dyDescent="0.25">
      <c r="A790" t="str">
        <f t="shared" si="15"/>
        <v>14-11-43</v>
      </c>
      <c r="B790">
        <v>14</v>
      </c>
      <c r="C790" s="92" t="s">
        <v>1027</v>
      </c>
      <c r="D790" s="92">
        <v>11</v>
      </c>
      <c r="E790" s="92" t="s">
        <v>1062</v>
      </c>
      <c r="F790" s="92">
        <v>43</v>
      </c>
      <c r="G790" s="92" t="s">
        <v>246</v>
      </c>
      <c r="H790" s="92"/>
      <c r="I790" s="92">
        <v>0</v>
      </c>
      <c r="J790" s="92">
        <v>207376806</v>
      </c>
      <c r="K790" s="92" t="s">
        <v>1061</v>
      </c>
      <c r="L790" s="92">
        <v>30945</v>
      </c>
      <c r="M790" s="92">
        <v>48676</v>
      </c>
      <c r="N790" s="92">
        <v>17070</v>
      </c>
      <c r="O790" s="92">
        <v>11694</v>
      </c>
      <c r="P790" s="92">
        <v>0</v>
      </c>
      <c r="Q790" s="92">
        <v>0</v>
      </c>
      <c r="R790" s="92">
        <v>0</v>
      </c>
      <c r="S790" s="92">
        <v>0</v>
      </c>
      <c r="T790" s="92">
        <v>0</v>
      </c>
      <c r="U790" s="92">
        <v>0</v>
      </c>
      <c r="V790" s="92">
        <v>0</v>
      </c>
      <c r="W790" s="92">
        <v>0</v>
      </c>
      <c r="X790" s="92">
        <v>0</v>
      </c>
      <c r="Y790" s="92">
        <v>0</v>
      </c>
      <c r="Z790" s="92">
        <v>0</v>
      </c>
      <c r="AA790" s="92">
        <v>0</v>
      </c>
      <c r="AB790" s="92">
        <v>10936079</v>
      </c>
      <c r="AC790" s="92">
        <v>11650243</v>
      </c>
      <c r="AD790" s="92">
        <v>12218486</v>
      </c>
      <c r="AE790" s="92">
        <v>0</v>
      </c>
      <c r="AF790" s="92">
        <v>0</v>
      </c>
      <c r="AG790" s="92">
        <v>0</v>
      </c>
    </row>
    <row r="791" spans="1:35" x14ac:dyDescent="0.25">
      <c r="A791" t="str">
        <f t="shared" si="15"/>
        <v>14-4-39</v>
      </c>
      <c r="B791">
        <v>14</v>
      </c>
      <c r="C791" s="92" t="s">
        <v>1027</v>
      </c>
      <c r="D791" s="92">
        <v>4</v>
      </c>
      <c r="E791" s="92" t="s">
        <v>66</v>
      </c>
      <c r="F791" s="92">
        <v>39</v>
      </c>
      <c r="G791" s="92" t="s">
        <v>750</v>
      </c>
      <c r="H791" s="92"/>
      <c r="I791" s="92">
        <v>0</v>
      </c>
      <c r="J791" s="92">
        <v>147859709</v>
      </c>
      <c r="K791" s="92" t="s">
        <v>1061</v>
      </c>
      <c r="L791" s="92">
        <v>35460</v>
      </c>
      <c r="M791" s="92">
        <v>165026</v>
      </c>
      <c r="N791" s="92">
        <v>29623</v>
      </c>
      <c r="O791" s="92">
        <v>29623</v>
      </c>
      <c r="P791" s="92">
        <v>0</v>
      </c>
      <c r="Q791" s="92">
        <v>0</v>
      </c>
      <c r="R791" s="92">
        <v>0</v>
      </c>
      <c r="S791" s="92">
        <v>0</v>
      </c>
      <c r="T791" s="92">
        <v>0</v>
      </c>
      <c r="U791" s="92">
        <v>0</v>
      </c>
      <c r="V791" s="92">
        <v>0</v>
      </c>
      <c r="W791" s="92">
        <v>0</v>
      </c>
      <c r="X791" s="92">
        <v>0</v>
      </c>
      <c r="Y791" s="92">
        <v>0</v>
      </c>
      <c r="Z791" s="92">
        <v>0</v>
      </c>
      <c r="AA791" s="92">
        <v>0</v>
      </c>
      <c r="AB791" s="92">
        <v>679184</v>
      </c>
      <c r="AC791" s="92">
        <v>720323</v>
      </c>
      <c r="AD791" s="92">
        <v>754056</v>
      </c>
      <c r="AE791" s="92">
        <v>0</v>
      </c>
      <c r="AF791" s="92">
        <v>0</v>
      </c>
      <c r="AG791" s="92">
        <v>0</v>
      </c>
    </row>
    <row r="792" spans="1:35" x14ac:dyDescent="0.25">
      <c r="A792" t="str">
        <f t="shared" si="15"/>
        <v>38-9-63</v>
      </c>
      <c r="B792">
        <v>38</v>
      </c>
      <c r="C792" s="92" t="s">
        <v>1050</v>
      </c>
      <c r="D792" s="92">
        <v>9</v>
      </c>
      <c r="E792" s="92" t="s">
        <v>588</v>
      </c>
      <c r="F792" s="92">
        <v>63</v>
      </c>
      <c r="G792" s="92" t="s">
        <v>523</v>
      </c>
      <c r="H792" s="92"/>
      <c r="I792" s="92">
        <v>121</v>
      </c>
      <c r="J792" s="92">
        <v>0</v>
      </c>
      <c r="K792" s="92" t="s">
        <v>1061</v>
      </c>
      <c r="L792" s="92">
        <v>2909</v>
      </c>
      <c r="M792" s="92">
        <v>1006</v>
      </c>
      <c r="N792" s="92">
        <v>463</v>
      </c>
      <c r="O792" s="92">
        <v>463</v>
      </c>
      <c r="P792" s="92">
        <v>0</v>
      </c>
      <c r="Q792" s="92">
        <v>0</v>
      </c>
      <c r="R792" s="92">
        <v>0</v>
      </c>
      <c r="S792" s="92">
        <v>0</v>
      </c>
      <c r="T792" s="92">
        <v>0</v>
      </c>
      <c r="U792" s="92">
        <v>0</v>
      </c>
      <c r="V792" s="92">
        <v>0</v>
      </c>
      <c r="W792" s="92">
        <v>0</v>
      </c>
      <c r="X792" s="92">
        <v>0</v>
      </c>
      <c r="Y792" s="92">
        <v>0</v>
      </c>
      <c r="Z792" s="92">
        <v>0</v>
      </c>
      <c r="AA792" s="92">
        <v>0</v>
      </c>
      <c r="AB792" s="92">
        <v>241008</v>
      </c>
      <c r="AC792" s="92">
        <v>252132</v>
      </c>
      <c r="AD792" s="92">
        <v>273104</v>
      </c>
      <c r="AE792" s="92">
        <v>0</v>
      </c>
      <c r="AF792" s="92">
        <v>0</v>
      </c>
      <c r="AG792" s="92">
        <v>8004</v>
      </c>
      <c r="AI792" s="250">
        <v>2.87569E-4</v>
      </c>
    </row>
    <row r="793" spans="1:35" x14ac:dyDescent="0.25">
      <c r="A793" t="str">
        <f t="shared" ref="A793:A856" si="16">B793&amp;"-"&amp;D793&amp;"-"&amp;F793</f>
        <v>38-4-153</v>
      </c>
      <c r="B793">
        <v>38</v>
      </c>
      <c r="C793" s="92" t="s">
        <v>1050</v>
      </c>
      <c r="D793" s="92">
        <v>4</v>
      </c>
      <c r="E793" s="92" t="s">
        <v>66</v>
      </c>
      <c r="F793" s="92">
        <v>153</v>
      </c>
      <c r="G793" s="92" t="s">
        <v>962</v>
      </c>
      <c r="H793" s="92"/>
      <c r="I793" s="92">
        <v>0</v>
      </c>
      <c r="J793" s="92">
        <v>160708326</v>
      </c>
      <c r="K793" s="92" t="s">
        <v>1061</v>
      </c>
      <c r="L793" s="92">
        <v>17270</v>
      </c>
      <c r="M793" s="92">
        <v>5067</v>
      </c>
      <c r="N793" s="92">
        <v>3028</v>
      </c>
      <c r="O793" s="92">
        <v>3028</v>
      </c>
      <c r="P793" s="92">
        <v>0</v>
      </c>
      <c r="Q793" s="92">
        <v>0</v>
      </c>
      <c r="R793" s="92">
        <v>0</v>
      </c>
      <c r="S793" s="92">
        <v>0</v>
      </c>
      <c r="T793" s="92">
        <v>0</v>
      </c>
      <c r="U793" s="92">
        <v>0</v>
      </c>
      <c r="V793" s="92">
        <v>0</v>
      </c>
      <c r="W793" s="92">
        <v>0</v>
      </c>
      <c r="X793" s="92">
        <v>0</v>
      </c>
      <c r="Y793" s="92">
        <v>0</v>
      </c>
      <c r="Z793" s="92">
        <v>0</v>
      </c>
      <c r="AA793" s="92">
        <v>0</v>
      </c>
      <c r="AB793" s="92">
        <v>59078</v>
      </c>
      <c r="AC793" s="92">
        <v>61745</v>
      </c>
      <c r="AD793" s="92">
        <v>64521</v>
      </c>
      <c r="AE793" s="92">
        <v>0</v>
      </c>
      <c r="AF793" s="92">
        <v>0</v>
      </c>
      <c r="AG793" s="92">
        <v>0</v>
      </c>
    </row>
    <row r="794" spans="1:35" x14ac:dyDescent="0.25">
      <c r="A794" t="str">
        <f t="shared" si="16"/>
        <v>10-7-101</v>
      </c>
      <c r="B794">
        <v>10</v>
      </c>
      <c r="C794" s="92" t="s">
        <v>1023</v>
      </c>
      <c r="D794" s="92">
        <v>7</v>
      </c>
      <c r="E794" s="92" t="s">
        <v>586</v>
      </c>
      <c r="F794" s="92">
        <v>101</v>
      </c>
      <c r="G794" s="92" t="s">
        <v>205</v>
      </c>
      <c r="H794" s="92"/>
      <c r="I794" s="92">
        <v>559</v>
      </c>
      <c r="J794" s="92">
        <v>7494631</v>
      </c>
      <c r="K794" s="92" t="s">
        <v>1061</v>
      </c>
      <c r="L794" s="92">
        <v>140</v>
      </c>
      <c r="M794" s="92">
        <v>73</v>
      </c>
      <c r="N794" s="92">
        <v>20</v>
      </c>
      <c r="O794" s="92">
        <v>20</v>
      </c>
      <c r="P794" s="92">
        <v>0</v>
      </c>
      <c r="Q794" s="92">
        <v>0</v>
      </c>
      <c r="R794" s="92">
        <v>0</v>
      </c>
      <c r="S794" s="92">
        <v>0</v>
      </c>
      <c r="T794" s="92">
        <v>0</v>
      </c>
      <c r="U794" s="92">
        <v>2</v>
      </c>
      <c r="V794" s="92">
        <v>0</v>
      </c>
      <c r="W794" s="92">
        <v>0</v>
      </c>
      <c r="X794" s="92">
        <v>0</v>
      </c>
      <c r="Y794" s="92">
        <v>0</v>
      </c>
      <c r="Z794" s="92">
        <v>0</v>
      </c>
      <c r="AA794" s="92">
        <v>0</v>
      </c>
      <c r="AB794" s="92">
        <v>13722</v>
      </c>
      <c r="AC794" s="92">
        <v>14683</v>
      </c>
      <c r="AD794" s="92">
        <v>15237</v>
      </c>
      <c r="AE794" s="92">
        <v>0</v>
      </c>
      <c r="AF794" s="92">
        <v>0</v>
      </c>
      <c r="AG794" s="92">
        <v>0</v>
      </c>
    </row>
    <row r="795" spans="1:35" x14ac:dyDescent="0.25">
      <c r="A795" t="str">
        <f t="shared" si="16"/>
        <v>35-2-35</v>
      </c>
      <c r="B795">
        <v>35</v>
      </c>
      <c r="C795" s="92" t="s">
        <v>1195</v>
      </c>
      <c r="D795" s="92">
        <v>2</v>
      </c>
      <c r="E795" s="92" t="s">
        <v>53</v>
      </c>
      <c r="F795" s="92">
        <v>35</v>
      </c>
      <c r="G795" s="92" t="s">
        <v>493</v>
      </c>
      <c r="H795" s="92"/>
      <c r="I795" s="92">
        <v>2017708</v>
      </c>
      <c r="J795" s="92">
        <v>98585140</v>
      </c>
      <c r="K795" s="92"/>
      <c r="L795" s="92">
        <v>74040</v>
      </c>
      <c r="M795" s="92">
        <v>171918</v>
      </c>
      <c r="N795" s="92">
        <v>66713</v>
      </c>
      <c r="O795" s="92">
        <v>66445</v>
      </c>
      <c r="P795" s="92">
        <v>0</v>
      </c>
      <c r="Q795" s="92">
        <v>0</v>
      </c>
      <c r="R795" s="92">
        <v>0</v>
      </c>
      <c r="S795" s="92">
        <v>4925</v>
      </c>
      <c r="T795" s="92">
        <v>6487</v>
      </c>
      <c r="U795" s="92">
        <v>511</v>
      </c>
      <c r="V795" s="92">
        <v>0</v>
      </c>
      <c r="W795" s="92">
        <v>0</v>
      </c>
      <c r="X795" s="92">
        <v>0</v>
      </c>
      <c r="Y795" s="92">
        <v>0</v>
      </c>
      <c r="Z795" s="92">
        <v>0</v>
      </c>
      <c r="AA795" s="92">
        <v>0</v>
      </c>
      <c r="AB795" s="92">
        <v>19996522</v>
      </c>
      <c r="AC795" s="92">
        <v>20354307</v>
      </c>
      <c r="AD795" s="92">
        <v>19547503</v>
      </c>
      <c r="AE795" s="92">
        <v>0</v>
      </c>
      <c r="AF795" s="92">
        <v>0</v>
      </c>
      <c r="AG795" s="92">
        <v>0</v>
      </c>
      <c r="AH795" s="92" t="s">
        <v>1121</v>
      </c>
    </row>
    <row r="796" spans="1:35" x14ac:dyDescent="0.25">
      <c r="A796" t="str">
        <f t="shared" si="16"/>
        <v>35-11-96</v>
      </c>
      <c r="B796">
        <v>35</v>
      </c>
      <c r="C796" s="92" t="s">
        <v>1195</v>
      </c>
      <c r="D796" s="92">
        <v>11</v>
      </c>
      <c r="E796" s="92" t="s">
        <v>1062</v>
      </c>
      <c r="F796" s="92">
        <v>96</v>
      </c>
      <c r="G796" s="92" t="s">
        <v>1253</v>
      </c>
      <c r="H796" s="92">
        <v>1</v>
      </c>
      <c r="I796" s="92">
        <v>0</v>
      </c>
      <c r="J796" s="92">
        <v>97101387</v>
      </c>
      <c r="K796" s="92"/>
      <c r="L796" s="92">
        <v>0</v>
      </c>
      <c r="M796" s="92">
        <v>0</v>
      </c>
      <c r="N796" s="92">
        <v>0</v>
      </c>
      <c r="O796" s="92">
        <v>0</v>
      </c>
      <c r="P796" s="92">
        <v>0</v>
      </c>
      <c r="Q796" s="92">
        <v>0</v>
      </c>
      <c r="R796" s="92">
        <v>0</v>
      </c>
      <c r="S796" s="92">
        <v>0</v>
      </c>
      <c r="T796" s="92">
        <v>0</v>
      </c>
      <c r="U796" s="92">
        <v>0</v>
      </c>
      <c r="V796" s="92">
        <v>0</v>
      </c>
      <c r="W796" s="92">
        <v>0</v>
      </c>
      <c r="X796" s="92">
        <v>0</v>
      </c>
      <c r="Y796" s="92">
        <v>0</v>
      </c>
      <c r="Z796" s="92">
        <v>0</v>
      </c>
      <c r="AA796" s="92">
        <v>0</v>
      </c>
      <c r="AB796" s="92">
        <v>50000</v>
      </c>
      <c r="AC796" s="92">
        <v>600000</v>
      </c>
      <c r="AD796" s="92">
        <v>1601675</v>
      </c>
      <c r="AE796" s="92">
        <v>0</v>
      </c>
      <c r="AF796" s="92">
        <v>0</v>
      </c>
      <c r="AG796" s="92">
        <v>0</v>
      </c>
    </row>
    <row r="797" spans="1:35" x14ac:dyDescent="0.25">
      <c r="A797" t="str">
        <f t="shared" si="16"/>
        <v>31-9-64</v>
      </c>
      <c r="B797">
        <v>31</v>
      </c>
      <c r="C797" s="92" t="s">
        <v>1044</v>
      </c>
      <c r="D797" s="92">
        <v>9</v>
      </c>
      <c r="E797" s="92" t="s">
        <v>588</v>
      </c>
      <c r="F797" s="92">
        <v>64</v>
      </c>
      <c r="G797" s="92" t="s">
        <v>925</v>
      </c>
      <c r="H797" s="92"/>
      <c r="I797" s="92">
        <v>373</v>
      </c>
      <c r="J797" s="92">
        <v>3510298</v>
      </c>
      <c r="K797" s="92" t="s">
        <v>1061</v>
      </c>
      <c r="L797" s="92">
        <v>522</v>
      </c>
      <c r="M797" s="92">
        <v>44</v>
      </c>
      <c r="N797" s="92">
        <v>20</v>
      </c>
      <c r="O797" s="92">
        <v>20</v>
      </c>
      <c r="P797" s="92">
        <v>0</v>
      </c>
      <c r="Q797" s="92">
        <v>0</v>
      </c>
      <c r="R797" s="92">
        <v>0</v>
      </c>
      <c r="S797" s="92">
        <v>0</v>
      </c>
      <c r="T797" s="92">
        <v>0</v>
      </c>
      <c r="U797" s="92">
        <v>0</v>
      </c>
      <c r="V797" s="92">
        <v>0</v>
      </c>
      <c r="W797" s="92">
        <v>0</v>
      </c>
      <c r="X797" s="92">
        <v>0</v>
      </c>
      <c r="Y797" s="92">
        <v>0</v>
      </c>
      <c r="Z797" s="92">
        <v>0</v>
      </c>
      <c r="AA797" s="92">
        <v>0</v>
      </c>
      <c r="AB797" s="92">
        <v>9174</v>
      </c>
      <c r="AC797" s="92">
        <v>9473</v>
      </c>
      <c r="AD797" s="92">
        <v>10003</v>
      </c>
      <c r="AE797" s="92">
        <v>0</v>
      </c>
      <c r="AF797" s="92">
        <v>0</v>
      </c>
      <c r="AG797" s="92">
        <v>0</v>
      </c>
      <c r="AI797" s="250">
        <v>1.1090399999999999E-4</v>
      </c>
    </row>
    <row r="798" spans="1:35" x14ac:dyDescent="0.25">
      <c r="A798" t="str">
        <f t="shared" si="16"/>
        <v>18-4-120</v>
      </c>
      <c r="B798">
        <v>18</v>
      </c>
      <c r="C798" s="92" t="s">
        <v>1031</v>
      </c>
      <c r="D798" s="92">
        <v>4</v>
      </c>
      <c r="E798" s="92" t="s">
        <v>66</v>
      </c>
      <c r="F798" s="92">
        <v>120</v>
      </c>
      <c r="G798" s="92" t="s">
        <v>787</v>
      </c>
      <c r="H798" s="92"/>
      <c r="I798" s="92">
        <v>0</v>
      </c>
      <c r="J798" s="92">
        <v>271899</v>
      </c>
      <c r="K798" s="92">
        <v>1</v>
      </c>
      <c r="L798" s="92">
        <v>10146</v>
      </c>
      <c r="M798" s="92">
        <v>5399</v>
      </c>
      <c r="N798" s="92">
        <v>1295</v>
      </c>
      <c r="O798" s="92">
        <v>1295</v>
      </c>
      <c r="P798" s="92">
        <v>0</v>
      </c>
      <c r="Q798" s="92">
        <v>0</v>
      </c>
      <c r="R798" s="92">
        <v>0</v>
      </c>
      <c r="S798" s="92">
        <v>0</v>
      </c>
      <c r="T798" s="92">
        <v>0</v>
      </c>
      <c r="U798" s="92">
        <v>0</v>
      </c>
      <c r="V798" s="92">
        <v>0</v>
      </c>
      <c r="W798" s="92">
        <v>0</v>
      </c>
      <c r="X798" s="92">
        <v>0</v>
      </c>
      <c r="Y798" s="92">
        <v>0</v>
      </c>
      <c r="Z798" s="92">
        <v>0</v>
      </c>
      <c r="AA798" s="92">
        <v>0</v>
      </c>
      <c r="AB798" s="92">
        <v>18006</v>
      </c>
      <c r="AC798" s="92">
        <v>18546</v>
      </c>
      <c r="AD798" s="92">
        <v>19324</v>
      </c>
      <c r="AE798" s="92">
        <v>0</v>
      </c>
      <c r="AF798" s="92">
        <v>0</v>
      </c>
      <c r="AG798" s="92">
        <v>0</v>
      </c>
    </row>
    <row r="799" spans="1:35" x14ac:dyDescent="0.25">
      <c r="A799" t="str">
        <f t="shared" si="16"/>
        <v>25-4-120</v>
      </c>
      <c r="B799">
        <v>25</v>
      </c>
      <c r="C799" s="92" t="s">
        <v>1038</v>
      </c>
      <c r="D799" s="92">
        <v>4</v>
      </c>
      <c r="E799" s="92" t="s">
        <v>66</v>
      </c>
      <c r="F799" s="92">
        <v>120</v>
      </c>
      <c r="G799" s="92" t="s">
        <v>787</v>
      </c>
      <c r="H799" s="92"/>
      <c r="I799" s="92">
        <v>0</v>
      </c>
      <c r="J799" s="92">
        <v>23103</v>
      </c>
      <c r="K799" s="92">
        <v>1</v>
      </c>
      <c r="L799" s="92">
        <v>10146</v>
      </c>
      <c r="M799" s="92">
        <v>5399</v>
      </c>
      <c r="N799" s="92">
        <v>1295</v>
      </c>
      <c r="O799" s="92">
        <v>1295</v>
      </c>
      <c r="P799" s="92">
        <v>0</v>
      </c>
      <c r="Q799" s="92">
        <v>0</v>
      </c>
      <c r="R799" s="92">
        <v>0</v>
      </c>
      <c r="S799" s="92">
        <v>0</v>
      </c>
      <c r="T799" s="92">
        <v>0</v>
      </c>
      <c r="U799" s="92">
        <v>0</v>
      </c>
      <c r="V799" s="92">
        <v>0</v>
      </c>
      <c r="W799" s="92">
        <v>0</v>
      </c>
      <c r="X799" s="92">
        <v>0</v>
      </c>
      <c r="Y799" s="92">
        <v>0</v>
      </c>
      <c r="Z799" s="92">
        <v>0</v>
      </c>
      <c r="AA799" s="92">
        <v>0</v>
      </c>
      <c r="AB799" s="92">
        <v>18006</v>
      </c>
      <c r="AC799" s="92">
        <v>18546</v>
      </c>
      <c r="AD799" s="92">
        <v>19324</v>
      </c>
      <c r="AE799" s="92">
        <v>0</v>
      </c>
      <c r="AF799" s="92">
        <v>0</v>
      </c>
      <c r="AG799" s="92">
        <v>0</v>
      </c>
    </row>
    <row r="800" spans="1:35" x14ac:dyDescent="0.25">
      <c r="A800" t="str">
        <f t="shared" si="16"/>
        <v>31-4-120</v>
      </c>
      <c r="B800">
        <v>31</v>
      </c>
      <c r="C800" s="92" t="s">
        <v>1044</v>
      </c>
      <c r="D800" s="92">
        <v>4</v>
      </c>
      <c r="E800" s="92" t="s">
        <v>66</v>
      </c>
      <c r="F800" s="92">
        <v>120</v>
      </c>
      <c r="G800" s="92" t="s">
        <v>787</v>
      </c>
      <c r="H800" s="92"/>
      <c r="I800" s="92">
        <v>0</v>
      </c>
      <c r="J800" s="92">
        <v>4328358</v>
      </c>
      <c r="K800" s="92">
        <v>1</v>
      </c>
      <c r="L800" s="92">
        <v>10146</v>
      </c>
      <c r="M800" s="92">
        <v>5399</v>
      </c>
      <c r="N800" s="92">
        <v>1295</v>
      </c>
      <c r="O800" s="92">
        <v>1295</v>
      </c>
      <c r="P800" s="92">
        <v>0</v>
      </c>
      <c r="Q800" s="92">
        <v>0</v>
      </c>
      <c r="R800" s="92">
        <v>0</v>
      </c>
      <c r="S800" s="92">
        <v>0</v>
      </c>
      <c r="T800" s="92">
        <v>0</v>
      </c>
      <c r="U800" s="92">
        <v>0</v>
      </c>
      <c r="V800" s="92">
        <v>0</v>
      </c>
      <c r="W800" s="92">
        <v>0</v>
      </c>
      <c r="X800" s="92">
        <v>0</v>
      </c>
      <c r="Y800" s="92">
        <v>0</v>
      </c>
      <c r="Z800" s="92">
        <v>0</v>
      </c>
      <c r="AA800" s="92">
        <v>0</v>
      </c>
      <c r="AB800" s="92">
        <v>18006</v>
      </c>
      <c r="AC800" s="92">
        <v>18546</v>
      </c>
      <c r="AD800" s="92">
        <v>19324</v>
      </c>
      <c r="AE800" s="92">
        <v>0</v>
      </c>
      <c r="AF800" s="92">
        <v>0</v>
      </c>
      <c r="AG800" s="92">
        <v>0</v>
      </c>
    </row>
    <row r="801" spans="1:35" x14ac:dyDescent="0.25">
      <c r="A801" t="str">
        <f t="shared" si="16"/>
        <v>31-7-104</v>
      </c>
      <c r="B801">
        <v>31</v>
      </c>
      <c r="C801" s="92" t="s">
        <v>1044</v>
      </c>
      <c r="D801" s="92">
        <v>7</v>
      </c>
      <c r="E801" s="92" t="s">
        <v>586</v>
      </c>
      <c r="F801" s="92">
        <v>104</v>
      </c>
      <c r="G801" s="92" t="s">
        <v>924</v>
      </c>
      <c r="H801" s="92"/>
      <c r="I801" s="92">
        <v>372</v>
      </c>
      <c r="J801" s="92">
        <v>4056032</v>
      </c>
      <c r="K801" s="92" t="s">
        <v>1061</v>
      </c>
      <c r="L801" s="92">
        <v>830</v>
      </c>
      <c r="M801" s="92">
        <v>189</v>
      </c>
      <c r="N801" s="92">
        <v>56</v>
      </c>
      <c r="O801" s="92">
        <v>56</v>
      </c>
      <c r="P801" s="92">
        <v>0</v>
      </c>
      <c r="Q801" s="92">
        <v>0</v>
      </c>
      <c r="R801" s="92">
        <v>0</v>
      </c>
      <c r="S801" s="92">
        <v>0</v>
      </c>
      <c r="T801" s="92">
        <v>0</v>
      </c>
      <c r="U801" s="92">
        <v>0</v>
      </c>
      <c r="V801" s="92">
        <v>0</v>
      </c>
      <c r="W801" s="92">
        <v>0</v>
      </c>
      <c r="X801" s="92">
        <v>0</v>
      </c>
      <c r="Y801" s="92">
        <v>0</v>
      </c>
      <c r="Z801" s="92">
        <v>0</v>
      </c>
      <c r="AA801" s="92">
        <v>0</v>
      </c>
      <c r="AB801" s="92">
        <v>15770</v>
      </c>
      <c r="AC801" s="92">
        <v>16456</v>
      </c>
      <c r="AD801" s="92">
        <v>17278</v>
      </c>
      <c r="AE801" s="92">
        <v>0</v>
      </c>
      <c r="AF801" s="92">
        <v>0</v>
      </c>
      <c r="AG801" s="92">
        <v>0</v>
      </c>
    </row>
    <row r="802" spans="1:35" x14ac:dyDescent="0.25">
      <c r="A802" t="str">
        <f t="shared" si="16"/>
        <v>29-7-102</v>
      </c>
      <c r="B802">
        <v>29</v>
      </c>
      <c r="C802" s="92" t="s">
        <v>1042</v>
      </c>
      <c r="D802" s="92">
        <v>7</v>
      </c>
      <c r="E802" s="92" t="s">
        <v>586</v>
      </c>
      <c r="F802" s="92">
        <v>102</v>
      </c>
      <c r="G802" s="92" t="s">
        <v>446</v>
      </c>
      <c r="H802" s="92"/>
      <c r="I802" s="92">
        <v>2994</v>
      </c>
      <c r="J802" s="92">
        <v>5163047</v>
      </c>
      <c r="K802" s="92">
        <v>1</v>
      </c>
      <c r="L802" s="92">
        <v>314</v>
      </c>
      <c r="M802" s="92">
        <v>103</v>
      </c>
      <c r="N802" s="92">
        <v>30</v>
      </c>
      <c r="O802" s="92">
        <v>30</v>
      </c>
      <c r="P802" s="92">
        <v>0</v>
      </c>
      <c r="Q802" s="92">
        <v>0</v>
      </c>
      <c r="R802" s="92">
        <v>0</v>
      </c>
      <c r="S802" s="92">
        <v>5</v>
      </c>
      <c r="T802" s="92">
        <v>7</v>
      </c>
      <c r="U802" s="92">
        <v>0</v>
      </c>
      <c r="V802" s="92">
        <v>0</v>
      </c>
      <c r="W802" s="92">
        <v>0</v>
      </c>
      <c r="X802" s="92">
        <v>0</v>
      </c>
      <c r="Y802" s="92">
        <v>0</v>
      </c>
      <c r="Z802" s="92">
        <v>0</v>
      </c>
      <c r="AA802" s="92">
        <v>0</v>
      </c>
      <c r="AB802" s="92">
        <v>7965</v>
      </c>
      <c r="AC802" s="92">
        <v>7993</v>
      </c>
      <c r="AD802" s="92">
        <v>7970</v>
      </c>
      <c r="AE802" s="92">
        <v>0</v>
      </c>
      <c r="AF802" s="92">
        <v>0</v>
      </c>
      <c r="AG802" s="92">
        <v>0</v>
      </c>
    </row>
    <row r="803" spans="1:35" x14ac:dyDescent="0.25">
      <c r="A803" t="str">
        <f t="shared" si="16"/>
        <v>35-7-102</v>
      </c>
      <c r="B803">
        <v>35</v>
      </c>
      <c r="C803" s="92" t="s">
        <v>1195</v>
      </c>
      <c r="D803" s="92">
        <v>7</v>
      </c>
      <c r="E803" s="92" t="s">
        <v>586</v>
      </c>
      <c r="F803" s="92">
        <v>102</v>
      </c>
      <c r="G803" s="92" t="s">
        <v>446</v>
      </c>
      <c r="H803" s="92"/>
      <c r="I803" s="92">
        <v>2994</v>
      </c>
      <c r="J803" s="92">
        <v>1091732</v>
      </c>
      <c r="K803" s="92">
        <v>1</v>
      </c>
      <c r="L803" s="92">
        <v>314</v>
      </c>
      <c r="M803" s="92">
        <v>103</v>
      </c>
      <c r="N803" s="92">
        <v>30</v>
      </c>
      <c r="O803" s="92">
        <v>30</v>
      </c>
      <c r="P803" s="92">
        <v>0</v>
      </c>
      <c r="Q803" s="92">
        <v>0</v>
      </c>
      <c r="R803" s="92">
        <v>0</v>
      </c>
      <c r="S803" s="92">
        <v>5</v>
      </c>
      <c r="T803" s="92">
        <v>7</v>
      </c>
      <c r="U803" s="92">
        <v>0</v>
      </c>
      <c r="V803" s="92">
        <v>0</v>
      </c>
      <c r="W803" s="92">
        <v>0</v>
      </c>
      <c r="X803" s="92">
        <v>0</v>
      </c>
      <c r="Y803" s="92">
        <v>0</v>
      </c>
      <c r="Z803" s="92">
        <v>0</v>
      </c>
      <c r="AA803" s="92">
        <v>0</v>
      </c>
      <c r="AB803" s="92">
        <v>7965</v>
      </c>
      <c r="AC803" s="92">
        <v>7993</v>
      </c>
      <c r="AD803" s="92">
        <v>7970</v>
      </c>
      <c r="AE803" s="92">
        <v>0</v>
      </c>
      <c r="AF803" s="92">
        <v>0</v>
      </c>
      <c r="AG803" s="92">
        <v>0</v>
      </c>
    </row>
    <row r="804" spans="1:35" x14ac:dyDescent="0.25">
      <c r="A804" t="str">
        <f t="shared" si="16"/>
        <v>1-9-11</v>
      </c>
      <c r="B804">
        <v>1</v>
      </c>
      <c r="C804" s="92" t="s">
        <v>1016</v>
      </c>
      <c r="D804" s="92">
        <v>9</v>
      </c>
      <c r="E804" s="92" t="s">
        <v>588</v>
      </c>
      <c r="F804" s="92">
        <v>11</v>
      </c>
      <c r="G804" s="92" t="s">
        <v>609</v>
      </c>
      <c r="H804" s="92"/>
      <c r="I804" s="92">
        <v>0</v>
      </c>
      <c r="J804" s="92">
        <v>34215362</v>
      </c>
      <c r="K804" s="92" t="s">
        <v>1061</v>
      </c>
      <c r="L804" s="92">
        <v>87</v>
      </c>
      <c r="M804" s="92">
        <v>34873</v>
      </c>
      <c r="N804" s="92">
        <v>5866</v>
      </c>
      <c r="O804" s="92">
        <v>5866</v>
      </c>
      <c r="P804" s="92">
        <v>0</v>
      </c>
      <c r="Q804" s="92">
        <v>0</v>
      </c>
      <c r="R804" s="92">
        <v>0</v>
      </c>
      <c r="S804" s="92">
        <v>0</v>
      </c>
      <c r="T804" s="92">
        <v>0</v>
      </c>
      <c r="U804" s="92">
        <v>722</v>
      </c>
      <c r="V804" s="92">
        <v>0</v>
      </c>
      <c r="W804" s="92">
        <v>0</v>
      </c>
      <c r="X804" s="92">
        <v>0</v>
      </c>
      <c r="Y804" s="92">
        <v>0</v>
      </c>
      <c r="Z804" s="92">
        <v>0</v>
      </c>
      <c r="AA804" s="92">
        <v>0</v>
      </c>
      <c r="AB804" s="92">
        <v>6004229</v>
      </c>
      <c r="AC804" s="92">
        <v>6250184</v>
      </c>
      <c r="AD804" s="92">
        <v>6566214</v>
      </c>
      <c r="AE804" s="92">
        <v>0</v>
      </c>
      <c r="AF804" s="92">
        <v>0</v>
      </c>
      <c r="AG804" s="92">
        <v>0</v>
      </c>
      <c r="AI804" s="250">
        <v>1.546434E-3</v>
      </c>
    </row>
    <row r="805" spans="1:35" x14ac:dyDescent="0.25">
      <c r="A805" t="str">
        <f t="shared" si="16"/>
        <v>3-9-106</v>
      </c>
      <c r="B805">
        <v>3</v>
      </c>
      <c r="C805" s="92" t="s">
        <v>1018</v>
      </c>
      <c r="D805" s="92">
        <v>9</v>
      </c>
      <c r="E805" s="92" t="s">
        <v>588</v>
      </c>
      <c r="F805" s="92">
        <v>106</v>
      </c>
      <c r="G805" s="92" t="s">
        <v>644</v>
      </c>
      <c r="H805" s="92"/>
      <c r="I805" s="92">
        <v>292</v>
      </c>
      <c r="J805" s="92">
        <v>0</v>
      </c>
      <c r="K805" s="92" t="s">
        <v>1061</v>
      </c>
      <c r="L805" s="92">
        <v>979</v>
      </c>
      <c r="M805" s="92">
        <v>1274</v>
      </c>
      <c r="N805" s="92">
        <v>894</v>
      </c>
      <c r="O805" s="92">
        <v>894</v>
      </c>
      <c r="P805" s="92">
        <v>0</v>
      </c>
      <c r="Q805" s="92">
        <v>0</v>
      </c>
      <c r="R805" s="92">
        <v>0</v>
      </c>
      <c r="S805" s="92">
        <v>0</v>
      </c>
      <c r="T805" s="92">
        <v>0</v>
      </c>
      <c r="U805" s="92">
        <v>0</v>
      </c>
      <c r="V805" s="92">
        <v>0</v>
      </c>
      <c r="W805" s="92">
        <v>0</v>
      </c>
      <c r="X805" s="92">
        <v>0</v>
      </c>
      <c r="Y805" s="92">
        <v>0</v>
      </c>
      <c r="Z805" s="92">
        <v>0</v>
      </c>
      <c r="AA805" s="92">
        <v>0</v>
      </c>
      <c r="AB805" s="92">
        <v>518662</v>
      </c>
      <c r="AC805" s="92">
        <v>547479</v>
      </c>
      <c r="AD805" s="92">
        <v>547479</v>
      </c>
      <c r="AE805" s="92">
        <v>0</v>
      </c>
      <c r="AF805" s="92">
        <v>0</v>
      </c>
      <c r="AG805" s="92">
        <v>0</v>
      </c>
      <c r="AI805" s="250">
        <v>7.2727600000000001E-4</v>
      </c>
    </row>
    <row r="806" spans="1:35" x14ac:dyDescent="0.25">
      <c r="A806" t="str">
        <f t="shared" si="16"/>
        <v>6-14-55</v>
      </c>
      <c r="B806">
        <v>6</v>
      </c>
      <c r="C806" s="92" t="s">
        <v>1020</v>
      </c>
      <c r="D806" s="92">
        <v>14</v>
      </c>
      <c r="E806" s="92" t="s">
        <v>571</v>
      </c>
      <c r="F806" s="92">
        <v>55</v>
      </c>
      <c r="G806" s="92" t="s">
        <v>1248</v>
      </c>
      <c r="H806" s="92"/>
      <c r="I806" s="92">
        <v>10462</v>
      </c>
      <c r="J806" s="92">
        <v>67260591</v>
      </c>
      <c r="K806" s="92" t="s">
        <v>1061</v>
      </c>
      <c r="L806" s="92">
        <v>8020</v>
      </c>
      <c r="M806" s="92">
        <v>3196</v>
      </c>
      <c r="N806" s="92">
        <v>911</v>
      </c>
      <c r="O806" s="92">
        <v>911</v>
      </c>
      <c r="P806" s="92">
        <v>0</v>
      </c>
      <c r="Q806" s="92">
        <v>0</v>
      </c>
      <c r="R806" s="92">
        <v>0</v>
      </c>
      <c r="S806" s="92">
        <v>0</v>
      </c>
      <c r="T806" s="92">
        <v>0</v>
      </c>
      <c r="U806" s="92">
        <v>0</v>
      </c>
      <c r="V806" s="92">
        <v>0</v>
      </c>
      <c r="W806" s="92">
        <v>0</v>
      </c>
      <c r="X806" s="92">
        <v>0</v>
      </c>
      <c r="Y806" s="92">
        <v>0</v>
      </c>
      <c r="Z806" s="92">
        <v>0</v>
      </c>
      <c r="AA806" s="92">
        <v>0</v>
      </c>
      <c r="AB806" s="92">
        <v>482803</v>
      </c>
      <c r="AC806" s="92">
        <v>512113</v>
      </c>
      <c r="AD806" s="92">
        <v>540546</v>
      </c>
      <c r="AE806" s="92">
        <v>0</v>
      </c>
      <c r="AF806" s="92">
        <v>0</v>
      </c>
      <c r="AG806" s="92">
        <v>0</v>
      </c>
      <c r="AI806" s="250">
        <v>3.4714000000000001E-4</v>
      </c>
    </row>
    <row r="807" spans="1:35" x14ac:dyDescent="0.25">
      <c r="A807" t="str">
        <f t="shared" si="16"/>
        <v>7-9-42</v>
      </c>
      <c r="B807">
        <v>7</v>
      </c>
      <c r="C807" s="92" t="s">
        <v>1057</v>
      </c>
      <c r="D807" s="92">
        <v>9</v>
      </c>
      <c r="E807" s="92" t="s">
        <v>588</v>
      </c>
      <c r="F807" s="92">
        <v>42</v>
      </c>
      <c r="G807" s="92" t="s">
        <v>1090</v>
      </c>
      <c r="H807" s="92"/>
      <c r="I807" s="92">
        <v>0</v>
      </c>
      <c r="J807" s="92">
        <v>0</v>
      </c>
      <c r="K807" s="92" t="s">
        <v>1061</v>
      </c>
      <c r="L807" s="92">
        <v>0</v>
      </c>
      <c r="M807" s="92">
        <v>0</v>
      </c>
      <c r="N807" s="92">
        <v>34</v>
      </c>
      <c r="O807" s="92">
        <v>34</v>
      </c>
      <c r="P807" s="92">
        <v>0</v>
      </c>
      <c r="Q807" s="92">
        <v>0</v>
      </c>
      <c r="R807" s="92">
        <v>0</v>
      </c>
      <c r="S807" s="92">
        <v>0</v>
      </c>
      <c r="T807" s="92">
        <v>0</v>
      </c>
      <c r="U807" s="92">
        <v>0</v>
      </c>
      <c r="V807" s="92">
        <v>0</v>
      </c>
      <c r="W807" s="92">
        <v>0</v>
      </c>
      <c r="X807" s="92">
        <v>0</v>
      </c>
      <c r="Y807" s="92">
        <v>0</v>
      </c>
      <c r="Z807" s="92">
        <v>0</v>
      </c>
      <c r="AA807" s="92">
        <v>0</v>
      </c>
      <c r="AB807" s="92">
        <v>500838</v>
      </c>
      <c r="AC807" s="92">
        <v>518533</v>
      </c>
      <c r="AD807" s="92">
        <v>544595</v>
      </c>
      <c r="AE807" s="92">
        <v>0</v>
      </c>
      <c r="AF807" s="92">
        <v>0</v>
      </c>
      <c r="AG807" s="92">
        <v>0</v>
      </c>
      <c r="AI807" s="250">
        <v>9.6047999999999999E-5</v>
      </c>
    </row>
    <row r="808" spans="1:35" x14ac:dyDescent="0.25">
      <c r="A808" t="str">
        <f t="shared" si="16"/>
        <v>16-9-65</v>
      </c>
      <c r="B808">
        <v>16</v>
      </c>
      <c r="C808" s="92" t="s">
        <v>1029</v>
      </c>
      <c r="D808" s="92">
        <v>9</v>
      </c>
      <c r="E808" s="92" t="s">
        <v>588</v>
      </c>
      <c r="F808" s="92">
        <v>65</v>
      </c>
      <c r="G808" s="92" t="s">
        <v>1249</v>
      </c>
      <c r="H808" s="92"/>
      <c r="I808" s="92">
        <v>0</v>
      </c>
      <c r="J808" s="92">
        <v>0</v>
      </c>
      <c r="K808" s="92" t="s">
        <v>1061</v>
      </c>
      <c r="L808" s="92">
        <v>15014</v>
      </c>
      <c r="M808" s="92">
        <v>2774</v>
      </c>
      <c r="N808" s="92">
        <v>865</v>
      </c>
      <c r="O808" s="92">
        <v>865</v>
      </c>
      <c r="P808" s="92">
        <v>0</v>
      </c>
      <c r="Q808" s="92">
        <v>0</v>
      </c>
      <c r="R808" s="92">
        <v>0</v>
      </c>
      <c r="S808" s="92">
        <v>0</v>
      </c>
      <c r="T808" s="92">
        <v>0</v>
      </c>
      <c r="U808" s="92">
        <v>0</v>
      </c>
      <c r="V808" s="92">
        <v>0</v>
      </c>
      <c r="W808" s="92">
        <v>0</v>
      </c>
      <c r="X808" s="92">
        <v>0</v>
      </c>
      <c r="Y808" s="92">
        <v>0</v>
      </c>
      <c r="Z808" s="92">
        <v>0</v>
      </c>
      <c r="AA808" s="92">
        <v>0</v>
      </c>
      <c r="AB808" s="92">
        <v>445707</v>
      </c>
      <c r="AC808" s="92">
        <v>461935</v>
      </c>
      <c r="AD808" s="92">
        <v>482213</v>
      </c>
      <c r="AE808" s="92">
        <v>0</v>
      </c>
      <c r="AF808" s="92">
        <v>0</v>
      </c>
      <c r="AG808" s="92">
        <v>0</v>
      </c>
      <c r="AI808" s="250">
        <v>2.9832900000000001E-4</v>
      </c>
    </row>
    <row r="809" spans="1:35" x14ac:dyDescent="0.25">
      <c r="A809" t="str">
        <f t="shared" si="16"/>
        <v>6-17-39</v>
      </c>
      <c r="B809">
        <v>6</v>
      </c>
      <c r="C809" s="92" t="s">
        <v>1020</v>
      </c>
      <c r="D809" s="92">
        <v>17</v>
      </c>
      <c r="E809" s="92" t="s">
        <v>593</v>
      </c>
      <c r="F809" s="92">
        <v>39</v>
      </c>
      <c r="G809" s="92" t="s">
        <v>1147</v>
      </c>
      <c r="H809" s="92"/>
      <c r="I809" s="92">
        <v>0</v>
      </c>
      <c r="J809" s="92">
        <v>30907271</v>
      </c>
      <c r="K809" s="92"/>
      <c r="L809" s="92">
        <v>0</v>
      </c>
      <c r="M809" s="92">
        <v>0</v>
      </c>
      <c r="N809" s="92">
        <v>0</v>
      </c>
      <c r="O809" s="92">
        <v>0</v>
      </c>
      <c r="P809" s="92">
        <v>0</v>
      </c>
      <c r="Q809" s="92">
        <v>0</v>
      </c>
      <c r="R809" s="92">
        <v>0</v>
      </c>
      <c r="S809" s="92">
        <v>0</v>
      </c>
      <c r="T809" s="92">
        <v>0</v>
      </c>
      <c r="U809" s="92">
        <v>0</v>
      </c>
      <c r="V809" s="92">
        <v>0</v>
      </c>
      <c r="W809" s="92">
        <v>0</v>
      </c>
      <c r="X809" s="92">
        <v>0</v>
      </c>
      <c r="Y809" s="92">
        <v>0</v>
      </c>
      <c r="Z809" s="92">
        <v>0</v>
      </c>
      <c r="AA809" s="92">
        <v>0</v>
      </c>
      <c r="AB809" s="92">
        <v>545360</v>
      </c>
      <c r="AC809" s="92">
        <v>545360</v>
      </c>
      <c r="AD809" s="92">
        <v>580847</v>
      </c>
      <c r="AE809" s="92">
        <v>0</v>
      </c>
      <c r="AF809" s="92">
        <v>0</v>
      </c>
      <c r="AG809" s="92">
        <v>0</v>
      </c>
    </row>
    <row r="810" spans="1:35" x14ac:dyDescent="0.25">
      <c r="A810" t="str">
        <f t="shared" si="16"/>
        <v>22-7-105</v>
      </c>
      <c r="B810">
        <v>22</v>
      </c>
      <c r="C810" s="92" t="s">
        <v>1035</v>
      </c>
      <c r="D810" s="92">
        <v>7</v>
      </c>
      <c r="E810" s="92" t="s">
        <v>586</v>
      </c>
      <c r="F810" s="92">
        <v>105</v>
      </c>
      <c r="G810" s="92" t="s">
        <v>1250</v>
      </c>
      <c r="H810" s="92"/>
      <c r="I810" s="92">
        <v>0</v>
      </c>
      <c r="J810" s="92">
        <v>16109835</v>
      </c>
      <c r="K810" s="92" t="s">
        <v>1061</v>
      </c>
      <c r="L810" s="92">
        <v>1817</v>
      </c>
      <c r="M810" s="92">
        <v>402</v>
      </c>
      <c r="N810" s="92">
        <v>81</v>
      </c>
      <c r="O810" s="92">
        <v>81</v>
      </c>
      <c r="P810" s="92">
        <v>0</v>
      </c>
      <c r="Q810" s="92">
        <v>0</v>
      </c>
      <c r="R810" s="92">
        <v>0</v>
      </c>
      <c r="S810" s="92">
        <v>0</v>
      </c>
      <c r="T810" s="92">
        <v>0</v>
      </c>
      <c r="U810" s="92">
        <v>0</v>
      </c>
      <c r="V810" s="92">
        <v>0</v>
      </c>
      <c r="W810" s="92">
        <v>0</v>
      </c>
      <c r="X810" s="92">
        <v>0</v>
      </c>
      <c r="Y810" s="92">
        <v>0</v>
      </c>
      <c r="Z810" s="92">
        <v>0</v>
      </c>
      <c r="AA810" s="92">
        <v>0</v>
      </c>
      <c r="AB810" s="92">
        <v>68748</v>
      </c>
      <c r="AC810" s="92">
        <v>72502</v>
      </c>
      <c r="AD810" s="92">
        <v>76554</v>
      </c>
      <c r="AE810" s="92">
        <v>0</v>
      </c>
      <c r="AF810" s="92">
        <v>0</v>
      </c>
      <c r="AG810" s="92">
        <v>0</v>
      </c>
    </row>
    <row r="811" spans="1:35" x14ac:dyDescent="0.25">
      <c r="A811" t="str">
        <f t="shared" si="16"/>
        <v>22-9-68</v>
      </c>
      <c r="B811">
        <v>22</v>
      </c>
      <c r="C811" s="92" t="s">
        <v>1035</v>
      </c>
      <c r="D811" s="92">
        <v>9</v>
      </c>
      <c r="E811" s="92" t="s">
        <v>588</v>
      </c>
      <c r="F811" s="92">
        <v>68</v>
      </c>
      <c r="G811" s="92" t="s">
        <v>1251</v>
      </c>
      <c r="H811" s="92"/>
      <c r="I811" s="92">
        <v>18703</v>
      </c>
      <c r="J811" s="92">
        <v>8744000</v>
      </c>
      <c r="K811" s="92" t="s">
        <v>1061</v>
      </c>
      <c r="L811" s="92">
        <v>6212</v>
      </c>
      <c r="M811" s="92">
        <v>1068</v>
      </c>
      <c r="N811" s="92">
        <v>144</v>
      </c>
      <c r="O811" s="92">
        <v>144</v>
      </c>
      <c r="P811" s="92">
        <v>0</v>
      </c>
      <c r="Q811" s="92">
        <v>0</v>
      </c>
      <c r="R811" s="92">
        <v>0</v>
      </c>
      <c r="S811" s="92">
        <v>0</v>
      </c>
      <c r="T811" s="92">
        <v>0</v>
      </c>
      <c r="U811" s="92">
        <v>0</v>
      </c>
      <c r="V811" s="92">
        <v>0</v>
      </c>
      <c r="W811" s="92">
        <v>0</v>
      </c>
      <c r="X811" s="92">
        <v>0</v>
      </c>
      <c r="Y811" s="92">
        <v>0</v>
      </c>
      <c r="Z811" s="92">
        <v>0</v>
      </c>
      <c r="AA811" s="92">
        <v>0</v>
      </c>
      <c r="AB811" s="92">
        <v>165946</v>
      </c>
      <c r="AC811" s="92">
        <v>176542</v>
      </c>
      <c r="AD811" s="92">
        <v>176542</v>
      </c>
      <c r="AE811" s="92">
        <v>0</v>
      </c>
      <c r="AF811" s="92">
        <v>0</v>
      </c>
      <c r="AG811" s="92">
        <v>0</v>
      </c>
      <c r="AI811" s="250">
        <v>2.6587799999999999E-4</v>
      </c>
    </row>
    <row r="812" spans="1:35" x14ac:dyDescent="0.25">
      <c r="A812" t="str">
        <f t="shared" si="16"/>
        <v>22-12-12</v>
      </c>
      <c r="B812">
        <v>22</v>
      </c>
      <c r="C812" s="92" t="s">
        <v>1035</v>
      </c>
      <c r="D812" s="92">
        <v>12</v>
      </c>
      <c r="E812" s="92" t="s">
        <v>71</v>
      </c>
      <c r="F812" s="92">
        <v>12</v>
      </c>
      <c r="G812" s="92" t="s">
        <v>1252</v>
      </c>
      <c r="H812" s="92"/>
      <c r="I812" s="92">
        <v>0</v>
      </c>
      <c r="J812" s="92">
        <v>23562591</v>
      </c>
      <c r="K812" s="92" t="s">
        <v>1061</v>
      </c>
      <c r="L812" s="92">
        <v>3519</v>
      </c>
      <c r="M812" s="92">
        <v>1406</v>
      </c>
      <c r="N812" s="92">
        <v>179</v>
      </c>
      <c r="O812" s="92">
        <v>179</v>
      </c>
      <c r="P812" s="92">
        <v>0</v>
      </c>
      <c r="Q812" s="92">
        <v>0</v>
      </c>
      <c r="R812" s="92">
        <v>0</v>
      </c>
      <c r="S812" s="92">
        <v>0</v>
      </c>
      <c r="T812" s="92">
        <v>0</v>
      </c>
      <c r="U812" s="92">
        <v>0</v>
      </c>
      <c r="V812" s="92">
        <v>0</v>
      </c>
      <c r="W812" s="92">
        <v>0</v>
      </c>
      <c r="X812" s="92">
        <v>0</v>
      </c>
      <c r="Y812" s="92">
        <v>0</v>
      </c>
      <c r="Z812" s="92">
        <v>0</v>
      </c>
      <c r="AA812" s="92">
        <v>0</v>
      </c>
      <c r="AB812" s="92">
        <v>447754</v>
      </c>
      <c r="AC812" s="92">
        <v>473051</v>
      </c>
      <c r="AD812" s="92">
        <v>499189</v>
      </c>
      <c r="AE812" s="92">
        <v>0</v>
      </c>
      <c r="AF812" s="92">
        <v>0</v>
      </c>
      <c r="AG812" s="92">
        <v>0</v>
      </c>
    </row>
    <row r="813" spans="1:35" x14ac:dyDescent="0.25">
      <c r="A813" t="str">
        <f t="shared" si="16"/>
        <v>15-4-53</v>
      </c>
      <c r="B813">
        <v>15</v>
      </c>
      <c r="C813" s="92" t="s">
        <v>1028</v>
      </c>
      <c r="D813" s="92">
        <v>4</v>
      </c>
      <c r="E813" s="92" t="s">
        <v>66</v>
      </c>
      <c r="F813" s="92">
        <v>53</v>
      </c>
      <c r="G813" s="92" t="s">
        <v>762</v>
      </c>
      <c r="H813" s="92"/>
      <c r="I813" s="92">
        <v>0</v>
      </c>
      <c r="J813" s="92">
        <v>75991591</v>
      </c>
      <c r="K813" s="92" t="s">
        <v>1061</v>
      </c>
      <c r="L813" s="92">
        <v>5371</v>
      </c>
      <c r="M813" s="92">
        <v>5364</v>
      </c>
      <c r="N813" s="92">
        <v>2846</v>
      </c>
      <c r="O813" s="92">
        <v>2846</v>
      </c>
      <c r="P813" s="92">
        <v>0</v>
      </c>
      <c r="Q813" s="92">
        <v>0</v>
      </c>
      <c r="R813" s="92">
        <v>0</v>
      </c>
      <c r="S813" s="92">
        <v>0</v>
      </c>
      <c r="T813" s="92">
        <v>0</v>
      </c>
      <c r="U813" s="92">
        <v>0</v>
      </c>
      <c r="V813" s="92">
        <v>0</v>
      </c>
      <c r="W813" s="92">
        <v>0</v>
      </c>
      <c r="X813" s="92">
        <v>0</v>
      </c>
      <c r="Y813" s="92">
        <v>0</v>
      </c>
      <c r="Z813" s="92">
        <v>0</v>
      </c>
      <c r="AA813" s="92">
        <v>0</v>
      </c>
      <c r="AB813" s="92">
        <v>12685</v>
      </c>
      <c r="AC813" s="92">
        <v>13154</v>
      </c>
      <c r="AD813" s="92">
        <v>13674</v>
      </c>
      <c r="AE813" s="92">
        <v>0</v>
      </c>
      <c r="AF813" s="92">
        <v>0</v>
      </c>
      <c r="AG813" s="92">
        <v>0</v>
      </c>
    </row>
    <row r="814" spans="1:35" x14ac:dyDescent="0.25">
      <c r="A814" t="str">
        <f t="shared" si="16"/>
        <v>31-11-44</v>
      </c>
      <c r="B814">
        <v>31</v>
      </c>
      <c r="C814" s="92" t="s">
        <v>1044</v>
      </c>
      <c r="D814" s="92">
        <v>11</v>
      </c>
      <c r="E814" s="92" t="s">
        <v>1062</v>
      </c>
      <c r="F814" s="92">
        <v>44</v>
      </c>
      <c r="G814" s="92" t="s">
        <v>929</v>
      </c>
      <c r="H814" s="92"/>
      <c r="I814" s="92">
        <v>0</v>
      </c>
      <c r="J814" s="92">
        <v>16100</v>
      </c>
      <c r="K814" s="92" t="s">
        <v>1061</v>
      </c>
      <c r="L814" s="92">
        <v>5389</v>
      </c>
      <c r="M814" s="92">
        <v>46</v>
      </c>
      <c r="N814" s="92">
        <v>1</v>
      </c>
      <c r="O814" s="92">
        <v>1</v>
      </c>
      <c r="P814" s="92">
        <v>0</v>
      </c>
      <c r="Q814" s="92">
        <v>0</v>
      </c>
      <c r="R814" s="92">
        <v>0</v>
      </c>
      <c r="S814" s="92">
        <v>0</v>
      </c>
      <c r="T814" s="92">
        <v>0</v>
      </c>
      <c r="U814" s="92">
        <v>0</v>
      </c>
      <c r="V814" s="92">
        <v>0</v>
      </c>
      <c r="W814" s="92">
        <v>0</v>
      </c>
      <c r="X814" s="92">
        <v>0</v>
      </c>
      <c r="Y814" s="92">
        <v>0</v>
      </c>
      <c r="Z814" s="92">
        <v>0</v>
      </c>
      <c r="AA814" s="92">
        <v>0</v>
      </c>
      <c r="AB814" s="92">
        <v>56946</v>
      </c>
      <c r="AC814" s="92">
        <v>58911</v>
      </c>
      <c r="AD814" s="92">
        <v>62087</v>
      </c>
      <c r="AE814" s="92">
        <v>0</v>
      </c>
      <c r="AF814" s="92">
        <v>0</v>
      </c>
      <c r="AG814" s="92">
        <v>0</v>
      </c>
    </row>
    <row r="815" spans="1:35" x14ac:dyDescent="0.25">
      <c r="A815" t="str">
        <f t="shared" si="16"/>
        <v>28-13-2</v>
      </c>
      <c r="B815">
        <v>28</v>
      </c>
      <c r="C815" s="92" t="s">
        <v>1041</v>
      </c>
      <c r="D815" s="92">
        <v>13</v>
      </c>
      <c r="E815" s="92" t="s">
        <v>209</v>
      </c>
      <c r="F815" s="92">
        <v>2</v>
      </c>
      <c r="G815" s="92" t="s">
        <v>1254</v>
      </c>
      <c r="H815" s="92"/>
      <c r="I815" s="92">
        <v>3341527</v>
      </c>
      <c r="J815" s="92">
        <v>810323318</v>
      </c>
      <c r="K815" s="92" t="s">
        <v>1061</v>
      </c>
      <c r="L815" s="92">
        <v>10034</v>
      </c>
      <c r="M815" s="92">
        <v>128276</v>
      </c>
      <c r="N815" s="92">
        <v>16870</v>
      </c>
      <c r="O815" s="92">
        <v>16870</v>
      </c>
      <c r="P815" s="92">
        <v>0</v>
      </c>
      <c r="Q815" s="92">
        <v>0</v>
      </c>
      <c r="R815" s="92">
        <v>0</v>
      </c>
      <c r="S815" s="92">
        <v>1231</v>
      </c>
      <c r="T815" s="92">
        <v>0</v>
      </c>
      <c r="U815" s="92">
        <v>1240</v>
      </c>
      <c r="V815" s="92">
        <v>0</v>
      </c>
      <c r="W815" s="92">
        <v>0</v>
      </c>
      <c r="X815" s="92">
        <v>0</v>
      </c>
      <c r="Y815" s="92">
        <v>0</v>
      </c>
      <c r="Z815" s="92">
        <v>0</v>
      </c>
      <c r="AA815" s="92">
        <v>0</v>
      </c>
      <c r="AB815" s="92">
        <v>17664196</v>
      </c>
      <c r="AC815" s="92">
        <v>17865427</v>
      </c>
      <c r="AD815" s="92">
        <v>18064187</v>
      </c>
      <c r="AE815" s="92">
        <v>0</v>
      </c>
      <c r="AF815" s="92">
        <v>0</v>
      </c>
      <c r="AG815" s="92">
        <v>0</v>
      </c>
    </row>
    <row r="816" spans="1:35" x14ac:dyDescent="0.25">
      <c r="A816" t="str">
        <f t="shared" si="16"/>
        <v>43-20-35</v>
      </c>
      <c r="B816">
        <v>43</v>
      </c>
      <c r="C816" s="92" t="s">
        <v>1053</v>
      </c>
      <c r="D816" s="92">
        <v>20</v>
      </c>
      <c r="E816" s="92" t="s">
        <v>153</v>
      </c>
      <c r="F816" s="92">
        <v>35</v>
      </c>
      <c r="G816" s="92" t="s">
        <v>1005</v>
      </c>
      <c r="H816" s="92"/>
      <c r="I816" s="92">
        <v>0</v>
      </c>
      <c r="J816" s="92">
        <v>3152726</v>
      </c>
      <c r="K816" s="92" t="s">
        <v>1061</v>
      </c>
      <c r="L816" s="92">
        <v>0</v>
      </c>
      <c r="M816" s="92">
        <v>164</v>
      </c>
      <c r="N816" s="92">
        <v>38</v>
      </c>
      <c r="O816" s="92">
        <v>38</v>
      </c>
      <c r="P816" s="92">
        <v>0</v>
      </c>
      <c r="Q816" s="92">
        <v>0</v>
      </c>
      <c r="R816" s="92">
        <v>0</v>
      </c>
      <c r="S816" s="92">
        <v>0</v>
      </c>
      <c r="T816" s="92">
        <v>0</v>
      </c>
      <c r="U816" s="92">
        <v>0</v>
      </c>
      <c r="V816" s="92">
        <v>0</v>
      </c>
      <c r="W816" s="92">
        <v>0</v>
      </c>
      <c r="X816" s="92">
        <v>0</v>
      </c>
      <c r="Y816" s="92">
        <v>0</v>
      </c>
      <c r="Z816" s="92">
        <v>0</v>
      </c>
      <c r="AA816" s="92">
        <v>0</v>
      </c>
      <c r="AB816" s="92">
        <v>273594</v>
      </c>
      <c r="AC816" s="92">
        <v>291307</v>
      </c>
      <c r="AD816" s="92">
        <v>308717</v>
      </c>
      <c r="AE816" s="92">
        <v>0</v>
      </c>
      <c r="AF816" s="92">
        <v>0</v>
      </c>
      <c r="AG816" s="92">
        <v>656</v>
      </c>
    </row>
    <row r="817" spans="1:35" x14ac:dyDescent="0.25">
      <c r="A817" t="str">
        <f t="shared" si="16"/>
        <v>29-9-69</v>
      </c>
      <c r="B817">
        <v>29</v>
      </c>
      <c r="C817" s="92" t="s">
        <v>1042</v>
      </c>
      <c r="D817" s="92">
        <v>9</v>
      </c>
      <c r="E817" s="92" t="s">
        <v>588</v>
      </c>
      <c r="F817" s="92">
        <v>69</v>
      </c>
      <c r="G817" s="92" t="s">
        <v>908</v>
      </c>
      <c r="H817" s="92"/>
      <c r="I817" s="92">
        <v>1286</v>
      </c>
      <c r="J817" s="92">
        <v>653596</v>
      </c>
      <c r="K817" s="92" t="s">
        <v>1061</v>
      </c>
      <c r="L817" s="92">
        <v>1619</v>
      </c>
      <c r="M817" s="92">
        <v>63</v>
      </c>
      <c r="N817" s="92">
        <v>1</v>
      </c>
      <c r="O817" s="92">
        <v>1</v>
      </c>
      <c r="P817" s="92">
        <v>0</v>
      </c>
      <c r="Q817" s="92">
        <v>0</v>
      </c>
      <c r="R817" s="92">
        <v>0</v>
      </c>
      <c r="S817" s="92">
        <v>0</v>
      </c>
      <c r="T817" s="92">
        <v>0</v>
      </c>
      <c r="U817" s="92">
        <v>0</v>
      </c>
      <c r="V817" s="92">
        <v>0</v>
      </c>
      <c r="W817" s="92">
        <v>0</v>
      </c>
      <c r="X817" s="92">
        <v>0</v>
      </c>
      <c r="Y817" s="92">
        <v>0</v>
      </c>
      <c r="Z817" s="92">
        <v>0</v>
      </c>
      <c r="AA817" s="92">
        <v>0</v>
      </c>
      <c r="AB817" s="92">
        <v>6795</v>
      </c>
      <c r="AC817" s="92">
        <v>3317</v>
      </c>
      <c r="AD817" s="92">
        <v>3317</v>
      </c>
      <c r="AE817" s="92">
        <v>0</v>
      </c>
      <c r="AF817" s="92">
        <v>0</v>
      </c>
      <c r="AG817" s="92">
        <v>0</v>
      </c>
      <c r="AI817" s="250">
        <v>1.9049799999999999E-4</v>
      </c>
    </row>
    <row r="818" spans="1:35" x14ac:dyDescent="0.25">
      <c r="A818" t="str">
        <f t="shared" si="16"/>
        <v>29-11-45</v>
      </c>
      <c r="B818">
        <v>29</v>
      </c>
      <c r="C818" s="92" t="s">
        <v>1042</v>
      </c>
      <c r="D818" s="92">
        <v>11</v>
      </c>
      <c r="E818" s="92" t="s">
        <v>1062</v>
      </c>
      <c r="F818" s="92">
        <v>45</v>
      </c>
      <c r="G818" s="92" t="s">
        <v>912</v>
      </c>
      <c r="H818" s="92"/>
      <c r="I818" s="92">
        <v>43335</v>
      </c>
      <c r="J818" s="92">
        <v>52636056</v>
      </c>
      <c r="K818" s="92" t="s">
        <v>1061</v>
      </c>
      <c r="L818" s="92">
        <v>24004</v>
      </c>
      <c r="M818" s="92">
        <v>21477</v>
      </c>
      <c r="N818" s="92">
        <v>6561</v>
      </c>
      <c r="O818" s="92">
        <v>3929</v>
      </c>
      <c r="P818" s="92">
        <v>0</v>
      </c>
      <c r="Q818" s="92">
        <v>0</v>
      </c>
      <c r="R818" s="92">
        <v>0</v>
      </c>
      <c r="S818" s="92">
        <v>1904</v>
      </c>
      <c r="T818" s="92">
        <v>1440</v>
      </c>
      <c r="U818" s="92">
        <v>0</v>
      </c>
      <c r="V818" s="92">
        <v>0</v>
      </c>
      <c r="W818" s="92">
        <v>0</v>
      </c>
      <c r="X818" s="92">
        <v>0</v>
      </c>
      <c r="Y818" s="92">
        <v>0</v>
      </c>
      <c r="Z818" s="92">
        <v>0</v>
      </c>
      <c r="AA818" s="92">
        <v>0</v>
      </c>
      <c r="AB818" s="92">
        <v>3370232</v>
      </c>
      <c r="AC818" s="92">
        <v>3472091</v>
      </c>
      <c r="AD818" s="92">
        <v>3470091</v>
      </c>
      <c r="AE818" s="92">
        <v>0</v>
      </c>
      <c r="AF818" s="92">
        <v>0</v>
      </c>
      <c r="AG818" s="92">
        <v>0</v>
      </c>
    </row>
    <row r="819" spans="1:35" x14ac:dyDescent="0.25">
      <c r="A819" t="str">
        <f t="shared" si="16"/>
        <v>9-9-159</v>
      </c>
      <c r="B819">
        <v>9</v>
      </c>
      <c r="C819" s="92" t="s">
        <v>1022</v>
      </c>
      <c r="D819" s="92">
        <v>9</v>
      </c>
      <c r="E819" s="92" t="s">
        <v>588</v>
      </c>
      <c r="F819" s="92">
        <v>159</v>
      </c>
      <c r="G819" s="92" t="s">
        <v>717</v>
      </c>
      <c r="H819" s="92"/>
      <c r="I819" s="92">
        <v>122</v>
      </c>
      <c r="J819" s="92">
        <v>0</v>
      </c>
      <c r="K819" s="92" t="s">
        <v>1061</v>
      </c>
      <c r="L819" s="92">
        <v>0</v>
      </c>
      <c r="M819" s="92">
        <v>61</v>
      </c>
      <c r="N819" s="92">
        <v>0</v>
      </c>
      <c r="O819" s="92">
        <v>0</v>
      </c>
      <c r="P819" s="92">
        <v>0</v>
      </c>
      <c r="Q819" s="92">
        <v>0</v>
      </c>
      <c r="R819" s="92">
        <v>0</v>
      </c>
      <c r="S819" s="92">
        <v>0</v>
      </c>
      <c r="T819" s="92">
        <v>0</v>
      </c>
      <c r="U819" s="92">
        <v>0</v>
      </c>
      <c r="V819" s="92">
        <v>0</v>
      </c>
      <c r="W819" s="92">
        <v>0</v>
      </c>
      <c r="X819" s="92">
        <v>0</v>
      </c>
      <c r="Y819" s="92">
        <v>0</v>
      </c>
      <c r="Z819" s="92">
        <v>0</v>
      </c>
      <c r="AA819" s="92">
        <v>0</v>
      </c>
      <c r="AB819" s="92">
        <v>149677</v>
      </c>
      <c r="AC819" s="92">
        <v>154169</v>
      </c>
      <c r="AD819" s="92">
        <v>158856</v>
      </c>
      <c r="AE819" s="92">
        <v>0</v>
      </c>
      <c r="AF819" s="92">
        <v>0</v>
      </c>
      <c r="AG819" s="92">
        <v>0</v>
      </c>
      <c r="AI819" s="250">
        <v>3.3990700000000002E-4</v>
      </c>
    </row>
    <row r="820" spans="1:35" x14ac:dyDescent="0.25">
      <c r="A820" t="str">
        <f t="shared" si="16"/>
        <v>9-9-70</v>
      </c>
      <c r="B820">
        <v>9</v>
      </c>
      <c r="C820" s="92" t="s">
        <v>1022</v>
      </c>
      <c r="D820" s="92">
        <v>9</v>
      </c>
      <c r="E820" s="92" t="s">
        <v>588</v>
      </c>
      <c r="F820" s="92">
        <v>70</v>
      </c>
      <c r="G820" s="92" t="s">
        <v>711</v>
      </c>
      <c r="H820" s="92"/>
      <c r="I820" s="92">
        <v>0</v>
      </c>
      <c r="J820" s="92">
        <v>32606771</v>
      </c>
      <c r="K820" s="92" t="s">
        <v>1061</v>
      </c>
      <c r="L820" s="92">
        <v>917</v>
      </c>
      <c r="M820" s="92">
        <v>6168</v>
      </c>
      <c r="N820" s="92">
        <v>1029</v>
      </c>
      <c r="O820" s="92">
        <v>1029</v>
      </c>
      <c r="P820" s="92">
        <v>0</v>
      </c>
      <c r="Q820" s="92">
        <v>0</v>
      </c>
      <c r="R820" s="92">
        <v>0</v>
      </c>
      <c r="S820" s="92">
        <v>345.6</v>
      </c>
      <c r="T820" s="92">
        <f>346+30</f>
        <v>376</v>
      </c>
      <c r="U820" s="92">
        <v>0</v>
      </c>
      <c r="V820" s="92">
        <v>0</v>
      </c>
      <c r="W820" s="176">
        <v>0</v>
      </c>
      <c r="X820" s="92">
        <v>0</v>
      </c>
      <c r="Y820" s="92">
        <v>0</v>
      </c>
      <c r="Z820" s="92">
        <v>0</v>
      </c>
      <c r="AA820" s="92">
        <v>0</v>
      </c>
      <c r="AB820" s="92">
        <v>615023</v>
      </c>
      <c r="AC820" s="176">
        <v>659172</v>
      </c>
      <c r="AD820" s="92">
        <v>684482</v>
      </c>
      <c r="AE820" s="92">
        <v>0</v>
      </c>
      <c r="AF820" s="92">
        <v>6591</v>
      </c>
      <c r="AG820" s="92">
        <v>0</v>
      </c>
      <c r="AI820" s="250">
        <v>2.0653699999999999E-4</v>
      </c>
    </row>
    <row r="821" spans="1:35" x14ac:dyDescent="0.25">
      <c r="A821" t="str">
        <f t="shared" si="16"/>
        <v>28-9-170</v>
      </c>
      <c r="B821">
        <v>28</v>
      </c>
      <c r="C821" s="92" t="s">
        <v>1041</v>
      </c>
      <c r="D821" s="92">
        <v>9</v>
      </c>
      <c r="E821" s="92" t="s">
        <v>588</v>
      </c>
      <c r="F821" s="92">
        <v>170</v>
      </c>
      <c r="G821" s="92" t="s">
        <v>420</v>
      </c>
      <c r="H821" s="92"/>
      <c r="I821" s="92">
        <v>153</v>
      </c>
      <c r="J821" s="92">
        <v>171733927</v>
      </c>
      <c r="K821" s="92" t="s">
        <v>1061</v>
      </c>
      <c r="L821" s="92">
        <v>1343</v>
      </c>
      <c r="M821" s="92">
        <v>31577</v>
      </c>
      <c r="N821" s="92">
        <v>5016</v>
      </c>
      <c r="O821" s="92">
        <v>5016</v>
      </c>
      <c r="P821" s="92">
        <v>0</v>
      </c>
      <c r="Q821" s="92">
        <v>0</v>
      </c>
      <c r="R821" s="92">
        <v>0</v>
      </c>
      <c r="S821" s="92">
        <v>32</v>
      </c>
      <c r="T821" s="92">
        <v>0</v>
      </c>
      <c r="U821" s="92">
        <v>0</v>
      </c>
      <c r="V821" s="92">
        <v>0</v>
      </c>
      <c r="W821" s="92">
        <v>0</v>
      </c>
      <c r="X821" s="92">
        <v>0</v>
      </c>
      <c r="Y821" s="92">
        <v>0</v>
      </c>
      <c r="Z821" s="92">
        <v>0</v>
      </c>
      <c r="AA821" s="92">
        <v>0</v>
      </c>
      <c r="AB821" s="92">
        <v>6776030</v>
      </c>
      <c r="AC821" s="92">
        <v>7125367</v>
      </c>
      <c r="AD821" s="92">
        <v>7517144</v>
      </c>
      <c r="AE821" s="92">
        <v>0</v>
      </c>
      <c r="AF821" s="92">
        <v>0</v>
      </c>
      <c r="AG821" s="92">
        <v>0</v>
      </c>
      <c r="AI821" s="250">
        <v>6.4210999999999999E-4</v>
      </c>
    </row>
    <row r="822" spans="1:35" x14ac:dyDescent="0.25">
      <c r="A822" t="str">
        <f t="shared" si="16"/>
        <v>14-11-46</v>
      </c>
      <c r="B822">
        <v>14</v>
      </c>
      <c r="C822" s="92" t="s">
        <v>1027</v>
      </c>
      <c r="D822" s="92">
        <v>11</v>
      </c>
      <c r="E822" s="92" t="s">
        <v>1062</v>
      </c>
      <c r="F822" s="92">
        <v>46</v>
      </c>
      <c r="G822" s="92" t="s">
        <v>247</v>
      </c>
      <c r="H822" s="92"/>
      <c r="I822" s="92">
        <v>0</v>
      </c>
      <c r="J822" s="92">
        <v>85828625</v>
      </c>
      <c r="K822" s="92" t="s">
        <v>1061</v>
      </c>
      <c r="L822" s="92">
        <v>30090</v>
      </c>
      <c r="M822" s="92">
        <v>9600</v>
      </c>
      <c r="N822" s="92">
        <v>2972</v>
      </c>
      <c r="O822" s="92">
        <v>2285</v>
      </c>
      <c r="P822" s="92">
        <v>0</v>
      </c>
      <c r="Q822" s="92">
        <v>0</v>
      </c>
      <c r="R822" s="92">
        <v>0</v>
      </c>
      <c r="S822" s="92">
        <v>0</v>
      </c>
      <c r="T822" s="92">
        <v>0</v>
      </c>
      <c r="U822" s="92">
        <v>0</v>
      </c>
      <c r="V822" s="92">
        <v>0</v>
      </c>
      <c r="W822" s="92">
        <v>0</v>
      </c>
      <c r="X822" s="92">
        <v>0</v>
      </c>
      <c r="Y822" s="92">
        <v>0</v>
      </c>
      <c r="Z822" s="92">
        <v>0</v>
      </c>
      <c r="AA822" s="92">
        <v>0</v>
      </c>
      <c r="AB822" s="92">
        <v>1116408</v>
      </c>
      <c r="AC822" s="92">
        <v>1178137</v>
      </c>
      <c r="AD822" s="92">
        <v>1240321</v>
      </c>
      <c r="AE822" s="92">
        <v>0</v>
      </c>
      <c r="AF822" s="92">
        <v>0</v>
      </c>
      <c r="AG822" s="92">
        <v>0</v>
      </c>
    </row>
    <row r="823" spans="1:35" x14ac:dyDescent="0.25">
      <c r="A823" t="str">
        <f t="shared" si="16"/>
        <v>14-4-43</v>
      </c>
      <c r="B823">
        <v>14</v>
      </c>
      <c r="C823" s="92" t="s">
        <v>1027</v>
      </c>
      <c r="D823" s="92">
        <v>4</v>
      </c>
      <c r="E823" s="92" t="s">
        <v>66</v>
      </c>
      <c r="F823" s="92">
        <v>43</v>
      </c>
      <c r="G823" s="92" t="s">
        <v>754</v>
      </c>
      <c r="H823" s="92"/>
      <c r="I823" s="92">
        <v>0</v>
      </c>
      <c r="J823" s="92">
        <v>24121014</v>
      </c>
      <c r="K823" s="92" t="s">
        <v>1061</v>
      </c>
      <c r="L823" s="92">
        <v>19426</v>
      </c>
      <c r="M823" s="92">
        <v>4055</v>
      </c>
      <c r="N823" s="92">
        <v>1140</v>
      </c>
      <c r="O823" s="92">
        <v>1140</v>
      </c>
      <c r="P823" s="92">
        <v>0</v>
      </c>
      <c r="Q823" s="92">
        <v>0</v>
      </c>
      <c r="R823" s="92">
        <v>0</v>
      </c>
      <c r="S823" s="92">
        <v>0</v>
      </c>
      <c r="T823" s="92">
        <v>0</v>
      </c>
      <c r="U823" s="92">
        <v>0</v>
      </c>
      <c r="V823" s="92">
        <v>0</v>
      </c>
      <c r="W823" s="92">
        <v>0</v>
      </c>
      <c r="X823" s="92">
        <v>0</v>
      </c>
      <c r="Y823" s="92">
        <v>0</v>
      </c>
      <c r="Z823" s="92">
        <v>0</v>
      </c>
      <c r="AA823" s="92">
        <v>0</v>
      </c>
      <c r="AB823" s="92">
        <v>0</v>
      </c>
      <c r="AC823" s="92">
        <v>0</v>
      </c>
      <c r="AD823" s="92">
        <v>23131</v>
      </c>
      <c r="AE823" s="92">
        <v>0</v>
      </c>
      <c r="AF823" s="92">
        <v>0</v>
      </c>
      <c r="AG823" s="92">
        <v>0</v>
      </c>
    </row>
    <row r="824" spans="1:35" x14ac:dyDescent="0.25">
      <c r="A824" t="str">
        <f t="shared" si="16"/>
        <v>16-9-71</v>
      </c>
      <c r="B824">
        <v>16</v>
      </c>
      <c r="C824" s="92" t="s">
        <v>1029</v>
      </c>
      <c r="D824" s="92">
        <v>9</v>
      </c>
      <c r="E824" s="92" t="s">
        <v>588</v>
      </c>
      <c r="F824" s="92">
        <v>71</v>
      </c>
      <c r="G824" s="92" t="s">
        <v>773</v>
      </c>
      <c r="H824" s="92"/>
      <c r="I824" s="92">
        <v>0</v>
      </c>
      <c r="J824" s="92">
        <v>0</v>
      </c>
      <c r="K824" s="92" t="s">
        <v>1061</v>
      </c>
      <c r="L824" s="92">
        <v>4005</v>
      </c>
      <c r="M824" s="92">
        <v>719</v>
      </c>
      <c r="N824" s="92">
        <v>222</v>
      </c>
      <c r="O824" s="92">
        <v>222</v>
      </c>
      <c r="P824" s="92">
        <v>0</v>
      </c>
      <c r="Q824" s="92">
        <v>0</v>
      </c>
      <c r="R824" s="92">
        <v>0</v>
      </c>
      <c r="S824" s="92">
        <v>0</v>
      </c>
      <c r="T824" s="92">
        <v>0</v>
      </c>
      <c r="U824" s="92">
        <v>0</v>
      </c>
      <c r="V824" s="92">
        <v>0</v>
      </c>
      <c r="W824" s="92">
        <v>0</v>
      </c>
      <c r="X824" s="92">
        <v>0</v>
      </c>
      <c r="Y824" s="92">
        <v>0</v>
      </c>
      <c r="Z824" s="92">
        <v>0</v>
      </c>
      <c r="AA824" s="92">
        <v>0</v>
      </c>
      <c r="AB824" s="92">
        <v>74045</v>
      </c>
      <c r="AC824" s="92">
        <v>74045</v>
      </c>
      <c r="AD824" s="92">
        <v>76520</v>
      </c>
      <c r="AE824" s="92">
        <v>0</v>
      </c>
      <c r="AF824" s="92">
        <v>0</v>
      </c>
      <c r="AG824" s="92">
        <v>0</v>
      </c>
      <c r="AI824" s="250">
        <v>2.6735600000000001E-4</v>
      </c>
    </row>
    <row r="825" spans="1:35" x14ac:dyDescent="0.25">
      <c r="A825" t="str">
        <f t="shared" si="16"/>
        <v>16-14-31</v>
      </c>
      <c r="B825">
        <v>16</v>
      </c>
      <c r="C825" s="92" t="s">
        <v>1029</v>
      </c>
      <c r="D825" s="92">
        <v>14</v>
      </c>
      <c r="E825" s="92" t="s">
        <v>571</v>
      </c>
      <c r="F825" s="92">
        <v>31</v>
      </c>
      <c r="G825" s="92" t="s">
        <v>783</v>
      </c>
      <c r="H825" s="92"/>
      <c r="I825" s="92">
        <v>0</v>
      </c>
      <c r="J825" s="92">
        <v>13208706</v>
      </c>
      <c r="K825" s="92" t="s">
        <v>1061</v>
      </c>
      <c r="L825" s="92">
        <v>1286</v>
      </c>
      <c r="M825" s="92">
        <v>215</v>
      </c>
      <c r="N825" s="92">
        <v>69</v>
      </c>
      <c r="O825" s="92">
        <v>69</v>
      </c>
      <c r="P825" s="92">
        <v>0</v>
      </c>
      <c r="Q825" s="92">
        <v>0</v>
      </c>
      <c r="R825" s="92">
        <v>0</v>
      </c>
      <c r="S825" s="92">
        <v>0</v>
      </c>
      <c r="T825" s="92">
        <v>0</v>
      </c>
      <c r="U825" s="92">
        <v>0</v>
      </c>
      <c r="V825" s="92">
        <v>0</v>
      </c>
      <c r="W825" s="92">
        <v>0</v>
      </c>
      <c r="X825" s="92">
        <v>0</v>
      </c>
      <c r="Y825" s="92">
        <v>0</v>
      </c>
      <c r="Z825" s="92">
        <v>0</v>
      </c>
      <c r="AA825" s="92">
        <v>0</v>
      </c>
      <c r="AB825" s="92">
        <v>26982</v>
      </c>
      <c r="AC825" s="92">
        <v>27895</v>
      </c>
      <c r="AD825" s="92">
        <v>28980</v>
      </c>
      <c r="AE825" s="92">
        <v>0</v>
      </c>
      <c r="AF825" s="92">
        <v>0</v>
      </c>
      <c r="AG825" s="92">
        <v>0</v>
      </c>
      <c r="AI825" s="250">
        <v>6.8638000000000003E-5</v>
      </c>
    </row>
    <row r="826" spans="1:35" x14ac:dyDescent="0.25">
      <c r="A826" t="str">
        <f t="shared" si="16"/>
        <v>16-11-47</v>
      </c>
      <c r="B826">
        <v>16</v>
      </c>
      <c r="C826" s="92" t="s">
        <v>1029</v>
      </c>
      <c r="D826" s="92">
        <v>11</v>
      </c>
      <c r="E826" s="92" t="s">
        <v>1062</v>
      </c>
      <c r="F826" s="92">
        <v>47</v>
      </c>
      <c r="G826" s="92" t="s">
        <v>781</v>
      </c>
      <c r="H826" s="92"/>
      <c r="I826" s="92">
        <v>0</v>
      </c>
      <c r="J826" s="92">
        <v>12211559</v>
      </c>
      <c r="K826" s="92" t="s">
        <v>1061</v>
      </c>
      <c r="L826" s="92">
        <v>17211</v>
      </c>
      <c r="M826" s="92">
        <v>2503</v>
      </c>
      <c r="N826" s="92">
        <v>850</v>
      </c>
      <c r="O826" s="92">
        <v>746</v>
      </c>
      <c r="P826" s="92">
        <v>0</v>
      </c>
      <c r="Q826" s="92">
        <v>0</v>
      </c>
      <c r="R826" s="92">
        <v>0</v>
      </c>
      <c r="S826" s="92">
        <v>0</v>
      </c>
      <c r="T826" s="92">
        <v>0</v>
      </c>
      <c r="U826" s="92">
        <v>0</v>
      </c>
      <c r="V826" s="92">
        <v>0</v>
      </c>
      <c r="W826" s="92">
        <v>0</v>
      </c>
      <c r="X826" s="92">
        <v>0</v>
      </c>
      <c r="Y826" s="92">
        <v>0</v>
      </c>
      <c r="Z826" s="92">
        <v>0</v>
      </c>
      <c r="AA826" s="92">
        <v>0</v>
      </c>
      <c r="AB826" s="92">
        <v>349300</v>
      </c>
      <c r="AC826" s="92">
        <v>361192</v>
      </c>
      <c r="AD826" s="92">
        <v>374305</v>
      </c>
      <c r="AE826" s="92">
        <v>0</v>
      </c>
      <c r="AF826" s="92">
        <v>0</v>
      </c>
      <c r="AG826" s="92">
        <v>0</v>
      </c>
    </row>
    <row r="827" spans="1:35" x14ac:dyDescent="0.25">
      <c r="A827" t="str">
        <f t="shared" si="16"/>
        <v>16-17-17</v>
      </c>
      <c r="B827">
        <v>16</v>
      </c>
      <c r="C827" s="92" t="s">
        <v>1029</v>
      </c>
      <c r="D827" s="92">
        <v>17</v>
      </c>
      <c r="E827" s="92" t="s">
        <v>593</v>
      </c>
      <c r="F827" s="92">
        <v>17</v>
      </c>
      <c r="G827" s="92" t="s">
        <v>278</v>
      </c>
      <c r="H827" s="92"/>
      <c r="I827" s="92">
        <v>9579</v>
      </c>
      <c r="J827" s="92">
        <v>12211559</v>
      </c>
      <c r="K827" s="92" t="s">
        <v>1061</v>
      </c>
      <c r="L827" s="92">
        <v>2016</v>
      </c>
      <c r="M827" s="92">
        <v>344</v>
      </c>
      <c r="N827" s="92">
        <v>316</v>
      </c>
      <c r="O827" s="92">
        <v>316</v>
      </c>
      <c r="P827" s="92">
        <v>0</v>
      </c>
      <c r="Q827" s="92">
        <v>0</v>
      </c>
      <c r="R827" s="92">
        <v>0</v>
      </c>
      <c r="S827" s="92">
        <v>0</v>
      </c>
      <c r="T827" s="92">
        <v>0</v>
      </c>
      <c r="U827" s="92">
        <v>0</v>
      </c>
      <c r="V827" s="92">
        <v>0</v>
      </c>
      <c r="W827" s="92">
        <v>0</v>
      </c>
      <c r="X827" s="92">
        <v>0</v>
      </c>
      <c r="Y827" s="92">
        <v>0</v>
      </c>
      <c r="Z827" s="92">
        <v>0</v>
      </c>
      <c r="AA827" s="92">
        <v>0</v>
      </c>
      <c r="AB827" s="92">
        <v>129802</v>
      </c>
      <c r="AC827" s="92">
        <v>134061</v>
      </c>
      <c r="AD827" s="92">
        <v>138418</v>
      </c>
      <c r="AE827" s="92">
        <v>0</v>
      </c>
      <c r="AF827" s="92">
        <v>0</v>
      </c>
      <c r="AG827" s="92">
        <v>0</v>
      </c>
    </row>
    <row r="828" spans="1:35" x14ac:dyDescent="0.25">
      <c r="A828" t="str">
        <f t="shared" si="16"/>
        <v>16-7-108</v>
      </c>
      <c r="B828">
        <v>16</v>
      </c>
      <c r="C828" s="92" t="s">
        <v>1029</v>
      </c>
      <c r="D828" s="92">
        <v>7</v>
      </c>
      <c r="E828" s="92" t="s">
        <v>586</v>
      </c>
      <c r="F828" s="92">
        <v>108</v>
      </c>
      <c r="G828" s="92" t="s">
        <v>770</v>
      </c>
      <c r="H828" s="92"/>
      <c r="I828" s="92">
        <v>0</v>
      </c>
      <c r="J828" s="92">
        <v>11760193</v>
      </c>
      <c r="K828" s="92" t="s">
        <v>1061</v>
      </c>
      <c r="L828" s="92">
        <v>1345</v>
      </c>
      <c r="M828" s="92">
        <v>221</v>
      </c>
      <c r="N828" s="92">
        <v>63</v>
      </c>
      <c r="O828" s="92">
        <v>63</v>
      </c>
      <c r="P828" s="92">
        <v>0</v>
      </c>
      <c r="Q828" s="92">
        <v>0</v>
      </c>
      <c r="R828" s="92">
        <v>0</v>
      </c>
      <c r="S828" s="92">
        <v>0</v>
      </c>
      <c r="T828" s="92">
        <v>0</v>
      </c>
      <c r="U828" s="92">
        <v>0</v>
      </c>
      <c r="V828" s="92">
        <v>0</v>
      </c>
      <c r="W828" s="92">
        <v>0</v>
      </c>
      <c r="X828" s="92">
        <v>0</v>
      </c>
      <c r="Y828" s="92">
        <v>0</v>
      </c>
      <c r="Z828" s="92">
        <v>0</v>
      </c>
      <c r="AA828" s="92">
        <v>0</v>
      </c>
      <c r="AB828" s="92">
        <v>25654</v>
      </c>
      <c r="AC828" s="92">
        <v>26532</v>
      </c>
      <c r="AD828" s="92">
        <v>27494</v>
      </c>
      <c r="AE828" s="92">
        <v>0</v>
      </c>
      <c r="AF828" s="92">
        <v>0</v>
      </c>
      <c r="AG828" s="92">
        <v>0</v>
      </c>
    </row>
    <row r="829" spans="1:35" x14ac:dyDescent="0.25">
      <c r="A829" t="str">
        <f t="shared" si="16"/>
        <v>20-9-183</v>
      </c>
      <c r="B829">
        <v>20</v>
      </c>
      <c r="C829" s="92" t="s">
        <v>1033</v>
      </c>
      <c r="D829" s="92">
        <v>9</v>
      </c>
      <c r="E829" s="92" t="s">
        <v>588</v>
      </c>
      <c r="F829" s="92">
        <v>183</v>
      </c>
      <c r="G829" s="92" t="s">
        <v>829</v>
      </c>
      <c r="H829" s="92"/>
      <c r="I829" s="92">
        <v>4267</v>
      </c>
      <c r="J829" s="92">
        <v>0</v>
      </c>
      <c r="K829" s="92" t="s">
        <v>1061</v>
      </c>
      <c r="L829" s="92">
        <v>0</v>
      </c>
      <c r="M829" s="92">
        <v>17</v>
      </c>
      <c r="N829" s="92">
        <v>0</v>
      </c>
      <c r="O829" s="92">
        <v>0</v>
      </c>
      <c r="P829" s="92">
        <v>0</v>
      </c>
      <c r="Q829" s="92">
        <v>0</v>
      </c>
      <c r="R829" s="92">
        <v>0</v>
      </c>
      <c r="S829" s="92">
        <v>0</v>
      </c>
      <c r="T829" s="92">
        <v>0</v>
      </c>
      <c r="U829" s="92">
        <v>0</v>
      </c>
      <c r="V829" s="92">
        <v>0</v>
      </c>
      <c r="W829" s="92">
        <v>0</v>
      </c>
      <c r="X829" s="92">
        <v>0</v>
      </c>
      <c r="Y829" s="92">
        <v>0</v>
      </c>
      <c r="Z829" s="92">
        <v>0</v>
      </c>
      <c r="AA829" s="92">
        <v>0</v>
      </c>
      <c r="AB829" s="92">
        <v>26891</v>
      </c>
      <c r="AC829" s="92">
        <v>27698</v>
      </c>
      <c r="AD829" s="92">
        <v>29647</v>
      </c>
      <c r="AE829" s="92">
        <v>0</v>
      </c>
      <c r="AF829" s="92">
        <v>0</v>
      </c>
      <c r="AG829" s="92">
        <v>0</v>
      </c>
      <c r="AI829" s="250">
        <v>7.25086E-4</v>
      </c>
    </row>
    <row r="830" spans="1:35" x14ac:dyDescent="0.25">
      <c r="A830" t="str">
        <f t="shared" si="16"/>
        <v>23-7-109</v>
      </c>
      <c r="B830">
        <v>23</v>
      </c>
      <c r="C830" s="92" t="s">
        <v>1036</v>
      </c>
      <c r="D830" s="92">
        <v>7</v>
      </c>
      <c r="E830" s="92" t="s">
        <v>586</v>
      </c>
      <c r="F830" s="92">
        <v>109</v>
      </c>
      <c r="G830" s="92" t="s">
        <v>340</v>
      </c>
      <c r="H830" s="92"/>
      <c r="I830" s="92">
        <v>0</v>
      </c>
      <c r="J830" s="92">
        <v>3057058</v>
      </c>
      <c r="K830" s="92" t="s">
        <v>1061</v>
      </c>
      <c r="L830" s="92">
        <v>48</v>
      </c>
      <c r="M830" s="92">
        <v>28</v>
      </c>
      <c r="N830" s="92">
        <v>0</v>
      </c>
      <c r="O830" s="92">
        <v>0</v>
      </c>
      <c r="P830" s="92">
        <v>0</v>
      </c>
      <c r="Q830" s="92">
        <v>0</v>
      </c>
      <c r="R830" s="92">
        <v>0</v>
      </c>
      <c r="S830" s="92">
        <v>0</v>
      </c>
      <c r="T830" s="92">
        <v>0</v>
      </c>
      <c r="U830" s="92">
        <v>0</v>
      </c>
      <c r="V830" s="92">
        <v>0</v>
      </c>
      <c r="W830" s="92">
        <v>0</v>
      </c>
      <c r="X830" s="92">
        <v>0</v>
      </c>
      <c r="Y830" s="92">
        <v>0</v>
      </c>
      <c r="Z830" s="92">
        <v>0</v>
      </c>
      <c r="AA830" s="92">
        <v>0</v>
      </c>
      <c r="AB830" s="92">
        <v>2473</v>
      </c>
      <c r="AC830" s="92">
        <v>2587</v>
      </c>
      <c r="AD830" s="92">
        <v>2669</v>
      </c>
      <c r="AE830" s="92">
        <v>0</v>
      </c>
      <c r="AF830" s="92">
        <v>0</v>
      </c>
      <c r="AG830" s="92">
        <v>0</v>
      </c>
    </row>
    <row r="831" spans="1:35" x14ac:dyDescent="0.25">
      <c r="A831" t="str">
        <f t="shared" si="16"/>
        <v>23-14-49</v>
      </c>
      <c r="B831">
        <v>23</v>
      </c>
      <c r="C831" s="92" t="s">
        <v>1036</v>
      </c>
      <c r="D831" s="92">
        <v>14</v>
      </c>
      <c r="E831" s="92" t="s">
        <v>571</v>
      </c>
      <c r="F831" s="92">
        <v>49</v>
      </c>
      <c r="G831" s="92" t="s">
        <v>343</v>
      </c>
      <c r="H831" s="92"/>
      <c r="I831" s="92">
        <v>30</v>
      </c>
      <c r="J831" s="92">
        <v>2840007</v>
      </c>
      <c r="K831" s="92" t="s">
        <v>1061</v>
      </c>
      <c r="L831" s="92">
        <v>34</v>
      </c>
      <c r="M831" s="92">
        <v>23</v>
      </c>
      <c r="N831" s="92">
        <v>0</v>
      </c>
      <c r="O831" s="92">
        <v>0</v>
      </c>
      <c r="P831" s="92">
        <v>0</v>
      </c>
      <c r="Q831" s="92">
        <v>0</v>
      </c>
      <c r="R831" s="92">
        <v>0</v>
      </c>
      <c r="S831" s="92">
        <v>0</v>
      </c>
      <c r="T831" s="92">
        <v>0</v>
      </c>
      <c r="U831" s="92">
        <v>0</v>
      </c>
      <c r="V831" s="92">
        <v>0</v>
      </c>
      <c r="W831" s="92">
        <v>0</v>
      </c>
      <c r="X831" s="92">
        <v>0</v>
      </c>
      <c r="Y831" s="92">
        <v>0</v>
      </c>
      <c r="Z831" s="92">
        <v>0</v>
      </c>
      <c r="AA831" s="92">
        <v>0</v>
      </c>
      <c r="AB831" s="92">
        <v>1694</v>
      </c>
      <c r="AC831" s="92">
        <v>1694</v>
      </c>
      <c r="AD831" s="92">
        <v>1694</v>
      </c>
      <c r="AE831" s="92">
        <v>0</v>
      </c>
      <c r="AF831" s="92">
        <v>0</v>
      </c>
      <c r="AG831" s="92">
        <v>0</v>
      </c>
      <c r="AI831" s="250">
        <v>4.1622999999999998E-5</v>
      </c>
    </row>
    <row r="832" spans="1:35" x14ac:dyDescent="0.25">
      <c r="A832" t="str">
        <f t="shared" si="16"/>
        <v>36-9-48</v>
      </c>
      <c r="B832">
        <v>36</v>
      </c>
      <c r="C832" s="92" t="s">
        <v>1048</v>
      </c>
      <c r="D832" s="92">
        <v>9</v>
      </c>
      <c r="E832" s="92" t="s">
        <v>588</v>
      </c>
      <c r="F832" s="92">
        <v>48</v>
      </c>
      <c r="G832" s="92" t="s">
        <v>949</v>
      </c>
      <c r="H832" s="92"/>
      <c r="I832" s="92">
        <v>6566</v>
      </c>
      <c r="J832" s="92">
        <v>473000</v>
      </c>
      <c r="K832" s="92" t="s">
        <v>1061</v>
      </c>
      <c r="L832" s="92">
        <v>2032</v>
      </c>
      <c r="M832" s="92">
        <v>890</v>
      </c>
      <c r="N832" s="92">
        <v>324</v>
      </c>
      <c r="O832" s="92">
        <v>324</v>
      </c>
      <c r="P832" s="92">
        <v>0</v>
      </c>
      <c r="Q832" s="92">
        <v>0</v>
      </c>
      <c r="R832" s="92">
        <v>0</v>
      </c>
      <c r="S832" s="92">
        <v>0</v>
      </c>
      <c r="T832" s="92">
        <v>0</v>
      </c>
      <c r="U832" s="92">
        <v>0</v>
      </c>
      <c r="V832" s="92">
        <v>0</v>
      </c>
      <c r="W832" s="92">
        <v>0</v>
      </c>
      <c r="X832" s="92">
        <v>0</v>
      </c>
      <c r="Y832" s="92">
        <v>0</v>
      </c>
      <c r="Z832" s="92">
        <v>0</v>
      </c>
      <c r="AA832" s="92">
        <v>0</v>
      </c>
      <c r="AB832" s="92">
        <v>125913</v>
      </c>
      <c r="AC832" s="92">
        <v>127030</v>
      </c>
      <c r="AD832" s="92">
        <v>134107</v>
      </c>
      <c r="AE832" s="92">
        <v>0</v>
      </c>
      <c r="AF832" s="92">
        <v>0</v>
      </c>
      <c r="AG832" s="92">
        <v>0</v>
      </c>
      <c r="AI832" s="250">
        <v>2.7039300000000001E-4</v>
      </c>
    </row>
    <row r="833" spans="1:35" x14ac:dyDescent="0.25">
      <c r="A833" t="str">
        <f t="shared" si="16"/>
        <v>36-14-32</v>
      </c>
      <c r="B833">
        <v>36</v>
      </c>
      <c r="C833" s="92" t="s">
        <v>1048</v>
      </c>
      <c r="D833" s="92">
        <v>14</v>
      </c>
      <c r="E833" s="92" t="s">
        <v>571</v>
      </c>
      <c r="F833" s="92">
        <v>32</v>
      </c>
      <c r="G833" s="92" t="s">
        <v>950</v>
      </c>
      <c r="H833" s="92"/>
      <c r="I833" s="92">
        <v>0</v>
      </c>
      <c r="J833" s="92">
        <v>78598767</v>
      </c>
      <c r="K833" s="92" t="s">
        <v>1061</v>
      </c>
      <c r="L833" s="92">
        <v>4068</v>
      </c>
      <c r="M833" s="92">
        <v>1668</v>
      </c>
      <c r="N833" s="92">
        <v>724</v>
      </c>
      <c r="O833" s="92">
        <v>724</v>
      </c>
      <c r="P833" s="92">
        <v>0</v>
      </c>
      <c r="Q833" s="92">
        <v>0</v>
      </c>
      <c r="R833" s="92">
        <v>0</v>
      </c>
      <c r="S833" s="92">
        <v>0</v>
      </c>
      <c r="T833" s="92">
        <v>0</v>
      </c>
      <c r="U833" s="92">
        <v>0</v>
      </c>
      <c r="V833" s="92">
        <v>0</v>
      </c>
      <c r="W833" s="92">
        <v>0</v>
      </c>
      <c r="X833" s="92">
        <v>0</v>
      </c>
      <c r="Y833" s="92">
        <v>0</v>
      </c>
      <c r="Z833" s="92">
        <v>0</v>
      </c>
      <c r="AA833" s="92">
        <v>0</v>
      </c>
      <c r="AB833" s="92">
        <v>186407</v>
      </c>
      <c r="AC833" s="92">
        <v>197008</v>
      </c>
      <c r="AD833" s="92">
        <v>207343</v>
      </c>
      <c r="AE833" s="92">
        <v>0</v>
      </c>
      <c r="AF833" s="92">
        <v>0</v>
      </c>
      <c r="AG833" s="92">
        <v>0</v>
      </c>
      <c r="AI833" s="250">
        <v>3.5356899999999998E-4</v>
      </c>
    </row>
    <row r="834" spans="1:35" x14ac:dyDescent="0.25">
      <c r="A834" t="str">
        <f t="shared" si="16"/>
        <v>36-2-36</v>
      </c>
      <c r="B834">
        <v>36</v>
      </c>
      <c r="C834" s="92" t="s">
        <v>1048</v>
      </c>
      <c r="D834" s="92">
        <v>2</v>
      </c>
      <c r="E834" s="92" t="s">
        <v>53</v>
      </c>
      <c r="F834" s="92">
        <v>36</v>
      </c>
      <c r="G834" s="92" t="s">
        <v>502</v>
      </c>
      <c r="H834" s="92"/>
      <c r="I834" s="92">
        <v>0</v>
      </c>
      <c r="J834" s="92">
        <v>78598767</v>
      </c>
      <c r="K834" s="92" t="s">
        <v>1061</v>
      </c>
      <c r="L834" s="92">
        <v>44587</v>
      </c>
      <c r="M834" s="92">
        <v>18532</v>
      </c>
      <c r="N834" s="92">
        <v>8033</v>
      </c>
      <c r="O834" s="92">
        <v>8033</v>
      </c>
      <c r="P834" s="92">
        <v>0</v>
      </c>
      <c r="Q834" s="92">
        <v>0</v>
      </c>
      <c r="R834" s="92">
        <v>0</v>
      </c>
      <c r="S834" s="92">
        <v>0</v>
      </c>
      <c r="T834" s="92">
        <v>0</v>
      </c>
      <c r="U834" s="92">
        <v>0</v>
      </c>
      <c r="V834" s="92">
        <v>0</v>
      </c>
      <c r="W834" s="92">
        <v>0</v>
      </c>
      <c r="X834" s="92">
        <v>0</v>
      </c>
      <c r="Y834" s="92">
        <v>0</v>
      </c>
      <c r="Z834" s="92">
        <v>0</v>
      </c>
      <c r="AA834" s="92">
        <v>0</v>
      </c>
      <c r="AB834" s="92">
        <v>2066803</v>
      </c>
      <c r="AC834" s="92">
        <v>2184314</v>
      </c>
      <c r="AD834" s="92">
        <v>2298881</v>
      </c>
      <c r="AE834" s="92">
        <v>0</v>
      </c>
      <c r="AF834" s="92">
        <v>0</v>
      </c>
      <c r="AG834" s="92">
        <v>0</v>
      </c>
    </row>
    <row r="835" spans="1:35" x14ac:dyDescent="0.25">
      <c r="A835" t="str">
        <f t="shared" si="16"/>
        <v>36-4-143</v>
      </c>
      <c r="B835">
        <v>36</v>
      </c>
      <c r="C835" s="92" t="s">
        <v>1048</v>
      </c>
      <c r="D835" s="92">
        <v>4</v>
      </c>
      <c r="E835" s="92" t="s">
        <v>66</v>
      </c>
      <c r="F835" s="92">
        <v>143</v>
      </c>
      <c r="G835" s="92" t="s">
        <v>947</v>
      </c>
      <c r="H835" s="92"/>
      <c r="I835" s="92">
        <v>0</v>
      </c>
      <c r="J835" s="92">
        <v>76572243</v>
      </c>
      <c r="K835" s="92" t="s">
        <v>1061</v>
      </c>
      <c r="L835" s="92">
        <v>18843</v>
      </c>
      <c r="M835" s="92">
        <v>11366</v>
      </c>
      <c r="N835" s="92">
        <v>1681</v>
      </c>
      <c r="O835" s="92">
        <v>1681</v>
      </c>
      <c r="P835" s="92">
        <v>0</v>
      </c>
      <c r="Q835" s="92">
        <v>0</v>
      </c>
      <c r="R835" s="92">
        <v>0</v>
      </c>
      <c r="S835" s="92">
        <v>0</v>
      </c>
      <c r="T835" s="92">
        <v>0</v>
      </c>
      <c r="U835" s="92">
        <v>0</v>
      </c>
      <c r="V835" s="92">
        <v>0</v>
      </c>
      <c r="W835" s="92">
        <v>0</v>
      </c>
      <c r="X835" s="92">
        <v>0</v>
      </c>
      <c r="Y835" s="92">
        <v>0</v>
      </c>
      <c r="Z835" s="92">
        <v>0</v>
      </c>
      <c r="AA835" s="92">
        <v>0</v>
      </c>
      <c r="AB835" s="92">
        <v>27207</v>
      </c>
      <c r="AC835" s="92">
        <v>28712</v>
      </c>
      <c r="AD835" s="92">
        <v>30178</v>
      </c>
      <c r="AE835" s="92">
        <v>0</v>
      </c>
      <c r="AF835" s="92">
        <v>0</v>
      </c>
      <c r="AG835" s="92">
        <v>0</v>
      </c>
    </row>
    <row r="836" spans="1:35" x14ac:dyDescent="0.25">
      <c r="A836" t="str">
        <f t="shared" si="16"/>
        <v>18-7-197</v>
      </c>
      <c r="B836">
        <v>18</v>
      </c>
      <c r="C836" s="92" t="s">
        <v>1031</v>
      </c>
      <c r="D836" s="92">
        <v>7</v>
      </c>
      <c r="E836" s="92" t="s">
        <v>586</v>
      </c>
      <c r="F836" s="92">
        <v>197</v>
      </c>
      <c r="G836" s="92" t="s">
        <v>793</v>
      </c>
      <c r="H836" s="92"/>
      <c r="I836" s="92">
        <v>2078</v>
      </c>
      <c r="J836" s="92">
        <v>6641490</v>
      </c>
      <c r="K836" s="92" t="s">
        <v>1061</v>
      </c>
      <c r="L836" s="92">
        <v>89</v>
      </c>
      <c r="M836" s="92">
        <v>1311</v>
      </c>
      <c r="N836" s="92">
        <v>247</v>
      </c>
      <c r="O836" s="92">
        <v>247</v>
      </c>
      <c r="P836" s="92">
        <v>0</v>
      </c>
      <c r="Q836" s="92">
        <v>0</v>
      </c>
      <c r="R836" s="92">
        <v>0</v>
      </c>
      <c r="S836" s="92">
        <v>0</v>
      </c>
      <c r="T836" s="92">
        <v>0</v>
      </c>
      <c r="U836" s="92">
        <v>0</v>
      </c>
      <c r="V836" s="92">
        <v>0</v>
      </c>
      <c r="W836" s="92">
        <v>0</v>
      </c>
      <c r="X836" s="92">
        <v>0</v>
      </c>
      <c r="Y836" s="92">
        <v>0</v>
      </c>
      <c r="Z836" s="92">
        <v>0</v>
      </c>
      <c r="AA836" s="92">
        <v>0</v>
      </c>
      <c r="AB836" s="92">
        <v>62000</v>
      </c>
      <c r="AC836" s="92">
        <v>64368</v>
      </c>
      <c r="AD836" s="92">
        <v>66790</v>
      </c>
      <c r="AE836" s="92">
        <v>0</v>
      </c>
      <c r="AF836" s="92">
        <v>0</v>
      </c>
      <c r="AG836" s="92">
        <v>0</v>
      </c>
    </row>
    <row r="837" spans="1:35" x14ac:dyDescent="0.25">
      <c r="A837" t="str">
        <f t="shared" si="16"/>
        <v>18-9-72</v>
      </c>
      <c r="B837">
        <v>18</v>
      </c>
      <c r="C837" s="92" t="s">
        <v>1031</v>
      </c>
      <c r="D837" s="92">
        <v>9</v>
      </c>
      <c r="E837" s="92" t="s">
        <v>588</v>
      </c>
      <c r="F837" s="92">
        <v>72</v>
      </c>
      <c r="G837" s="92" t="s">
        <v>794</v>
      </c>
      <c r="H837" s="92"/>
      <c r="I837" s="92">
        <v>0</v>
      </c>
      <c r="J837" s="92">
        <v>1854416</v>
      </c>
      <c r="K837" s="92" t="s">
        <v>1061</v>
      </c>
      <c r="L837" s="92">
        <v>61</v>
      </c>
      <c r="M837" s="92">
        <v>774</v>
      </c>
      <c r="N837" s="92">
        <v>163</v>
      </c>
      <c r="O837" s="92">
        <v>163</v>
      </c>
      <c r="P837" s="92">
        <v>0</v>
      </c>
      <c r="Q837" s="92">
        <v>0</v>
      </c>
      <c r="R837" s="92">
        <v>0</v>
      </c>
      <c r="S837" s="92">
        <v>0</v>
      </c>
      <c r="T837" s="92">
        <v>0</v>
      </c>
      <c r="U837" s="92">
        <v>80</v>
      </c>
      <c r="V837" s="92">
        <v>0</v>
      </c>
      <c r="W837" s="92">
        <v>0</v>
      </c>
      <c r="X837" s="92">
        <v>0</v>
      </c>
      <c r="Y837" s="92">
        <v>0</v>
      </c>
      <c r="Z837" s="92">
        <v>0</v>
      </c>
      <c r="AA837" s="92">
        <v>0</v>
      </c>
      <c r="AB837" s="92">
        <v>43360</v>
      </c>
      <c r="AC837" s="92">
        <v>43360</v>
      </c>
      <c r="AD837" s="92">
        <v>44660</v>
      </c>
      <c r="AE837" s="92">
        <v>0</v>
      </c>
      <c r="AF837" s="92">
        <v>0</v>
      </c>
      <c r="AG837" s="92">
        <v>0</v>
      </c>
      <c r="AI837" s="250">
        <v>3.0500999999999998E-4</v>
      </c>
    </row>
    <row r="838" spans="1:35" x14ac:dyDescent="0.25">
      <c r="A838" t="str">
        <f t="shared" si="16"/>
        <v>18-4-64</v>
      </c>
      <c r="B838">
        <v>18</v>
      </c>
      <c r="C838" s="92" t="s">
        <v>1031</v>
      </c>
      <c r="D838" s="92">
        <v>4</v>
      </c>
      <c r="E838" s="92" t="s">
        <v>66</v>
      </c>
      <c r="F838" s="92">
        <v>64</v>
      </c>
      <c r="G838" s="92" t="s">
        <v>785</v>
      </c>
      <c r="H838" s="92"/>
      <c r="I838" s="92">
        <v>0</v>
      </c>
      <c r="J838" s="92">
        <v>16809071</v>
      </c>
      <c r="K838" s="92">
        <v>1</v>
      </c>
      <c r="L838" s="92">
        <v>4104</v>
      </c>
      <c r="M838" s="92">
        <v>56870</v>
      </c>
      <c r="N838" s="92">
        <v>6266</v>
      </c>
      <c r="O838" s="92">
        <v>6266</v>
      </c>
      <c r="P838" s="92">
        <v>0</v>
      </c>
      <c r="Q838" s="92">
        <v>0</v>
      </c>
      <c r="R838" s="92">
        <v>0</v>
      </c>
      <c r="S838" s="92">
        <v>0</v>
      </c>
      <c r="T838" s="92">
        <v>0</v>
      </c>
      <c r="U838" s="92">
        <v>1397</v>
      </c>
      <c r="V838" s="92">
        <v>0</v>
      </c>
      <c r="W838" s="92">
        <v>0</v>
      </c>
      <c r="X838" s="92">
        <v>0</v>
      </c>
      <c r="Y838" s="92">
        <v>0</v>
      </c>
      <c r="Z838" s="92">
        <v>0</v>
      </c>
      <c r="AA838" s="92">
        <v>0</v>
      </c>
      <c r="AB838" s="92">
        <v>70627</v>
      </c>
      <c r="AC838" s="92">
        <v>73414</v>
      </c>
      <c r="AD838" s="92">
        <v>76269</v>
      </c>
      <c r="AE838" s="92">
        <v>0</v>
      </c>
      <c r="AF838" s="92">
        <v>0</v>
      </c>
      <c r="AG838" s="92">
        <v>0</v>
      </c>
    </row>
    <row r="839" spans="1:35" x14ac:dyDescent="0.25">
      <c r="A839" t="str">
        <f t="shared" si="16"/>
        <v>31-4-64</v>
      </c>
      <c r="B839">
        <v>31</v>
      </c>
      <c r="C839" s="92" t="s">
        <v>1044</v>
      </c>
      <c r="D839" s="92">
        <v>4</v>
      </c>
      <c r="E839" s="92" t="s">
        <v>66</v>
      </c>
      <c r="F839" s="92">
        <v>64</v>
      </c>
      <c r="G839" s="92" t="s">
        <v>785</v>
      </c>
      <c r="H839" s="92"/>
      <c r="I839" s="92">
        <v>0</v>
      </c>
      <c r="J839" s="92">
        <v>403005</v>
      </c>
      <c r="K839" s="92">
        <v>1</v>
      </c>
      <c r="L839" s="92">
        <v>4104</v>
      </c>
      <c r="M839" s="92">
        <v>56870</v>
      </c>
      <c r="N839" s="92">
        <v>6266</v>
      </c>
      <c r="O839" s="92">
        <v>6266</v>
      </c>
      <c r="P839" s="92">
        <v>0</v>
      </c>
      <c r="Q839" s="92">
        <v>0</v>
      </c>
      <c r="R839" s="92">
        <v>0</v>
      </c>
      <c r="S839" s="92">
        <v>0</v>
      </c>
      <c r="T839" s="92">
        <v>0</v>
      </c>
      <c r="U839" s="92">
        <v>1397</v>
      </c>
      <c r="V839" s="92">
        <v>0</v>
      </c>
      <c r="W839" s="92">
        <v>0</v>
      </c>
      <c r="X839" s="92">
        <v>0</v>
      </c>
      <c r="Y839" s="92">
        <v>0</v>
      </c>
      <c r="Z839" s="92">
        <v>0</v>
      </c>
      <c r="AA839" s="92">
        <v>0</v>
      </c>
      <c r="AB839" s="92">
        <v>70627</v>
      </c>
      <c r="AC839" s="92">
        <v>73414</v>
      </c>
      <c r="AD839" s="92">
        <v>76269</v>
      </c>
      <c r="AE839" s="92">
        <v>0</v>
      </c>
      <c r="AF839" s="92">
        <v>0</v>
      </c>
      <c r="AG839" s="92">
        <v>0</v>
      </c>
    </row>
    <row r="840" spans="1:35" x14ac:dyDescent="0.25">
      <c r="A840" t="str">
        <f t="shared" si="16"/>
        <v>35-4-64</v>
      </c>
      <c r="B840">
        <v>35</v>
      </c>
      <c r="C840" s="92" t="s">
        <v>1195</v>
      </c>
      <c r="D840" s="92">
        <v>4</v>
      </c>
      <c r="E840" s="92" t="s">
        <v>66</v>
      </c>
      <c r="F840" s="92">
        <v>64</v>
      </c>
      <c r="G840" s="92" t="s">
        <v>785</v>
      </c>
      <c r="H840" s="92"/>
      <c r="I840" s="92">
        <v>0</v>
      </c>
      <c r="J840" s="92">
        <v>5392</v>
      </c>
      <c r="K840" s="92">
        <v>1</v>
      </c>
      <c r="L840" s="92">
        <v>4104</v>
      </c>
      <c r="M840" s="92">
        <v>56870</v>
      </c>
      <c r="N840" s="92">
        <v>6266</v>
      </c>
      <c r="O840" s="92">
        <v>6266</v>
      </c>
      <c r="P840" s="92">
        <v>0</v>
      </c>
      <c r="Q840" s="92">
        <v>0</v>
      </c>
      <c r="R840" s="92">
        <v>0</v>
      </c>
      <c r="S840" s="92">
        <v>0</v>
      </c>
      <c r="T840" s="92">
        <v>0</v>
      </c>
      <c r="U840" s="92">
        <v>1397</v>
      </c>
      <c r="V840" s="92">
        <v>0</v>
      </c>
      <c r="W840" s="92">
        <v>0</v>
      </c>
      <c r="X840" s="92">
        <v>0</v>
      </c>
      <c r="Y840" s="92">
        <v>0</v>
      </c>
      <c r="Z840" s="92">
        <v>0</v>
      </c>
      <c r="AA840" s="92">
        <v>0</v>
      </c>
      <c r="AB840" s="92">
        <v>70627</v>
      </c>
      <c r="AC840" s="92">
        <v>73414</v>
      </c>
      <c r="AD840" s="92">
        <v>76269</v>
      </c>
      <c r="AE840" s="92">
        <v>0</v>
      </c>
      <c r="AF840" s="92">
        <v>0</v>
      </c>
      <c r="AG840" s="92">
        <v>0</v>
      </c>
    </row>
    <row r="841" spans="1:35" x14ac:dyDescent="0.25">
      <c r="A841" t="str">
        <f t="shared" si="16"/>
        <v>4-7-110</v>
      </c>
      <c r="B841">
        <v>4</v>
      </c>
      <c r="C841" s="92" t="s">
        <v>1194</v>
      </c>
      <c r="D841" s="92">
        <v>7</v>
      </c>
      <c r="E841" s="92" t="s">
        <v>586</v>
      </c>
      <c r="F841" s="92">
        <v>110</v>
      </c>
      <c r="G841" s="92" t="s">
        <v>126</v>
      </c>
      <c r="H841" s="92"/>
      <c r="I841" s="92">
        <v>8</v>
      </c>
      <c r="J841" s="92">
        <v>2339328</v>
      </c>
      <c r="K841" s="92" t="s">
        <v>1061</v>
      </c>
      <c r="L841" s="92">
        <v>72</v>
      </c>
      <c r="M841" s="92">
        <v>65</v>
      </c>
      <c r="N841" s="92">
        <v>48</v>
      </c>
      <c r="O841" s="92">
        <v>48</v>
      </c>
      <c r="P841" s="92">
        <v>0</v>
      </c>
      <c r="Q841" s="92">
        <v>0</v>
      </c>
      <c r="R841" s="92">
        <v>0</v>
      </c>
      <c r="S841" s="92">
        <v>0</v>
      </c>
      <c r="T841" s="92">
        <v>0</v>
      </c>
      <c r="U841" s="92">
        <v>0</v>
      </c>
      <c r="V841" s="92">
        <v>0</v>
      </c>
      <c r="W841" s="92">
        <v>0</v>
      </c>
      <c r="X841" s="92">
        <v>0</v>
      </c>
      <c r="Y841" s="92">
        <v>0</v>
      </c>
      <c r="Z841" s="92">
        <v>0</v>
      </c>
      <c r="AA841" s="92">
        <v>0</v>
      </c>
      <c r="AB841" s="92">
        <v>4768</v>
      </c>
      <c r="AC841" s="92">
        <v>4917</v>
      </c>
      <c r="AD841" s="92">
        <v>4890</v>
      </c>
      <c r="AE841" s="92">
        <v>0</v>
      </c>
      <c r="AF841" s="92">
        <v>0</v>
      </c>
      <c r="AG841" s="92">
        <v>0</v>
      </c>
    </row>
    <row r="842" spans="1:35" x14ac:dyDescent="0.25">
      <c r="A842" t="str">
        <f t="shared" si="16"/>
        <v>37-11-98</v>
      </c>
      <c r="B842">
        <v>37</v>
      </c>
      <c r="C842" s="92" t="s">
        <v>1049</v>
      </c>
      <c r="D842" s="92">
        <v>11</v>
      </c>
      <c r="E842" s="92" t="s">
        <v>1062</v>
      </c>
      <c r="F842" s="92">
        <v>98</v>
      </c>
      <c r="G842" s="92" t="s">
        <v>960</v>
      </c>
      <c r="H842" s="92">
        <v>1</v>
      </c>
      <c r="I842" s="92">
        <v>0</v>
      </c>
      <c r="J842" s="92">
        <v>125072549</v>
      </c>
      <c r="K842" s="92"/>
      <c r="L842" s="92">
        <v>0</v>
      </c>
      <c r="M842" s="92">
        <v>0</v>
      </c>
      <c r="N842" s="92">
        <v>0</v>
      </c>
      <c r="O842" s="92">
        <v>0</v>
      </c>
      <c r="P842" s="92">
        <v>0</v>
      </c>
      <c r="Q842" s="92">
        <v>0</v>
      </c>
      <c r="R842" s="92">
        <v>0</v>
      </c>
      <c r="S842" s="92">
        <v>0</v>
      </c>
      <c r="T842" s="92">
        <v>0</v>
      </c>
      <c r="U842" s="92">
        <v>0</v>
      </c>
      <c r="V842" s="92">
        <v>0</v>
      </c>
      <c r="W842" s="92">
        <v>0</v>
      </c>
      <c r="X842" s="92">
        <v>0</v>
      </c>
      <c r="Y842" s="92">
        <v>0</v>
      </c>
      <c r="Z842" s="92">
        <v>0</v>
      </c>
      <c r="AA842" s="92">
        <v>0</v>
      </c>
      <c r="AB842" s="92">
        <v>262859</v>
      </c>
      <c r="AC842" s="92">
        <v>0</v>
      </c>
      <c r="AD842" s="92">
        <v>0</v>
      </c>
      <c r="AE842" s="92">
        <v>0</v>
      </c>
      <c r="AF842" s="92">
        <v>0</v>
      </c>
      <c r="AG842" s="92">
        <v>0</v>
      </c>
    </row>
    <row r="843" spans="1:35" x14ac:dyDescent="0.25">
      <c r="A843" t="str">
        <f t="shared" si="16"/>
        <v>37-2-37</v>
      </c>
      <c r="B843">
        <v>37</v>
      </c>
      <c r="C843" s="92" t="s">
        <v>1049</v>
      </c>
      <c r="D843" s="92">
        <v>2</v>
      </c>
      <c r="E843" s="92" t="s">
        <v>53</v>
      </c>
      <c r="F843" s="92">
        <v>37</v>
      </c>
      <c r="G843" s="92" t="s">
        <v>509</v>
      </c>
      <c r="H843" s="92"/>
      <c r="I843" s="92">
        <v>535</v>
      </c>
      <c r="J843" s="92">
        <v>186131211</v>
      </c>
      <c r="K843" s="92"/>
      <c r="L843" s="92">
        <v>134304</v>
      </c>
      <c r="M843" s="92">
        <v>33020</v>
      </c>
      <c r="N843" s="92">
        <v>8407</v>
      </c>
      <c r="O843" s="92">
        <v>8407</v>
      </c>
      <c r="P843" s="92">
        <v>0</v>
      </c>
      <c r="Q843" s="92">
        <v>97447</v>
      </c>
      <c r="R843" s="92">
        <v>72448</v>
      </c>
      <c r="S843" s="92">
        <v>0</v>
      </c>
      <c r="T843" s="92">
        <v>0</v>
      </c>
      <c r="U843" s="92">
        <v>649</v>
      </c>
      <c r="V843" s="92">
        <v>0</v>
      </c>
      <c r="W843" s="92">
        <v>0</v>
      </c>
      <c r="X843" s="92">
        <v>0</v>
      </c>
      <c r="Y843" s="92">
        <v>0</v>
      </c>
      <c r="Z843" s="92">
        <v>0</v>
      </c>
      <c r="AA843" s="92">
        <v>0</v>
      </c>
      <c r="AB843" s="92">
        <v>3372550</v>
      </c>
      <c r="AC843" s="92">
        <v>3760511</v>
      </c>
      <c r="AD843" s="92">
        <v>3958064</v>
      </c>
      <c r="AE843" s="92">
        <v>0</v>
      </c>
      <c r="AF843" s="92">
        <v>0</v>
      </c>
      <c r="AG843" s="92">
        <v>0</v>
      </c>
      <c r="AH843" s="92" t="s">
        <v>1121</v>
      </c>
    </row>
    <row r="844" spans="1:35" x14ac:dyDescent="0.25">
      <c r="A844" t="str">
        <f t="shared" si="16"/>
        <v>37-7-111</v>
      </c>
      <c r="B844">
        <v>37</v>
      </c>
      <c r="C844" s="92" t="s">
        <v>1049</v>
      </c>
      <c r="D844" s="92">
        <v>7</v>
      </c>
      <c r="E844" s="92" t="s">
        <v>586</v>
      </c>
      <c r="F844" s="92">
        <v>111</v>
      </c>
      <c r="G844" s="92" t="s">
        <v>515</v>
      </c>
      <c r="H844" s="92"/>
      <c r="I844" s="92">
        <v>35</v>
      </c>
      <c r="J844" s="92">
        <v>45409984</v>
      </c>
      <c r="K844" s="92" t="s">
        <v>1061</v>
      </c>
      <c r="L844" s="92">
        <v>74</v>
      </c>
      <c r="M844" s="92">
        <v>25</v>
      </c>
      <c r="N844" s="92">
        <v>9</v>
      </c>
      <c r="O844" s="92">
        <v>9</v>
      </c>
      <c r="P844" s="92">
        <v>0</v>
      </c>
      <c r="Q844" s="92">
        <v>587</v>
      </c>
      <c r="R844" s="92">
        <v>410</v>
      </c>
      <c r="S844" s="92">
        <v>0</v>
      </c>
      <c r="T844" s="92">
        <v>0</v>
      </c>
      <c r="U844" s="92">
        <v>0</v>
      </c>
      <c r="V844" s="92">
        <v>0</v>
      </c>
      <c r="W844" s="92">
        <v>0</v>
      </c>
      <c r="X844" s="92">
        <v>0</v>
      </c>
      <c r="Y844" s="92">
        <v>0</v>
      </c>
      <c r="Z844" s="92">
        <v>0</v>
      </c>
      <c r="AA844" s="92">
        <v>0</v>
      </c>
      <c r="AB844" s="92">
        <v>3436</v>
      </c>
      <c r="AC844" s="92">
        <v>3006</v>
      </c>
      <c r="AD844" s="92">
        <v>3166</v>
      </c>
      <c r="AE844" s="92">
        <v>0</v>
      </c>
      <c r="AF844" s="92">
        <v>0</v>
      </c>
      <c r="AG844" s="92">
        <v>0</v>
      </c>
    </row>
    <row r="845" spans="1:35" x14ac:dyDescent="0.25">
      <c r="A845" t="str">
        <f t="shared" si="16"/>
        <v>11-9-186</v>
      </c>
      <c r="B845">
        <v>11</v>
      </c>
      <c r="C845" s="92" t="s">
        <v>1024</v>
      </c>
      <c r="D845" s="92">
        <v>9</v>
      </c>
      <c r="E845" s="92" t="s">
        <v>588</v>
      </c>
      <c r="F845" s="92">
        <v>186</v>
      </c>
      <c r="G845" s="92" t="s">
        <v>740</v>
      </c>
      <c r="H845" s="92"/>
      <c r="I845" s="92">
        <v>37741</v>
      </c>
      <c r="J845" s="92">
        <v>3834735</v>
      </c>
      <c r="K845" s="92" t="s">
        <v>1061</v>
      </c>
      <c r="L845" s="92">
        <v>0</v>
      </c>
      <c r="M845" s="92">
        <v>1439</v>
      </c>
      <c r="N845" s="92">
        <v>79</v>
      </c>
      <c r="O845" s="92">
        <v>79</v>
      </c>
      <c r="P845" s="92">
        <v>0</v>
      </c>
      <c r="Q845" s="92">
        <v>0</v>
      </c>
      <c r="R845" s="92">
        <v>0</v>
      </c>
      <c r="S845" s="92">
        <v>0</v>
      </c>
      <c r="T845" s="92">
        <v>0</v>
      </c>
      <c r="U845" s="92">
        <v>0</v>
      </c>
      <c r="V845" s="92">
        <v>0</v>
      </c>
      <c r="W845" s="92">
        <v>0</v>
      </c>
      <c r="X845" s="92">
        <v>0</v>
      </c>
      <c r="Y845" s="92">
        <v>0</v>
      </c>
      <c r="Z845" s="92">
        <v>0</v>
      </c>
      <c r="AA845" s="92">
        <v>0</v>
      </c>
      <c r="AB845" s="92">
        <v>166847</v>
      </c>
      <c r="AC845" s="92">
        <v>176068</v>
      </c>
      <c r="AD845" s="92">
        <v>189728</v>
      </c>
      <c r="AE845" s="92">
        <v>0</v>
      </c>
      <c r="AF845" s="92">
        <v>0</v>
      </c>
      <c r="AG845" s="92">
        <v>0</v>
      </c>
      <c r="AI845" s="250">
        <v>4.5688E-4</v>
      </c>
    </row>
    <row r="846" spans="1:35" x14ac:dyDescent="0.25">
      <c r="A846" t="str">
        <f t="shared" si="16"/>
        <v>22-7-112</v>
      </c>
      <c r="B846">
        <v>22</v>
      </c>
      <c r="C846" s="92" t="s">
        <v>1035</v>
      </c>
      <c r="D846" s="92">
        <v>7</v>
      </c>
      <c r="E846" s="92" t="s">
        <v>586</v>
      </c>
      <c r="F846" s="92">
        <v>112</v>
      </c>
      <c r="G846" s="92" t="s">
        <v>839</v>
      </c>
      <c r="H846" s="92"/>
      <c r="I846" s="92">
        <v>9</v>
      </c>
      <c r="J846" s="92">
        <v>8537346</v>
      </c>
      <c r="K846" s="92" t="s">
        <v>1061</v>
      </c>
      <c r="L846" s="92">
        <v>1778</v>
      </c>
      <c r="M846" s="92">
        <v>234</v>
      </c>
      <c r="N846" s="92">
        <v>28</v>
      </c>
      <c r="O846" s="92">
        <v>28</v>
      </c>
      <c r="P846" s="92">
        <v>0</v>
      </c>
      <c r="Q846" s="92">
        <v>0</v>
      </c>
      <c r="R846" s="92">
        <v>0</v>
      </c>
      <c r="S846" s="92">
        <v>0</v>
      </c>
      <c r="T846" s="92">
        <v>0</v>
      </c>
      <c r="U846" s="92">
        <v>0</v>
      </c>
      <c r="V846" s="92">
        <v>0</v>
      </c>
      <c r="W846" s="92">
        <v>0</v>
      </c>
      <c r="X846" s="92">
        <v>0</v>
      </c>
      <c r="Y846" s="92">
        <v>0</v>
      </c>
      <c r="Z846" s="92">
        <v>0</v>
      </c>
      <c r="AA846" s="92">
        <v>0</v>
      </c>
      <c r="AB846" s="92">
        <v>36932</v>
      </c>
      <c r="AC846" s="92">
        <v>38667</v>
      </c>
      <c r="AD846" s="92">
        <v>40363</v>
      </c>
      <c r="AE846" s="92">
        <v>0</v>
      </c>
      <c r="AF846" s="92">
        <v>0</v>
      </c>
      <c r="AG846" s="92">
        <v>0</v>
      </c>
    </row>
    <row r="847" spans="1:35" x14ac:dyDescent="0.25">
      <c r="A847" t="str">
        <f t="shared" si="16"/>
        <v>38-7-113</v>
      </c>
      <c r="B847">
        <v>38</v>
      </c>
      <c r="C847" s="92" t="s">
        <v>1050</v>
      </c>
      <c r="D847" s="92">
        <v>7</v>
      </c>
      <c r="E847" s="92" t="s">
        <v>586</v>
      </c>
      <c r="F847" s="92">
        <v>113</v>
      </c>
      <c r="G847" s="92" t="s">
        <v>522</v>
      </c>
      <c r="H847" s="92"/>
      <c r="I847" s="92">
        <v>27095</v>
      </c>
      <c r="J847" s="92">
        <v>193642209</v>
      </c>
      <c r="K847" s="92" t="s">
        <v>1061</v>
      </c>
      <c r="L847" s="92">
        <v>2706</v>
      </c>
      <c r="M847" s="92">
        <v>1078</v>
      </c>
      <c r="N847" s="92">
        <v>410</v>
      </c>
      <c r="O847" s="92">
        <v>410</v>
      </c>
      <c r="P847" s="92">
        <v>0</v>
      </c>
      <c r="Q847" s="92">
        <v>0</v>
      </c>
      <c r="R847" s="92">
        <v>0</v>
      </c>
      <c r="S847" s="92">
        <v>0</v>
      </c>
      <c r="T847" s="92">
        <v>0</v>
      </c>
      <c r="U847" s="92">
        <v>0</v>
      </c>
      <c r="V847" s="92">
        <v>0</v>
      </c>
      <c r="W847" s="92">
        <v>0</v>
      </c>
      <c r="X847" s="92">
        <v>0</v>
      </c>
      <c r="Y847" s="92">
        <v>0</v>
      </c>
      <c r="Z847" s="92">
        <v>0</v>
      </c>
      <c r="AA847" s="92">
        <v>0</v>
      </c>
      <c r="AB847" s="92">
        <v>159469</v>
      </c>
      <c r="AC847" s="92">
        <v>167466</v>
      </c>
      <c r="AD847" s="92">
        <v>175056</v>
      </c>
      <c r="AE847" s="92">
        <v>0</v>
      </c>
      <c r="AF847" s="92">
        <v>0</v>
      </c>
      <c r="AG847" s="92">
        <v>0</v>
      </c>
    </row>
    <row r="848" spans="1:35" x14ac:dyDescent="0.25">
      <c r="A848" t="str">
        <f t="shared" si="16"/>
        <v>14-7-114</v>
      </c>
      <c r="B848">
        <v>14</v>
      </c>
      <c r="C848" s="92" t="s">
        <v>1027</v>
      </c>
      <c r="D848" s="92">
        <v>7</v>
      </c>
      <c r="E848" s="92" t="s">
        <v>586</v>
      </c>
      <c r="F848" s="92">
        <v>114</v>
      </c>
      <c r="G848" s="92" t="s">
        <v>231</v>
      </c>
      <c r="H848" s="92"/>
      <c r="I848" s="92">
        <v>3524</v>
      </c>
      <c r="J848" s="92">
        <v>36521509</v>
      </c>
      <c r="K848" s="92" t="s">
        <v>1061</v>
      </c>
      <c r="L848" s="92">
        <v>893</v>
      </c>
      <c r="M848" s="92">
        <v>549</v>
      </c>
      <c r="N848" s="92">
        <v>206</v>
      </c>
      <c r="O848" s="92">
        <v>206</v>
      </c>
      <c r="P848" s="92">
        <v>0</v>
      </c>
      <c r="Q848" s="92">
        <v>0</v>
      </c>
      <c r="R848" s="92">
        <v>0</v>
      </c>
      <c r="S848" s="92">
        <v>0</v>
      </c>
      <c r="T848" s="92">
        <v>0</v>
      </c>
      <c r="U848" s="92">
        <v>0</v>
      </c>
      <c r="V848" s="92">
        <v>0</v>
      </c>
      <c r="W848" s="92">
        <v>0</v>
      </c>
      <c r="X848" s="92">
        <v>0</v>
      </c>
      <c r="Y848" s="92">
        <v>0</v>
      </c>
      <c r="Z848" s="92">
        <v>0</v>
      </c>
      <c r="AA848" s="92">
        <v>0</v>
      </c>
      <c r="AB848" s="92">
        <v>41827</v>
      </c>
      <c r="AC848" s="92">
        <v>44069</v>
      </c>
      <c r="AD848" s="92">
        <v>46177</v>
      </c>
      <c r="AE848" s="92">
        <v>0</v>
      </c>
      <c r="AF848" s="92">
        <v>0</v>
      </c>
      <c r="AG848" s="92">
        <v>0</v>
      </c>
    </row>
    <row r="849" spans="1:35" x14ac:dyDescent="0.25">
      <c r="A849" t="str">
        <f t="shared" si="16"/>
        <v>14-9-74</v>
      </c>
      <c r="B849">
        <v>14</v>
      </c>
      <c r="C849" s="92" t="s">
        <v>1027</v>
      </c>
      <c r="D849" s="92">
        <v>9</v>
      </c>
      <c r="E849" s="92" t="s">
        <v>588</v>
      </c>
      <c r="F849" s="92">
        <v>74</v>
      </c>
      <c r="G849" s="92" t="s">
        <v>240</v>
      </c>
      <c r="H849" s="92"/>
      <c r="I849" s="92">
        <v>0</v>
      </c>
      <c r="J849" s="92">
        <v>0</v>
      </c>
      <c r="K849" s="92">
        <v>1</v>
      </c>
      <c r="L849" s="92">
        <v>19568</v>
      </c>
      <c r="M849" s="92">
        <v>7618</v>
      </c>
      <c r="N849" s="92">
        <v>2876</v>
      </c>
      <c r="O849" s="92">
        <v>2876</v>
      </c>
      <c r="P849" s="92">
        <v>0</v>
      </c>
      <c r="Q849" s="92">
        <v>0</v>
      </c>
      <c r="R849" s="92">
        <v>0</v>
      </c>
      <c r="S849" s="92">
        <v>0</v>
      </c>
      <c r="T849" s="92">
        <v>0</v>
      </c>
      <c r="U849" s="92">
        <v>0</v>
      </c>
      <c r="V849" s="92">
        <v>0</v>
      </c>
      <c r="W849" s="92">
        <v>0</v>
      </c>
      <c r="X849" s="92">
        <v>0</v>
      </c>
      <c r="Y849" s="92">
        <v>0</v>
      </c>
      <c r="Z849" s="92">
        <v>0</v>
      </c>
      <c r="AA849" s="92">
        <v>0</v>
      </c>
      <c r="AB849" s="92">
        <v>971526</v>
      </c>
      <c r="AC849" s="92">
        <v>1018868</v>
      </c>
      <c r="AD849" s="92">
        <v>1065953</v>
      </c>
      <c r="AE849" s="92">
        <v>0</v>
      </c>
      <c r="AF849" s="92">
        <v>0</v>
      </c>
      <c r="AG849" s="92">
        <v>0</v>
      </c>
      <c r="AI849" s="250">
        <v>9.9191699999999993E-4</v>
      </c>
    </row>
    <row r="850" spans="1:35" x14ac:dyDescent="0.25">
      <c r="A850" t="str">
        <f t="shared" si="16"/>
        <v>38-9-74</v>
      </c>
      <c r="B850">
        <v>38</v>
      </c>
      <c r="C850" s="92" t="s">
        <v>1050</v>
      </c>
      <c r="D850" s="92">
        <v>9</v>
      </c>
      <c r="E850" s="92" t="s">
        <v>588</v>
      </c>
      <c r="F850" s="92">
        <v>74</v>
      </c>
      <c r="G850" s="92" t="s">
        <v>240</v>
      </c>
      <c r="H850" s="92"/>
      <c r="I850" s="92">
        <v>0</v>
      </c>
      <c r="J850" s="92">
        <v>0</v>
      </c>
      <c r="K850" s="92">
        <v>1</v>
      </c>
      <c r="L850" s="92">
        <v>19568</v>
      </c>
      <c r="M850" s="92">
        <v>7618</v>
      </c>
      <c r="N850" s="92">
        <v>2876</v>
      </c>
      <c r="O850" s="92">
        <v>2876</v>
      </c>
      <c r="P850" s="92">
        <v>0</v>
      </c>
      <c r="Q850" s="92">
        <v>0</v>
      </c>
      <c r="R850" s="92">
        <v>0</v>
      </c>
      <c r="S850" s="92">
        <v>0</v>
      </c>
      <c r="T850" s="92">
        <v>0</v>
      </c>
      <c r="U850" s="92">
        <v>0</v>
      </c>
      <c r="V850" s="92">
        <v>0</v>
      </c>
      <c r="W850" s="92">
        <v>0</v>
      </c>
      <c r="X850" s="92">
        <v>0</v>
      </c>
      <c r="Y850" s="92">
        <v>0</v>
      </c>
      <c r="Z850" s="92">
        <v>0</v>
      </c>
      <c r="AA850" s="92">
        <v>0</v>
      </c>
      <c r="AB850" s="92">
        <v>971526</v>
      </c>
      <c r="AC850" s="92">
        <v>1018868</v>
      </c>
      <c r="AD850" s="92">
        <v>1065953</v>
      </c>
      <c r="AE850" s="92">
        <v>0</v>
      </c>
      <c r="AF850" s="92">
        <v>0</v>
      </c>
      <c r="AG850" s="92">
        <v>0</v>
      </c>
      <c r="AI850" s="250">
        <v>9.9191699999999993E-4</v>
      </c>
    </row>
    <row r="851" spans="1:35" x14ac:dyDescent="0.25">
      <c r="A851" t="str">
        <f t="shared" si="16"/>
        <v>14-4-47</v>
      </c>
      <c r="B851">
        <v>14</v>
      </c>
      <c r="C851" s="92" t="s">
        <v>1027</v>
      </c>
      <c r="D851" s="92">
        <v>4</v>
      </c>
      <c r="E851" s="92" t="s">
        <v>66</v>
      </c>
      <c r="F851" s="92">
        <v>47</v>
      </c>
      <c r="G851" s="92" t="s">
        <v>755</v>
      </c>
      <c r="H851" s="92"/>
      <c r="I851" s="92">
        <v>0</v>
      </c>
      <c r="J851" s="92">
        <v>58821981</v>
      </c>
      <c r="K851" s="92" t="s">
        <v>1061</v>
      </c>
      <c r="L851" s="92">
        <v>49647</v>
      </c>
      <c r="M851" s="92">
        <v>21744</v>
      </c>
      <c r="N851" s="92">
        <v>7708</v>
      </c>
      <c r="O851" s="92">
        <v>7708</v>
      </c>
      <c r="P851" s="92">
        <v>0</v>
      </c>
      <c r="Q851" s="92">
        <v>0</v>
      </c>
      <c r="R851" s="92">
        <v>0</v>
      </c>
      <c r="S851" s="92">
        <v>0</v>
      </c>
      <c r="T851" s="92">
        <v>0</v>
      </c>
      <c r="U851" s="92">
        <v>0</v>
      </c>
      <c r="V851" s="92">
        <v>0</v>
      </c>
      <c r="W851" s="92">
        <v>0</v>
      </c>
      <c r="X851" s="92">
        <v>0</v>
      </c>
      <c r="Y851" s="92">
        <v>0</v>
      </c>
      <c r="Z851" s="92">
        <v>0</v>
      </c>
      <c r="AA851" s="92">
        <v>0</v>
      </c>
      <c r="AB851" s="92">
        <v>142843</v>
      </c>
      <c r="AC851" s="92">
        <v>149899</v>
      </c>
      <c r="AD851" s="92">
        <v>156728</v>
      </c>
      <c r="AE851" s="92">
        <v>0</v>
      </c>
      <c r="AF851" s="92">
        <v>0</v>
      </c>
      <c r="AG851" s="92">
        <v>0</v>
      </c>
    </row>
    <row r="852" spans="1:35" x14ac:dyDescent="0.25">
      <c r="A852" t="str">
        <f t="shared" si="16"/>
        <v>34-7-115</v>
      </c>
      <c r="B852">
        <v>34</v>
      </c>
      <c r="C852" s="92" t="s">
        <v>1047</v>
      </c>
      <c r="D852" s="92">
        <v>7</v>
      </c>
      <c r="E852" s="92" t="s">
        <v>586</v>
      </c>
      <c r="F852" s="92">
        <v>115</v>
      </c>
      <c r="G852" s="92" t="s">
        <v>940</v>
      </c>
      <c r="H852" s="92"/>
      <c r="I852" s="92">
        <v>0</v>
      </c>
      <c r="J852" s="92">
        <v>23097495</v>
      </c>
      <c r="K852" s="92" t="s">
        <v>1061</v>
      </c>
      <c r="L852" s="92">
        <v>2814</v>
      </c>
      <c r="M852" s="92">
        <v>1079</v>
      </c>
      <c r="N852" s="92">
        <v>395</v>
      </c>
      <c r="O852" s="92">
        <v>395</v>
      </c>
      <c r="P852" s="92">
        <v>0</v>
      </c>
      <c r="Q852" s="92">
        <v>0</v>
      </c>
      <c r="R852" s="92">
        <v>0</v>
      </c>
      <c r="S852" s="92">
        <v>0</v>
      </c>
      <c r="T852" s="92">
        <v>0</v>
      </c>
      <c r="U852" s="92">
        <v>0</v>
      </c>
      <c r="V852" s="92">
        <v>0</v>
      </c>
      <c r="W852" s="92">
        <v>0</v>
      </c>
      <c r="X852" s="92">
        <v>0</v>
      </c>
      <c r="Y852" s="92">
        <v>0</v>
      </c>
      <c r="Z852" s="92">
        <v>0</v>
      </c>
      <c r="AA852" s="92">
        <v>0</v>
      </c>
      <c r="AB852" s="92">
        <v>129441</v>
      </c>
      <c r="AC852" s="92">
        <v>134606</v>
      </c>
      <c r="AD852" s="92">
        <v>139771</v>
      </c>
      <c r="AE852" s="92">
        <v>0</v>
      </c>
      <c r="AF852" s="92">
        <v>0</v>
      </c>
      <c r="AG852" s="92">
        <v>0</v>
      </c>
    </row>
    <row r="853" spans="1:35" x14ac:dyDescent="0.25">
      <c r="A853" t="str">
        <f t="shared" si="16"/>
        <v>38-2-38</v>
      </c>
      <c r="B853">
        <v>38</v>
      </c>
      <c r="C853" s="92" t="s">
        <v>1050</v>
      </c>
      <c r="D853" s="92">
        <v>2</v>
      </c>
      <c r="E853" s="92" t="s">
        <v>53</v>
      </c>
      <c r="F853" s="92">
        <v>38</v>
      </c>
      <c r="G853" s="92" t="s">
        <v>518</v>
      </c>
      <c r="H853" s="92"/>
      <c r="I853" s="92">
        <v>713419</v>
      </c>
      <c r="J853" s="92">
        <v>250406504</v>
      </c>
      <c r="K853" s="92"/>
      <c r="L853" s="92">
        <v>85382</v>
      </c>
      <c r="M853" s="92">
        <v>86481</v>
      </c>
      <c r="N853" s="92">
        <v>18847</v>
      </c>
      <c r="O853" s="92">
        <v>18762</v>
      </c>
      <c r="P853" s="92">
        <v>0</v>
      </c>
      <c r="Q853" s="92">
        <v>0</v>
      </c>
      <c r="R853" s="92">
        <v>0</v>
      </c>
      <c r="S853" s="92">
        <v>0</v>
      </c>
      <c r="T853" s="92">
        <v>0</v>
      </c>
      <c r="U853" s="92">
        <v>0</v>
      </c>
      <c r="V853" s="92">
        <v>0</v>
      </c>
      <c r="W853" s="92">
        <v>0</v>
      </c>
      <c r="X853" s="92">
        <v>0</v>
      </c>
      <c r="Y853" s="92">
        <v>0</v>
      </c>
      <c r="Z853" s="92">
        <v>0</v>
      </c>
      <c r="AA853" s="92">
        <v>0</v>
      </c>
      <c r="AB853" s="92">
        <v>7209503</v>
      </c>
      <c r="AC853" s="92">
        <v>7806118.1899999995</v>
      </c>
      <c r="AD853" s="92">
        <v>8310297</v>
      </c>
      <c r="AE853" s="92">
        <v>0</v>
      </c>
      <c r="AF853" s="92">
        <v>0</v>
      </c>
      <c r="AG853" s="92">
        <v>0</v>
      </c>
      <c r="AH853" s="92" t="s">
        <v>1121</v>
      </c>
    </row>
    <row r="854" spans="1:35" x14ac:dyDescent="0.25">
      <c r="A854" t="str">
        <f t="shared" si="16"/>
        <v>38-15-19</v>
      </c>
      <c r="B854">
        <v>38</v>
      </c>
      <c r="C854" s="92" t="s">
        <v>1050</v>
      </c>
      <c r="D854" s="92">
        <v>15</v>
      </c>
      <c r="E854" s="92" t="s">
        <v>152</v>
      </c>
      <c r="F854" s="92">
        <v>19</v>
      </c>
      <c r="G854" s="92" t="s">
        <v>1258</v>
      </c>
      <c r="H854" s="92"/>
      <c r="I854" s="92">
        <v>38602</v>
      </c>
      <c r="J854" s="92">
        <v>250406504</v>
      </c>
      <c r="K854" s="92" t="s">
        <v>1061</v>
      </c>
      <c r="L854" s="92">
        <v>0</v>
      </c>
      <c r="M854" s="92">
        <v>5567</v>
      </c>
      <c r="N854" s="92">
        <v>1159</v>
      </c>
      <c r="O854" s="92">
        <v>1159</v>
      </c>
      <c r="P854" s="92">
        <v>0</v>
      </c>
      <c r="Q854" s="92">
        <v>0</v>
      </c>
      <c r="R854" s="92">
        <v>0</v>
      </c>
      <c r="S854" s="92">
        <v>0</v>
      </c>
      <c r="T854" s="92">
        <v>0</v>
      </c>
      <c r="U854" s="92">
        <v>0</v>
      </c>
      <c r="V854" s="92">
        <v>0</v>
      </c>
      <c r="W854" s="92">
        <v>0</v>
      </c>
      <c r="X854" s="92">
        <v>0</v>
      </c>
      <c r="Y854" s="92">
        <v>0</v>
      </c>
      <c r="Z854" s="92">
        <v>0</v>
      </c>
      <c r="AA854" s="92">
        <v>0</v>
      </c>
      <c r="AB854" s="92">
        <v>468886</v>
      </c>
      <c r="AC854" s="92">
        <v>482112</v>
      </c>
      <c r="AD854" s="92">
        <v>504759</v>
      </c>
      <c r="AE854" s="92">
        <v>0</v>
      </c>
      <c r="AF854" s="92">
        <v>0</v>
      </c>
      <c r="AG854" s="92">
        <v>0</v>
      </c>
    </row>
    <row r="855" spans="1:35" x14ac:dyDescent="0.25">
      <c r="A855" t="str">
        <f t="shared" si="16"/>
        <v>38-5-20</v>
      </c>
      <c r="B855">
        <v>38</v>
      </c>
      <c r="C855" s="92" t="s">
        <v>1050</v>
      </c>
      <c r="D855" s="92">
        <v>5</v>
      </c>
      <c r="E855" s="92" t="s">
        <v>200</v>
      </c>
      <c r="F855" s="92">
        <v>20</v>
      </c>
      <c r="G855" s="92" t="s">
        <v>1259</v>
      </c>
      <c r="H855" s="92"/>
      <c r="I855" s="92">
        <v>0</v>
      </c>
      <c r="J855" s="92">
        <v>250406504</v>
      </c>
      <c r="K855" s="92" t="s">
        <v>1061</v>
      </c>
      <c r="L855" s="92">
        <v>6648</v>
      </c>
      <c r="M855" s="92">
        <v>6216</v>
      </c>
      <c r="N855" s="92">
        <v>1869</v>
      </c>
      <c r="O855" s="92">
        <v>1869</v>
      </c>
      <c r="P855" s="92">
        <v>0</v>
      </c>
      <c r="Q855" s="92">
        <v>0</v>
      </c>
      <c r="R855" s="92">
        <v>0</v>
      </c>
      <c r="S855" s="92">
        <v>0</v>
      </c>
      <c r="T855" s="92">
        <v>0</v>
      </c>
      <c r="U855" s="92">
        <v>0</v>
      </c>
      <c r="V855" s="92">
        <v>0</v>
      </c>
      <c r="W855" s="92">
        <v>0</v>
      </c>
      <c r="X855" s="92">
        <v>0</v>
      </c>
      <c r="Y855" s="92">
        <v>0</v>
      </c>
      <c r="Z855" s="92">
        <v>0</v>
      </c>
      <c r="AA855" s="92">
        <v>0</v>
      </c>
      <c r="AB855" s="92">
        <v>742534</v>
      </c>
      <c r="AC855" s="92">
        <v>779632</v>
      </c>
      <c r="AD855" s="92">
        <v>816435</v>
      </c>
      <c r="AE855" s="92">
        <v>0</v>
      </c>
      <c r="AF855" s="92">
        <v>0</v>
      </c>
      <c r="AG855" s="92">
        <v>0</v>
      </c>
      <c r="AI855">
        <v>2.18149E-4</v>
      </c>
    </row>
    <row r="856" spans="1:35" x14ac:dyDescent="0.25">
      <c r="A856" t="str">
        <f t="shared" si="16"/>
        <v>38-8-5</v>
      </c>
      <c r="B856">
        <v>38</v>
      </c>
      <c r="C856" s="92" t="s">
        <v>1050</v>
      </c>
      <c r="D856" s="92">
        <v>8</v>
      </c>
      <c r="E856" s="92" t="s">
        <v>587</v>
      </c>
      <c r="F856" s="92">
        <v>5</v>
      </c>
      <c r="G856" s="92" t="s">
        <v>1260</v>
      </c>
      <c r="H856" s="92"/>
      <c r="I856" s="92">
        <v>41310</v>
      </c>
      <c r="J856" s="92">
        <v>250406504</v>
      </c>
      <c r="K856" s="92" t="s">
        <v>1061</v>
      </c>
      <c r="L856" s="92">
        <v>1926</v>
      </c>
      <c r="M856" s="92">
        <v>1484</v>
      </c>
      <c r="N856" s="92">
        <v>350</v>
      </c>
      <c r="O856" s="92">
        <v>350</v>
      </c>
      <c r="P856" s="92">
        <v>0</v>
      </c>
      <c r="Q856" s="92">
        <v>0</v>
      </c>
      <c r="R856" s="92">
        <v>0</v>
      </c>
      <c r="S856" s="92">
        <v>0</v>
      </c>
      <c r="T856" s="92">
        <v>0</v>
      </c>
      <c r="U856" s="92">
        <v>0</v>
      </c>
      <c r="V856" s="92">
        <v>0</v>
      </c>
      <c r="W856" s="92">
        <v>0</v>
      </c>
      <c r="X856" s="92">
        <v>0</v>
      </c>
      <c r="Y856" s="92">
        <v>0</v>
      </c>
      <c r="Z856" s="92">
        <v>0</v>
      </c>
      <c r="AA856" s="92">
        <v>0</v>
      </c>
      <c r="AB856" s="92">
        <v>141570</v>
      </c>
      <c r="AC856" s="92">
        <v>148690</v>
      </c>
      <c r="AD856" s="92">
        <v>155753</v>
      </c>
      <c r="AE856" s="92">
        <v>0</v>
      </c>
      <c r="AF856" s="92">
        <v>0</v>
      </c>
      <c r="AG856" s="92">
        <v>0</v>
      </c>
    </row>
    <row r="857" spans="1:35" x14ac:dyDescent="0.25">
      <c r="A857" t="str">
        <f t="shared" ref="A857:A920" si="17">B857&amp;"-"&amp;D857&amp;"-"&amp;F857</f>
        <v>38-17-14</v>
      </c>
      <c r="B857">
        <v>38</v>
      </c>
      <c r="C857" s="92" t="s">
        <v>1050</v>
      </c>
      <c r="D857" s="92">
        <v>17</v>
      </c>
      <c r="E857" s="92" t="s">
        <v>593</v>
      </c>
      <c r="F857" s="92">
        <v>14</v>
      </c>
      <c r="G857" s="92" t="s">
        <v>1261</v>
      </c>
      <c r="H857" s="92"/>
      <c r="I857" s="92">
        <v>12641</v>
      </c>
      <c r="J857" s="92">
        <v>250406504</v>
      </c>
      <c r="K857" s="92" t="s">
        <v>1061</v>
      </c>
      <c r="L857" s="92">
        <v>6676</v>
      </c>
      <c r="M857" s="92">
        <v>5665</v>
      </c>
      <c r="N857" s="92">
        <v>1702</v>
      </c>
      <c r="O857" s="92">
        <v>1702</v>
      </c>
      <c r="P857" s="92">
        <v>0</v>
      </c>
      <c r="Q857" s="92">
        <v>0</v>
      </c>
      <c r="R857" s="92">
        <v>0</v>
      </c>
      <c r="S857" s="92">
        <v>0</v>
      </c>
      <c r="T857" s="92">
        <v>0</v>
      </c>
      <c r="U857" s="92">
        <v>0</v>
      </c>
      <c r="V857" s="92">
        <v>0</v>
      </c>
      <c r="W857" s="92">
        <v>0</v>
      </c>
      <c r="X857" s="92">
        <v>0</v>
      </c>
      <c r="Y857" s="92">
        <v>0</v>
      </c>
      <c r="Z857" s="92">
        <v>0</v>
      </c>
      <c r="AA857" s="92">
        <v>0</v>
      </c>
      <c r="AB857" s="92">
        <v>671827</v>
      </c>
      <c r="AC857" s="92">
        <v>693403</v>
      </c>
      <c r="AD857" s="92">
        <v>724988</v>
      </c>
      <c r="AE857" s="92">
        <v>0</v>
      </c>
      <c r="AF857" s="92">
        <v>0</v>
      </c>
      <c r="AG857" s="92">
        <v>0</v>
      </c>
    </row>
    <row r="858" spans="1:35" x14ac:dyDescent="0.25">
      <c r="A858" t="str">
        <f t="shared" si="17"/>
        <v>38-11-99</v>
      </c>
      <c r="B858">
        <v>38</v>
      </c>
      <c r="C858" s="92" t="s">
        <v>1050</v>
      </c>
      <c r="D858" s="92">
        <v>11</v>
      </c>
      <c r="E858" s="92" t="s">
        <v>1062</v>
      </c>
      <c r="F858" s="92">
        <v>99</v>
      </c>
      <c r="G858" s="92" t="s">
        <v>1255</v>
      </c>
      <c r="H858" s="92">
        <v>1</v>
      </c>
      <c r="I858" s="92">
        <v>0</v>
      </c>
      <c r="J858" s="92">
        <v>203274077</v>
      </c>
      <c r="K858" s="92"/>
      <c r="L858" s="92">
        <v>0</v>
      </c>
      <c r="M858" s="92">
        <v>0</v>
      </c>
      <c r="N858" s="92">
        <v>0</v>
      </c>
      <c r="O858" s="92">
        <v>0</v>
      </c>
      <c r="P858" s="92">
        <v>0</v>
      </c>
      <c r="Q858" s="92">
        <v>0</v>
      </c>
      <c r="R858" s="92">
        <v>0</v>
      </c>
      <c r="S858" s="92">
        <v>0</v>
      </c>
      <c r="T858" s="92">
        <v>0</v>
      </c>
      <c r="U858" s="92">
        <v>0</v>
      </c>
      <c r="V858" s="92">
        <v>0</v>
      </c>
      <c r="W858" s="92">
        <v>0</v>
      </c>
      <c r="X858" s="92">
        <v>0</v>
      </c>
      <c r="Y858" s="92">
        <v>0</v>
      </c>
      <c r="Z858" s="92">
        <v>0</v>
      </c>
      <c r="AA858" s="92">
        <v>0</v>
      </c>
      <c r="AB858" s="92">
        <v>398596</v>
      </c>
      <c r="AC858" s="92">
        <v>264917</v>
      </c>
      <c r="AD858" s="92">
        <v>227503</v>
      </c>
      <c r="AE858" s="92">
        <v>0</v>
      </c>
      <c r="AF858" s="92">
        <v>0</v>
      </c>
      <c r="AG858" s="92">
        <v>0</v>
      </c>
    </row>
    <row r="859" spans="1:35" x14ac:dyDescent="0.25">
      <c r="A859" t="str">
        <f t="shared" si="17"/>
        <v>43-20-24</v>
      </c>
      <c r="B859">
        <v>43</v>
      </c>
      <c r="C859" s="92" t="s">
        <v>1053</v>
      </c>
      <c r="D859" s="92">
        <v>20</v>
      </c>
      <c r="E859" s="92" t="s">
        <v>153</v>
      </c>
      <c r="F859" s="92">
        <v>24</v>
      </c>
      <c r="G859" s="92" t="s">
        <v>1004</v>
      </c>
      <c r="H859" s="92"/>
      <c r="I859" s="92">
        <v>278</v>
      </c>
      <c r="J859" s="92">
        <v>7884702</v>
      </c>
      <c r="K859" s="92" t="s">
        <v>1061</v>
      </c>
      <c r="L859" s="92">
        <v>0</v>
      </c>
      <c r="M859" s="92">
        <v>62</v>
      </c>
      <c r="N859" s="92">
        <v>234</v>
      </c>
      <c r="O859" s="92">
        <v>234</v>
      </c>
      <c r="P859" s="92">
        <v>0</v>
      </c>
      <c r="Q859" s="92">
        <v>0</v>
      </c>
      <c r="R859" s="92">
        <v>0</v>
      </c>
      <c r="S859" s="92">
        <v>0</v>
      </c>
      <c r="T859" s="92">
        <v>0</v>
      </c>
      <c r="U859" s="92">
        <v>0</v>
      </c>
      <c r="V859" s="92">
        <v>0</v>
      </c>
      <c r="W859" s="92">
        <v>0</v>
      </c>
      <c r="X859" s="92">
        <v>0</v>
      </c>
      <c r="Y859" s="92">
        <v>0</v>
      </c>
      <c r="Z859" s="92">
        <v>0</v>
      </c>
      <c r="AA859" s="92">
        <v>0</v>
      </c>
      <c r="AB859" s="92">
        <v>488434</v>
      </c>
      <c r="AC859" s="92">
        <v>508981</v>
      </c>
      <c r="AD859" s="92">
        <v>533649</v>
      </c>
      <c r="AE859" s="92">
        <v>0</v>
      </c>
      <c r="AF859" s="92">
        <v>0</v>
      </c>
      <c r="AG859" s="92">
        <v>0</v>
      </c>
    </row>
    <row r="860" spans="1:35" x14ac:dyDescent="0.25">
      <c r="A860" t="str">
        <f t="shared" si="17"/>
        <v>38-4-151</v>
      </c>
      <c r="B860">
        <v>38</v>
      </c>
      <c r="C860" s="92" t="s">
        <v>1050</v>
      </c>
      <c r="D860" s="92">
        <v>4</v>
      </c>
      <c r="E860" s="92" t="s">
        <v>66</v>
      </c>
      <c r="F860" s="92">
        <v>151</v>
      </c>
      <c r="G860" s="92" t="s">
        <v>961</v>
      </c>
      <c r="H860" s="92"/>
      <c r="I860" s="92">
        <v>0</v>
      </c>
      <c r="J860" s="92">
        <v>49069732</v>
      </c>
      <c r="K860" s="92">
        <v>1</v>
      </c>
      <c r="L860" s="92">
        <v>1884</v>
      </c>
      <c r="M860" s="92">
        <v>31179</v>
      </c>
      <c r="N860" s="92">
        <v>2673</v>
      </c>
      <c r="O860" s="92">
        <v>2673</v>
      </c>
      <c r="P860" s="92">
        <v>0</v>
      </c>
      <c r="Q860" s="92">
        <v>0</v>
      </c>
      <c r="R860" s="92">
        <v>0</v>
      </c>
      <c r="S860" s="92">
        <v>0</v>
      </c>
      <c r="T860" s="92">
        <v>0</v>
      </c>
      <c r="U860" s="92">
        <v>0</v>
      </c>
      <c r="V860" s="92">
        <v>0</v>
      </c>
      <c r="W860" s="92">
        <v>0</v>
      </c>
      <c r="X860" s="92">
        <v>0</v>
      </c>
      <c r="Y860" s="92">
        <v>0</v>
      </c>
      <c r="Z860" s="92">
        <v>0</v>
      </c>
      <c r="AA860" s="92">
        <v>0</v>
      </c>
      <c r="AB860" s="92">
        <v>35455</v>
      </c>
      <c r="AC860" s="92">
        <v>37265</v>
      </c>
      <c r="AD860" s="92">
        <v>39022</v>
      </c>
      <c r="AE860" s="92">
        <v>0</v>
      </c>
      <c r="AF860" s="92">
        <v>0</v>
      </c>
      <c r="AG860" s="92">
        <v>0</v>
      </c>
    </row>
    <row r="861" spans="1:35" x14ac:dyDescent="0.25">
      <c r="A861" t="str">
        <f t="shared" si="17"/>
        <v>44-4-151</v>
      </c>
      <c r="B861">
        <v>44</v>
      </c>
      <c r="C861" s="92" t="s">
        <v>1054</v>
      </c>
      <c r="D861" s="92">
        <v>4</v>
      </c>
      <c r="E861" s="92" t="s">
        <v>66</v>
      </c>
      <c r="F861" s="92">
        <v>151</v>
      </c>
      <c r="G861" s="92" t="s">
        <v>961</v>
      </c>
      <c r="H861" s="92"/>
      <c r="I861" s="92">
        <v>0</v>
      </c>
      <c r="J861" s="92">
        <v>3341611</v>
      </c>
      <c r="K861" s="92">
        <v>1</v>
      </c>
      <c r="L861" s="92">
        <v>1884</v>
      </c>
      <c r="M861" s="92">
        <v>31179</v>
      </c>
      <c r="N861" s="92">
        <v>2673</v>
      </c>
      <c r="O861" s="92">
        <v>2673</v>
      </c>
      <c r="P861" s="92">
        <v>0</v>
      </c>
      <c r="Q861" s="92">
        <v>0</v>
      </c>
      <c r="R861" s="92">
        <v>0</v>
      </c>
      <c r="S861" s="92">
        <v>0</v>
      </c>
      <c r="T861" s="92">
        <v>0</v>
      </c>
      <c r="U861" s="92">
        <v>0</v>
      </c>
      <c r="V861" s="92">
        <v>0</v>
      </c>
      <c r="W861" s="92">
        <v>0</v>
      </c>
      <c r="X861" s="92">
        <v>0</v>
      </c>
      <c r="Y861" s="92">
        <v>0</v>
      </c>
      <c r="Z861" s="92">
        <v>0</v>
      </c>
      <c r="AA861" s="92">
        <v>0</v>
      </c>
      <c r="AB861" s="92">
        <v>35455</v>
      </c>
      <c r="AC861" s="92">
        <v>37265</v>
      </c>
      <c r="AD861" s="92">
        <v>39022</v>
      </c>
      <c r="AE861" s="92">
        <v>0</v>
      </c>
      <c r="AF861" s="92">
        <v>0</v>
      </c>
      <c r="AG861" s="92">
        <v>0</v>
      </c>
    </row>
    <row r="862" spans="1:35" x14ac:dyDescent="0.25">
      <c r="A862" t="str">
        <f t="shared" si="17"/>
        <v>16-7-199</v>
      </c>
      <c r="B862">
        <v>16</v>
      </c>
      <c r="C862" s="92" t="s">
        <v>1029</v>
      </c>
      <c r="D862" s="92">
        <v>7</v>
      </c>
      <c r="E862" s="92" t="s">
        <v>586</v>
      </c>
      <c r="F862" s="92">
        <v>199</v>
      </c>
      <c r="G862" s="92" t="s">
        <v>272</v>
      </c>
      <c r="H862" s="92"/>
      <c r="I862" s="92">
        <v>0</v>
      </c>
      <c r="J862" s="92">
        <v>4566233</v>
      </c>
      <c r="K862" s="92" t="s">
        <v>1061</v>
      </c>
      <c r="L862" s="92">
        <v>0</v>
      </c>
      <c r="M862" s="92">
        <v>0</v>
      </c>
      <c r="N862" s="92">
        <v>74</v>
      </c>
      <c r="O862" s="92">
        <v>74</v>
      </c>
      <c r="P862" s="92">
        <v>0</v>
      </c>
      <c r="Q862" s="92">
        <v>0</v>
      </c>
      <c r="R862" s="92">
        <v>0</v>
      </c>
      <c r="S862" s="92">
        <v>0</v>
      </c>
      <c r="T862" s="92">
        <v>0</v>
      </c>
      <c r="U862" s="92">
        <v>0</v>
      </c>
      <c r="V862" s="92">
        <v>0</v>
      </c>
      <c r="W862" s="92">
        <v>0</v>
      </c>
      <c r="X862" s="92">
        <v>0</v>
      </c>
      <c r="Y862" s="92">
        <v>0</v>
      </c>
      <c r="Z862" s="92">
        <v>0</v>
      </c>
      <c r="AA862" s="92">
        <v>0</v>
      </c>
      <c r="AB862" s="92">
        <v>17500</v>
      </c>
      <c r="AC862" s="92">
        <v>17926</v>
      </c>
      <c r="AD862" s="92">
        <v>17926</v>
      </c>
      <c r="AE862" s="92">
        <v>0</v>
      </c>
      <c r="AF862" s="92">
        <v>0</v>
      </c>
      <c r="AG862" s="92">
        <v>0</v>
      </c>
    </row>
    <row r="863" spans="1:35" x14ac:dyDescent="0.25">
      <c r="A863" t="str">
        <f t="shared" si="17"/>
        <v>9-12-8</v>
      </c>
      <c r="B863">
        <v>9</v>
      </c>
      <c r="C863" s="92" t="s">
        <v>1022</v>
      </c>
      <c r="D863" s="92">
        <v>12</v>
      </c>
      <c r="E863" s="92" t="s">
        <v>71</v>
      </c>
      <c r="F863" s="92">
        <v>8</v>
      </c>
      <c r="G863" s="92" t="s">
        <v>188</v>
      </c>
      <c r="H863" s="92"/>
      <c r="I863" s="92">
        <v>0</v>
      </c>
      <c r="J863" s="92">
        <v>463001812</v>
      </c>
      <c r="K863" s="92" t="s">
        <v>1061</v>
      </c>
      <c r="L863" s="92">
        <v>1333</v>
      </c>
      <c r="M863" s="92">
        <v>10703</v>
      </c>
      <c r="N863" s="92">
        <v>2182</v>
      </c>
      <c r="O863" s="92">
        <v>2182</v>
      </c>
      <c r="P863" s="92">
        <v>0</v>
      </c>
      <c r="Q863" s="92">
        <v>0</v>
      </c>
      <c r="R863" s="92">
        <v>0</v>
      </c>
      <c r="S863" s="92">
        <v>258.22000000000003</v>
      </c>
      <c r="T863" s="92">
        <v>116</v>
      </c>
      <c r="U863" s="92">
        <v>128</v>
      </c>
      <c r="V863" s="92">
        <v>0</v>
      </c>
      <c r="W863" s="92">
        <v>0</v>
      </c>
      <c r="X863" s="92">
        <v>0</v>
      </c>
      <c r="Y863" s="92">
        <v>0</v>
      </c>
      <c r="Z863" s="92">
        <v>0</v>
      </c>
      <c r="AA863" s="92">
        <v>0</v>
      </c>
      <c r="AB863" s="92">
        <v>1537755</v>
      </c>
      <c r="AC863" s="92">
        <v>1621135</v>
      </c>
      <c r="AD863" s="92">
        <v>1694566</v>
      </c>
      <c r="AE863" s="92">
        <v>0</v>
      </c>
      <c r="AF863" s="92">
        <v>0</v>
      </c>
      <c r="AG863" s="92">
        <v>0</v>
      </c>
    </row>
    <row r="864" spans="1:35" x14ac:dyDescent="0.25">
      <c r="A864" t="str">
        <f t="shared" si="17"/>
        <v>7-7-116</v>
      </c>
      <c r="B864">
        <v>7</v>
      </c>
      <c r="C864" s="92" t="s">
        <v>1057</v>
      </c>
      <c r="D864" s="92">
        <v>7</v>
      </c>
      <c r="E864" s="92" t="s">
        <v>586</v>
      </c>
      <c r="F864" s="92">
        <v>116</v>
      </c>
      <c r="G864" s="92" t="s">
        <v>165</v>
      </c>
      <c r="H864" s="92"/>
      <c r="I864" s="92">
        <v>368</v>
      </c>
      <c r="J864" s="92">
        <v>7641395</v>
      </c>
      <c r="K864" s="92" t="s">
        <v>1061</v>
      </c>
      <c r="L864" s="92">
        <v>280</v>
      </c>
      <c r="M864" s="92">
        <v>88</v>
      </c>
      <c r="N864" s="92">
        <v>8</v>
      </c>
      <c r="O864" s="92">
        <v>8</v>
      </c>
      <c r="P864" s="92">
        <v>0</v>
      </c>
      <c r="Q864" s="92">
        <v>0</v>
      </c>
      <c r="R864" s="92">
        <v>0</v>
      </c>
      <c r="S864" s="92">
        <v>0</v>
      </c>
      <c r="T864" s="92">
        <v>0</v>
      </c>
      <c r="U864" s="92">
        <v>0</v>
      </c>
      <c r="V864" s="92">
        <v>0</v>
      </c>
      <c r="W864" s="92">
        <v>0</v>
      </c>
      <c r="X864" s="92">
        <v>0</v>
      </c>
      <c r="Y864" s="92">
        <v>0</v>
      </c>
      <c r="Z864" s="92">
        <v>0</v>
      </c>
      <c r="AA864" s="92">
        <v>0</v>
      </c>
      <c r="AB864" s="92">
        <v>16956</v>
      </c>
      <c r="AC864" s="92">
        <v>16956</v>
      </c>
      <c r="AD864" s="92">
        <v>17224</v>
      </c>
      <c r="AE864" s="92">
        <v>0</v>
      </c>
      <c r="AF864" s="92">
        <v>0</v>
      </c>
      <c r="AG864" s="92">
        <v>0</v>
      </c>
    </row>
    <row r="865" spans="1:35" x14ac:dyDescent="0.25">
      <c r="A865" t="str">
        <f t="shared" si="17"/>
        <v>18-7-117</v>
      </c>
      <c r="B865">
        <v>18</v>
      </c>
      <c r="C865" s="92" t="s">
        <v>1031</v>
      </c>
      <c r="D865" s="92">
        <v>7</v>
      </c>
      <c r="E865" s="92" t="s">
        <v>586</v>
      </c>
      <c r="F865" s="92">
        <v>117</v>
      </c>
      <c r="G865" s="92" t="s">
        <v>292</v>
      </c>
      <c r="H865" s="92"/>
      <c r="I865" s="92">
        <v>417</v>
      </c>
      <c r="J865" s="92">
        <v>3203503</v>
      </c>
      <c r="K865" s="92" t="s">
        <v>1061</v>
      </c>
      <c r="L865" s="92">
        <v>4</v>
      </c>
      <c r="M865" s="92">
        <v>108</v>
      </c>
      <c r="N865" s="92">
        <v>7</v>
      </c>
      <c r="O865" s="92">
        <v>7</v>
      </c>
      <c r="P865" s="92">
        <v>0</v>
      </c>
      <c r="Q865" s="92">
        <v>0</v>
      </c>
      <c r="R865" s="92">
        <v>0</v>
      </c>
      <c r="S865" s="92">
        <v>0</v>
      </c>
      <c r="T865" s="92">
        <v>0</v>
      </c>
      <c r="U865" s="92">
        <v>0</v>
      </c>
      <c r="V865" s="92">
        <v>0</v>
      </c>
      <c r="W865" s="92">
        <v>0</v>
      </c>
      <c r="X865" s="92">
        <v>0</v>
      </c>
      <c r="Y865" s="92">
        <v>0</v>
      </c>
      <c r="Z865" s="92">
        <v>0</v>
      </c>
      <c r="AA865" s="92">
        <v>0</v>
      </c>
      <c r="AB865" s="92">
        <v>4409</v>
      </c>
      <c r="AC865" s="92">
        <v>4871</v>
      </c>
      <c r="AD865" s="92">
        <v>5047</v>
      </c>
      <c r="AE865" s="92">
        <v>0</v>
      </c>
      <c r="AF865" s="92">
        <v>0</v>
      </c>
      <c r="AG865" s="92">
        <v>0</v>
      </c>
    </row>
    <row r="866" spans="1:35" x14ac:dyDescent="0.25">
      <c r="A866" t="str">
        <f t="shared" si="17"/>
        <v>18-14-33</v>
      </c>
      <c r="B866">
        <v>18</v>
      </c>
      <c r="C866" s="92" t="s">
        <v>1031</v>
      </c>
      <c r="D866" s="92">
        <v>14</v>
      </c>
      <c r="E866" s="92" t="s">
        <v>571</v>
      </c>
      <c r="F866" s="92">
        <v>33</v>
      </c>
      <c r="G866" s="92" t="s">
        <v>297</v>
      </c>
      <c r="H866" s="92"/>
      <c r="I866" s="92">
        <v>17544</v>
      </c>
      <c r="J866" s="92">
        <v>2995340</v>
      </c>
      <c r="K866" s="92" t="s">
        <v>1061</v>
      </c>
      <c r="L866" s="92">
        <v>36</v>
      </c>
      <c r="M866" s="92">
        <v>1391</v>
      </c>
      <c r="N866" s="92">
        <v>55</v>
      </c>
      <c r="O866" s="92">
        <v>55</v>
      </c>
      <c r="P866" s="92">
        <v>0</v>
      </c>
      <c r="Q866" s="92">
        <v>0</v>
      </c>
      <c r="R866" s="92">
        <v>0</v>
      </c>
      <c r="S866" s="92">
        <v>0</v>
      </c>
      <c r="T866" s="92">
        <v>0</v>
      </c>
      <c r="U866" s="92">
        <v>0</v>
      </c>
      <c r="V866" s="92">
        <v>0</v>
      </c>
      <c r="W866" s="92">
        <v>0</v>
      </c>
      <c r="X866" s="92">
        <v>0</v>
      </c>
      <c r="Y866" s="92">
        <v>0</v>
      </c>
      <c r="Z866" s="92">
        <v>0</v>
      </c>
      <c r="AA866" s="92">
        <v>0</v>
      </c>
      <c r="AB866" s="92">
        <v>60556</v>
      </c>
      <c r="AC866" s="92">
        <v>62557</v>
      </c>
      <c r="AD866" s="92">
        <v>64500</v>
      </c>
      <c r="AE866" s="92">
        <v>0</v>
      </c>
      <c r="AF866" s="92">
        <v>0</v>
      </c>
      <c r="AG866" s="92">
        <v>0</v>
      </c>
      <c r="AI866" s="250">
        <v>5.3784999999999998E-4</v>
      </c>
    </row>
    <row r="867" spans="1:35" x14ac:dyDescent="0.25">
      <c r="A867" t="str">
        <f t="shared" si="17"/>
        <v>18-17-9</v>
      </c>
      <c r="B867">
        <v>18</v>
      </c>
      <c r="C867" s="92" t="s">
        <v>1031</v>
      </c>
      <c r="D867" s="92">
        <v>17</v>
      </c>
      <c r="E867" s="92" t="s">
        <v>593</v>
      </c>
      <c r="F867" s="92">
        <v>9</v>
      </c>
      <c r="G867" s="92" t="s">
        <v>809</v>
      </c>
      <c r="H867" s="92"/>
      <c r="I867" s="92">
        <v>0</v>
      </c>
      <c r="J867" s="92">
        <v>5338194</v>
      </c>
      <c r="K867" s="92" t="s">
        <v>1061</v>
      </c>
      <c r="L867" s="92">
        <v>41</v>
      </c>
      <c r="M867" s="92">
        <v>1210</v>
      </c>
      <c r="N867" s="92">
        <v>70</v>
      </c>
      <c r="O867" s="92">
        <v>70</v>
      </c>
      <c r="P867" s="92">
        <v>0</v>
      </c>
      <c r="Q867" s="92">
        <v>0</v>
      </c>
      <c r="R867" s="92">
        <v>0</v>
      </c>
      <c r="S867" s="92">
        <v>0</v>
      </c>
      <c r="T867" s="92">
        <v>0</v>
      </c>
      <c r="U867" s="92">
        <v>0</v>
      </c>
      <c r="V867" s="92">
        <v>0</v>
      </c>
      <c r="W867" s="92">
        <v>0</v>
      </c>
      <c r="X867" s="92">
        <v>0</v>
      </c>
      <c r="Y867" s="92">
        <v>0</v>
      </c>
      <c r="Z867" s="92">
        <v>0</v>
      </c>
      <c r="AA867" s="92">
        <v>0</v>
      </c>
      <c r="AB867" s="92">
        <v>73014</v>
      </c>
      <c r="AC867" s="92">
        <v>75416</v>
      </c>
      <c r="AD867" s="92">
        <v>77954</v>
      </c>
      <c r="AE867" s="92">
        <v>0</v>
      </c>
      <c r="AF867" s="92">
        <v>0</v>
      </c>
      <c r="AG867" s="92">
        <v>0</v>
      </c>
    </row>
    <row r="868" spans="1:35" x14ac:dyDescent="0.25">
      <c r="A868" t="str">
        <f t="shared" si="17"/>
        <v>25-7-118</v>
      </c>
      <c r="B868">
        <v>25</v>
      </c>
      <c r="C868" s="92" t="s">
        <v>1038</v>
      </c>
      <c r="D868" s="92">
        <v>7</v>
      </c>
      <c r="E868" s="92" t="s">
        <v>586</v>
      </c>
      <c r="F868" s="92">
        <v>118</v>
      </c>
      <c r="G868" s="92" t="s">
        <v>374</v>
      </c>
      <c r="H868" s="92"/>
      <c r="I868" s="92">
        <v>0</v>
      </c>
      <c r="J868" s="92">
        <v>3296459</v>
      </c>
      <c r="K868" s="92" t="s">
        <v>1061</v>
      </c>
      <c r="L868" s="92">
        <v>44</v>
      </c>
      <c r="M868" s="92">
        <v>194</v>
      </c>
      <c r="N868" s="92">
        <v>11</v>
      </c>
      <c r="O868" s="92">
        <v>11</v>
      </c>
      <c r="P868" s="92">
        <v>0</v>
      </c>
      <c r="Q868" s="92">
        <v>0</v>
      </c>
      <c r="R868" s="92">
        <v>0</v>
      </c>
      <c r="S868" s="92">
        <v>0</v>
      </c>
      <c r="T868" s="92">
        <v>0</v>
      </c>
      <c r="U868" s="92">
        <v>0</v>
      </c>
      <c r="V868" s="92">
        <v>0</v>
      </c>
      <c r="W868" s="92">
        <v>0</v>
      </c>
      <c r="X868" s="92">
        <v>0</v>
      </c>
      <c r="Y868" s="92">
        <v>0</v>
      </c>
      <c r="Z868" s="92">
        <v>0</v>
      </c>
      <c r="AA868" s="92">
        <v>0</v>
      </c>
      <c r="AB868" s="92">
        <v>14992</v>
      </c>
      <c r="AC868" s="92">
        <v>15605</v>
      </c>
      <c r="AD868" s="92">
        <v>16408</v>
      </c>
      <c r="AE868" s="92">
        <v>0</v>
      </c>
      <c r="AF868" s="92">
        <v>0</v>
      </c>
      <c r="AG868" s="92">
        <v>0</v>
      </c>
    </row>
    <row r="869" spans="1:35" x14ac:dyDescent="0.25">
      <c r="A869" t="str">
        <f t="shared" si="17"/>
        <v>26-7-119</v>
      </c>
      <c r="B869">
        <v>26</v>
      </c>
      <c r="C869" s="92" t="s">
        <v>1039</v>
      </c>
      <c r="D869" s="92">
        <v>7</v>
      </c>
      <c r="E869" s="92" t="s">
        <v>586</v>
      </c>
      <c r="F869" s="92">
        <v>119</v>
      </c>
      <c r="G869" s="92" t="s">
        <v>873</v>
      </c>
      <c r="H869" s="92"/>
      <c r="I869" s="92">
        <v>0</v>
      </c>
      <c r="J869" s="92">
        <v>16568106</v>
      </c>
      <c r="K869" s="92" t="s">
        <v>1061</v>
      </c>
      <c r="L869" s="92">
        <v>284</v>
      </c>
      <c r="M869" s="92">
        <v>1217</v>
      </c>
      <c r="N869" s="92">
        <v>272</v>
      </c>
      <c r="O869" s="92">
        <v>272</v>
      </c>
      <c r="P869" s="92">
        <v>0</v>
      </c>
      <c r="Q869" s="92">
        <v>0</v>
      </c>
      <c r="R869" s="92">
        <v>0</v>
      </c>
      <c r="S869" s="92">
        <v>0</v>
      </c>
      <c r="T869" s="92">
        <v>0</v>
      </c>
      <c r="U869" s="92">
        <v>0</v>
      </c>
      <c r="V869" s="92">
        <v>0</v>
      </c>
      <c r="W869" s="92">
        <v>0</v>
      </c>
      <c r="X869" s="92">
        <v>0</v>
      </c>
      <c r="Y869" s="92">
        <v>0</v>
      </c>
      <c r="Z869" s="92">
        <v>0</v>
      </c>
      <c r="AA869" s="92">
        <v>0</v>
      </c>
      <c r="AB869" s="92">
        <v>174023</v>
      </c>
      <c r="AC869" s="92">
        <v>182146</v>
      </c>
      <c r="AD869" s="92">
        <v>197434</v>
      </c>
      <c r="AE869" s="92">
        <v>0</v>
      </c>
      <c r="AF869" s="92">
        <v>0</v>
      </c>
      <c r="AG869" s="92">
        <v>0</v>
      </c>
    </row>
    <row r="870" spans="1:35" x14ac:dyDescent="0.25">
      <c r="A870" t="str">
        <f t="shared" si="17"/>
        <v>8-7-63</v>
      </c>
      <c r="B870">
        <v>8</v>
      </c>
      <c r="C870" s="92" t="s">
        <v>1021</v>
      </c>
      <c r="D870" s="92">
        <v>7</v>
      </c>
      <c r="E870" s="92" t="s">
        <v>586</v>
      </c>
      <c r="F870" s="92">
        <v>63</v>
      </c>
      <c r="G870" s="92" t="s">
        <v>171</v>
      </c>
      <c r="H870" s="92"/>
      <c r="I870" s="92">
        <v>803</v>
      </c>
      <c r="J870" s="92">
        <v>11020725</v>
      </c>
      <c r="K870" s="92" t="s">
        <v>1061</v>
      </c>
      <c r="L870" s="92">
        <v>24</v>
      </c>
      <c r="M870" s="92">
        <v>300</v>
      </c>
      <c r="N870" s="92">
        <v>59</v>
      </c>
      <c r="O870" s="92">
        <v>59</v>
      </c>
      <c r="P870" s="92">
        <v>0</v>
      </c>
      <c r="Q870" s="92">
        <v>0</v>
      </c>
      <c r="R870" s="92">
        <v>0</v>
      </c>
      <c r="S870" s="92">
        <v>0</v>
      </c>
      <c r="T870" s="92">
        <v>0</v>
      </c>
      <c r="U870" s="92">
        <v>0</v>
      </c>
      <c r="V870" s="92">
        <v>0</v>
      </c>
      <c r="W870" s="92">
        <v>0</v>
      </c>
      <c r="X870" s="92">
        <v>0</v>
      </c>
      <c r="Y870" s="92">
        <v>0</v>
      </c>
      <c r="Z870" s="92">
        <v>0</v>
      </c>
      <c r="AA870" s="92">
        <v>0</v>
      </c>
      <c r="AB870" s="92">
        <v>13210</v>
      </c>
      <c r="AC870" s="92">
        <v>13928</v>
      </c>
      <c r="AD870" s="92">
        <v>13928</v>
      </c>
      <c r="AE870" s="92">
        <v>0</v>
      </c>
      <c r="AF870" s="92">
        <v>0</v>
      </c>
      <c r="AG870" s="92">
        <v>0</v>
      </c>
    </row>
    <row r="871" spans="1:35" x14ac:dyDescent="0.25">
      <c r="A871" t="str">
        <f t="shared" si="17"/>
        <v>8-9-137</v>
      </c>
      <c r="B871">
        <v>8</v>
      </c>
      <c r="C871" s="92" t="s">
        <v>1021</v>
      </c>
      <c r="D871" s="92">
        <v>9</v>
      </c>
      <c r="E871" s="92" t="s">
        <v>588</v>
      </c>
      <c r="F871" s="92">
        <v>137</v>
      </c>
      <c r="G871" s="92" t="s">
        <v>702</v>
      </c>
      <c r="H871" s="92"/>
      <c r="I871" s="92">
        <v>28</v>
      </c>
      <c r="J871" s="92">
        <v>0</v>
      </c>
      <c r="K871" s="92" t="s">
        <v>1061</v>
      </c>
      <c r="L871" s="92">
        <v>0</v>
      </c>
      <c r="M871" s="92">
        <v>27</v>
      </c>
      <c r="N871" s="92">
        <v>9</v>
      </c>
      <c r="O871" s="92">
        <v>9</v>
      </c>
      <c r="P871" s="92">
        <v>0</v>
      </c>
      <c r="Q871" s="92">
        <v>0</v>
      </c>
      <c r="R871" s="92">
        <v>0</v>
      </c>
      <c r="S871" s="92">
        <v>0</v>
      </c>
      <c r="T871" s="92">
        <v>0</v>
      </c>
      <c r="U871" s="92">
        <v>0</v>
      </c>
      <c r="V871" s="92">
        <v>0</v>
      </c>
      <c r="W871" s="92">
        <v>0</v>
      </c>
      <c r="X871" s="92">
        <v>0</v>
      </c>
      <c r="Y871" s="92">
        <v>0</v>
      </c>
      <c r="Z871" s="92">
        <v>0</v>
      </c>
      <c r="AA871" s="92">
        <v>0</v>
      </c>
      <c r="AB871" s="92">
        <v>36121</v>
      </c>
      <c r="AC871" s="92">
        <v>37544</v>
      </c>
      <c r="AD871" s="92">
        <v>38763</v>
      </c>
      <c r="AE871" s="92">
        <v>0</v>
      </c>
      <c r="AF871" s="92">
        <v>0</v>
      </c>
      <c r="AG871" s="92">
        <v>0</v>
      </c>
      <c r="AI871" s="250">
        <v>4.8106700000000001E-4</v>
      </c>
    </row>
    <row r="872" spans="1:35" x14ac:dyDescent="0.25">
      <c r="A872" t="str">
        <f t="shared" si="17"/>
        <v>33-7-120</v>
      </c>
      <c r="B872">
        <v>33</v>
      </c>
      <c r="C872" s="92" t="s">
        <v>1046</v>
      </c>
      <c r="D872" s="92">
        <v>7</v>
      </c>
      <c r="E872" s="92" t="s">
        <v>586</v>
      </c>
      <c r="F872" s="92">
        <v>120</v>
      </c>
      <c r="G872" s="92" t="s">
        <v>482</v>
      </c>
      <c r="H872" s="92"/>
      <c r="I872" s="92">
        <v>0</v>
      </c>
      <c r="J872" s="92">
        <v>2285729</v>
      </c>
      <c r="K872" s="92" t="s">
        <v>1061</v>
      </c>
      <c r="L872" s="92">
        <v>639</v>
      </c>
      <c r="M872" s="92">
        <v>71</v>
      </c>
      <c r="N872" s="92">
        <v>40</v>
      </c>
      <c r="O872" s="92">
        <v>40</v>
      </c>
      <c r="P872" s="92">
        <v>0</v>
      </c>
      <c r="Q872" s="92">
        <v>0</v>
      </c>
      <c r="R872" s="92">
        <v>0</v>
      </c>
      <c r="S872" s="92">
        <v>0</v>
      </c>
      <c r="T872" s="92">
        <v>0</v>
      </c>
      <c r="U872" s="92">
        <v>0</v>
      </c>
      <c r="V872" s="92">
        <v>0</v>
      </c>
      <c r="W872" s="92">
        <v>0</v>
      </c>
      <c r="X872" s="92">
        <v>0</v>
      </c>
      <c r="Y872" s="92">
        <v>0</v>
      </c>
      <c r="Z872" s="92">
        <v>0</v>
      </c>
      <c r="AA872" s="92">
        <v>0</v>
      </c>
      <c r="AB872" s="92">
        <v>14709</v>
      </c>
      <c r="AC872" s="92">
        <v>15243</v>
      </c>
      <c r="AD872" s="92">
        <v>15851</v>
      </c>
      <c r="AE872" s="92">
        <v>0</v>
      </c>
      <c r="AF872" s="92">
        <v>0</v>
      </c>
      <c r="AG872" s="92">
        <v>0</v>
      </c>
    </row>
    <row r="873" spans="1:35" x14ac:dyDescent="0.25">
      <c r="A873" t="str">
        <f t="shared" si="17"/>
        <v>14-7-201</v>
      </c>
      <c r="B873">
        <v>14</v>
      </c>
      <c r="C873" s="92" t="s">
        <v>1027</v>
      </c>
      <c r="D873" s="92">
        <v>7</v>
      </c>
      <c r="E873" s="92" t="s">
        <v>586</v>
      </c>
      <c r="F873" s="92">
        <v>201</v>
      </c>
      <c r="G873" s="92" t="s">
        <v>232</v>
      </c>
      <c r="H873" s="92"/>
      <c r="I873" s="92">
        <v>0</v>
      </c>
      <c r="J873" s="92">
        <v>7230835</v>
      </c>
      <c r="K873" s="92" t="s">
        <v>1061</v>
      </c>
      <c r="L873" s="92">
        <v>0</v>
      </c>
      <c r="M873" s="92">
        <v>279</v>
      </c>
      <c r="N873" s="92">
        <v>140</v>
      </c>
      <c r="O873" s="92">
        <v>140</v>
      </c>
      <c r="P873" s="92">
        <v>0</v>
      </c>
      <c r="Q873" s="92">
        <v>0</v>
      </c>
      <c r="R873" s="92">
        <v>0</v>
      </c>
      <c r="S873" s="92">
        <v>0</v>
      </c>
      <c r="T873" s="92">
        <v>0</v>
      </c>
      <c r="U873" s="92">
        <v>0</v>
      </c>
      <c r="V873" s="92">
        <v>0</v>
      </c>
      <c r="W873" s="92">
        <v>0</v>
      </c>
      <c r="X873" s="92">
        <v>0</v>
      </c>
      <c r="Y873" s="92">
        <v>0</v>
      </c>
      <c r="Z873" s="92">
        <v>0</v>
      </c>
      <c r="AA873" s="92">
        <v>0</v>
      </c>
      <c r="AB873" s="92">
        <v>64007</v>
      </c>
      <c r="AC873" s="92">
        <v>66525</v>
      </c>
      <c r="AD873" s="92">
        <v>68944</v>
      </c>
      <c r="AE873" s="92">
        <v>0</v>
      </c>
      <c r="AF873" s="92">
        <v>0</v>
      </c>
      <c r="AG873" s="92">
        <v>0</v>
      </c>
    </row>
    <row r="874" spans="1:35" x14ac:dyDescent="0.25">
      <c r="A874" t="str">
        <f t="shared" si="17"/>
        <v>37-4-146</v>
      </c>
      <c r="B874">
        <v>37</v>
      </c>
      <c r="C874" s="92" t="s">
        <v>1049</v>
      </c>
      <c r="D874" s="92">
        <v>4</v>
      </c>
      <c r="E874" s="92" t="s">
        <v>66</v>
      </c>
      <c r="F874" s="92">
        <v>146</v>
      </c>
      <c r="G874" s="92" t="s">
        <v>951</v>
      </c>
      <c r="H874" s="92"/>
      <c r="I874" s="92">
        <v>0</v>
      </c>
      <c r="J874" s="92">
        <v>11374099</v>
      </c>
      <c r="K874" s="92" t="s">
        <v>1061</v>
      </c>
      <c r="L874" s="92">
        <v>0</v>
      </c>
      <c r="M874" s="92">
        <v>121</v>
      </c>
      <c r="N874" s="92">
        <v>103</v>
      </c>
      <c r="O874" s="92">
        <v>103</v>
      </c>
      <c r="P874" s="92">
        <v>0</v>
      </c>
      <c r="Q874" s="92">
        <v>0</v>
      </c>
      <c r="R874" s="92">
        <v>0</v>
      </c>
      <c r="S874" s="92">
        <v>0</v>
      </c>
      <c r="T874" s="92">
        <v>0</v>
      </c>
      <c r="U874" s="92">
        <v>0</v>
      </c>
      <c r="V874" s="92">
        <v>0</v>
      </c>
      <c r="W874" s="92">
        <v>0</v>
      </c>
      <c r="X874" s="92">
        <v>0</v>
      </c>
      <c r="Y874" s="92">
        <v>0</v>
      </c>
      <c r="Z874" s="92">
        <v>0</v>
      </c>
      <c r="AA874" s="92">
        <v>0</v>
      </c>
      <c r="AB874" s="92">
        <v>11961</v>
      </c>
      <c r="AC874" s="92">
        <v>12383</v>
      </c>
      <c r="AD874" s="92">
        <v>12754</v>
      </c>
      <c r="AE874" s="92">
        <v>0</v>
      </c>
      <c r="AF874" s="92">
        <v>0</v>
      </c>
      <c r="AG874" s="92">
        <v>0</v>
      </c>
    </row>
    <row r="875" spans="1:35" x14ac:dyDescent="0.25">
      <c r="A875" t="str">
        <f t="shared" si="17"/>
        <v>36-7-121</v>
      </c>
      <c r="B875">
        <v>36</v>
      </c>
      <c r="C875" s="92" t="s">
        <v>1048</v>
      </c>
      <c r="D875" s="92">
        <v>7</v>
      </c>
      <c r="E875" s="92" t="s">
        <v>586</v>
      </c>
      <c r="F875" s="92">
        <v>121</v>
      </c>
      <c r="G875" s="92" t="s">
        <v>948</v>
      </c>
      <c r="H875" s="92"/>
      <c r="I875" s="92">
        <v>0</v>
      </c>
      <c r="J875" s="92">
        <v>5098939</v>
      </c>
      <c r="K875" s="92" t="s">
        <v>1061</v>
      </c>
      <c r="L875" s="92">
        <v>48</v>
      </c>
      <c r="M875" s="92">
        <v>2</v>
      </c>
      <c r="N875" s="92">
        <v>3</v>
      </c>
      <c r="O875" s="92">
        <v>3</v>
      </c>
      <c r="P875" s="92">
        <v>0</v>
      </c>
      <c r="Q875" s="92">
        <v>0</v>
      </c>
      <c r="R875" s="92">
        <v>0</v>
      </c>
      <c r="S875" s="92">
        <v>0</v>
      </c>
      <c r="T875" s="92">
        <v>0</v>
      </c>
      <c r="U875" s="92">
        <v>0</v>
      </c>
      <c r="V875" s="92">
        <v>0</v>
      </c>
      <c r="W875" s="92">
        <v>0</v>
      </c>
      <c r="X875" s="92">
        <v>0</v>
      </c>
      <c r="Y875" s="92">
        <v>0</v>
      </c>
      <c r="Z875" s="92">
        <v>0</v>
      </c>
      <c r="AA875" s="92">
        <v>0</v>
      </c>
      <c r="AB875" s="92">
        <v>2274</v>
      </c>
      <c r="AC875" s="92">
        <v>2460</v>
      </c>
      <c r="AD875" s="92">
        <v>2644</v>
      </c>
      <c r="AE875" s="92">
        <v>0</v>
      </c>
      <c r="AF875" s="92">
        <v>0</v>
      </c>
      <c r="AG875" s="92">
        <v>0</v>
      </c>
    </row>
    <row r="876" spans="1:35" x14ac:dyDescent="0.25">
      <c r="A876" t="str">
        <f t="shared" si="17"/>
        <v>5-11-48</v>
      </c>
      <c r="B876">
        <v>5</v>
      </c>
      <c r="C876" s="92" t="s">
        <v>1019</v>
      </c>
      <c r="D876" s="92">
        <v>11</v>
      </c>
      <c r="E876" s="92" t="s">
        <v>1062</v>
      </c>
      <c r="F876" s="92">
        <v>48</v>
      </c>
      <c r="G876" s="92" t="s">
        <v>671</v>
      </c>
      <c r="H876" s="92"/>
      <c r="I876" s="92">
        <v>5422</v>
      </c>
      <c r="J876" s="92">
        <v>12133471</v>
      </c>
      <c r="K876" s="92" t="s">
        <v>1061</v>
      </c>
      <c r="L876" s="92">
        <v>3478</v>
      </c>
      <c r="M876" s="92">
        <v>1226</v>
      </c>
      <c r="N876" s="92">
        <v>292</v>
      </c>
      <c r="O876" s="92">
        <v>292</v>
      </c>
      <c r="P876" s="92">
        <v>0</v>
      </c>
      <c r="Q876" s="92">
        <v>0</v>
      </c>
      <c r="R876" s="92">
        <v>0</v>
      </c>
      <c r="S876" s="92">
        <v>0</v>
      </c>
      <c r="T876" s="92">
        <v>0</v>
      </c>
      <c r="U876" s="92">
        <v>0</v>
      </c>
      <c r="V876" s="92">
        <v>0</v>
      </c>
      <c r="W876" s="92">
        <v>0</v>
      </c>
      <c r="X876" s="92">
        <v>0</v>
      </c>
      <c r="Y876" s="92">
        <v>0</v>
      </c>
      <c r="Z876" s="92">
        <v>0</v>
      </c>
      <c r="AA876" s="92">
        <v>0</v>
      </c>
      <c r="AB876" s="92">
        <v>132450</v>
      </c>
      <c r="AC876" s="92">
        <v>139752</v>
      </c>
      <c r="AD876" s="92">
        <v>148784</v>
      </c>
      <c r="AE876" s="92">
        <v>0</v>
      </c>
      <c r="AF876" s="92">
        <v>0</v>
      </c>
      <c r="AG876" s="92">
        <v>0</v>
      </c>
    </row>
    <row r="877" spans="1:35" x14ac:dyDescent="0.25">
      <c r="A877" t="str">
        <f t="shared" si="17"/>
        <v>5-4-193</v>
      </c>
      <c r="B877">
        <v>5</v>
      </c>
      <c r="C877" s="92" t="s">
        <v>1019</v>
      </c>
      <c r="D877" s="92">
        <v>4</v>
      </c>
      <c r="E877" s="92" t="s">
        <v>66</v>
      </c>
      <c r="F877" s="92">
        <v>193</v>
      </c>
      <c r="G877" s="92" t="s">
        <v>667</v>
      </c>
      <c r="H877" s="92"/>
      <c r="I877" s="92">
        <v>0</v>
      </c>
      <c r="J877" s="92">
        <v>14608902</v>
      </c>
      <c r="K877" s="92">
        <v>1</v>
      </c>
      <c r="L877" s="92">
        <v>0</v>
      </c>
      <c r="M877" s="92">
        <v>3133</v>
      </c>
      <c r="N877" s="92">
        <v>598</v>
      </c>
      <c r="O877" s="92">
        <v>598</v>
      </c>
      <c r="P877" s="92">
        <v>0</v>
      </c>
      <c r="Q877" s="92">
        <v>0</v>
      </c>
      <c r="R877" s="92">
        <v>0</v>
      </c>
      <c r="S877" s="92">
        <v>0</v>
      </c>
      <c r="T877" s="92">
        <v>0</v>
      </c>
      <c r="U877" s="92">
        <v>0</v>
      </c>
      <c r="V877" s="92">
        <v>0</v>
      </c>
      <c r="W877" s="92">
        <v>0</v>
      </c>
      <c r="X877" s="92">
        <v>0</v>
      </c>
      <c r="Y877" s="92">
        <v>0</v>
      </c>
      <c r="Z877" s="92">
        <v>0</v>
      </c>
      <c r="AA877" s="92">
        <v>0</v>
      </c>
      <c r="AB877" s="92">
        <v>26997</v>
      </c>
      <c r="AC877" s="92">
        <v>28117</v>
      </c>
      <c r="AD877" s="92">
        <v>28117</v>
      </c>
      <c r="AE877" s="92">
        <v>0</v>
      </c>
      <c r="AF877" s="92">
        <v>0</v>
      </c>
      <c r="AG877" s="92">
        <v>0</v>
      </c>
    </row>
    <row r="878" spans="1:35" x14ac:dyDescent="0.25">
      <c r="A878" t="str">
        <f t="shared" si="17"/>
        <v>28-4-193</v>
      </c>
      <c r="B878">
        <v>28</v>
      </c>
      <c r="C878" s="92" t="s">
        <v>1041</v>
      </c>
      <c r="D878" s="92">
        <v>4</v>
      </c>
      <c r="E878" s="92" t="s">
        <v>66</v>
      </c>
      <c r="F878" s="92">
        <v>193</v>
      </c>
      <c r="G878" s="92" t="s">
        <v>667</v>
      </c>
      <c r="H878" s="92"/>
      <c r="I878" s="92">
        <v>0</v>
      </c>
      <c r="J878" s="92">
        <v>34842162</v>
      </c>
      <c r="K878" s="92">
        <v>1</v>
      </c>
      <c r="L878" s="92">
        <v>0</v>
      </c>
      <c r="M878" s="92">
        <v>3133</v>
      </c>
      <c r="N878" s="92">
        <v>598</v>
      </c>
      <c r="O878" s="92">
        <v>598</v>
      </c>
      <c r="P878" s="92">
        <v>0</v>
      </c>
      <c r="Q878" s="92">
        <v>0</v>
      </c>
      <c r="R878" s="92">
        <v>0</v>
      </c>
      <c r="S878" s="92">
        <v>0</v>
      </c>
      <c r="T878" s="92">
        <v>0</v>
      </c>
      <c r="U878" s="92">
        <v>0</v>
      </c>
      <c r="V878" s="92">
        <v>0</v>
      </c>
      <c r="W878" s="92">
        <v>0</v>
      </c>
      <c r="X878" s="92">
        <v>0</v>
      </c>
      <c r="Y878" s="92">
        <v>0</v>
      </c>
      <c r="Z878" s="92">
        <v>0</v>
      </c>
      <c r="AA878" s="92">
        <v>0</v>
      </c>
      <c r="AB878" s="92">
        <v>26997</v>
      </c>
      <c r="AC878" s="92">
        <v>28117</v>
      </c>
      <c r="AD878" s="92">
        <v>28117</v>
      </c>
      <c r="AE878" s="92">
        <v>0</v>
      </c>
      <c r="AF878" s="92">
        <v>0</v>
      </c>
      <c r="AG878" s="92">
        <v>0</v>
      </c>
    </row>
    <row r="879" spans="1:35" x14ac:dyDescent="0.25">
      <c r="A879" t="str">
        <f t="shared" si="17"/>
        <v>3-4-12</v>
      </c>
      <c r="B879">
        <v>3</v>
      </c>
      <c r="C879" s="92" t="s">
        <v>1018</v>
      </c>
      <c r="D879" s="92">
        <v>4</v>
      </c>
      <c r="E879" s="92" t="s">
        <v>66</v>
      </c>
      <c r="F879" s="92">
        <v>12</v>
      </c>
      <c r="G879" s="92" t="s">
        <v>639</v>
      </c>
      <c r="H879" s="92"/>
      <c r="I879" s="92">
        <v>0</v>
      </c>
      <c r="J879" s="92">
        <v>201079782</v>
      </c>
      <c r="K879" s="92" t="s">
        <v>1061</v>
      </c>
      <c r="L879" s="92">
        <v>8954</v>
      </c>
      <c r="M879" s="92">
        <v>220416</v>
      </c>
      <c r="N879" s="92">
        <v>41998</v>
      </c>
      <c r="O879" s="92">
        <v>41998</v>
      </c>
      <c r="P879" s="92">
        <v>0</v>
      </c>
      <c r="Q879" s="92">
        <v>0</v>
      </c>
      <c r="R879" s="92">
        <v>0</v>
      </c>
      <c r="S879" s="92">
        <v>0</v>
      </c>
      <c r="T879" s="92">
        <v>0</v>
      </c>
      <c r="U879" s="92">
        <v>0</v>
      </c>
      <c r="V879" s="92">
        <v>0</v>
      </c>
      <c r="W879" s="92">
        <v>0</v>
      </c>
      <c r="X879" s="92">
        <v>0</v>
      </c>
      <c r="Y879" s="92">
        <v>0</v>
      </c>
      <c r="Z879" s="92">
        <v>0</v>
      </c>
      <c r="AA879" s="92">
        <v>0</v>
      </c>
      <c r="AB879" s="92">
        <v>253619</v>
      </c>
      <c r="AC879" s="92">
        <v>264143</v>
      </c>
      <c r="AD879" s="92">
        <v>269063</v>
      </c>
      <c r="AE879" s="92">
        <v>0</v>
      </c>
      <c r="AF879" s="92">
        <v>0</v>
      </c>
      <c r="AG879" s="92">
        <v>0</v>
      </c>
    </row>
    <row r="880" spans="1:35" x14ac:dyDescent="0.25">
      <c r="A880" t="str">
        <f t="shared" si="17"/>
        <v>3-9-107</v>
      </c>
      <c r="B880">
        <v>3</v>
      </c>
      <c r="C880" s="92" t="s">
        <v>1018</v>
      </c>
      <c r="D880" s="92">
        <v>9</v>
      </c>
      <c r="E880" s="92" t="s">
        <v>588</v>
      </c>
      <c r="F880" s="92">
        <v>107</v>
      </c>
      <c r="G880" s="92" t="s">
        <v>645</v>
      </c>
      <c r="H880" s="92"/>
      <c r="I880" s="92">
        <v>68403</v>
      </c>
      <c r="J880" s="92">
        <v>0</v>
      </c>
      <c r="K880" s="92" t="s">
        <v>1061</v>
      </c>
      <c r="L880" s="92">
        <v>153</v>
      </c>
      <c r="M880" s="92">
        <v>385</v>
      </c>
      <c r="N880" s="92">
        <v>69</v>
      </c>
      <c r="O880" s="92">
        <v>69</v>
      </c>
      <c r="P880" s="92">
        <v>0</v>
      </c>
      <c r="Q880" s="92">
        <v>0</v>
      </c>
      <c r="R880" s="92">
        <v>0</v>
      </c>
      <c r="S880" s="92">
        <v>0</v>
      </c>
      <c r="T880" s="92">
        <v>0</v>
      </c>
      <c r="U880" s="92">
        <v>0</v>
      </c>
      <c r="V880" s="92">
        <v>0</v>
      </c>
      <c r="W880" s="92">
        <v>0</v>
      </c>
      <c r="X880" s="92">
        <v>0</v>
      </c>
      <c r="Y880" s="92">
        <v>0</v>
      </c>
      <c r="Z880" s="92">
        <v>0</v>
      </c>
      <c r="AA880" s="92">
        <v>0</v>
      </c>
      <c r="AB880" s="92">
        <v>69433</v>
      </c>
      <c r="AC880" s="92">
        <v>76822</v>
      </c>
      <c r="AD880" s="182">
        <f>80483+49899</f>
        <v>130382</v>
      </c>
      <c r="AE880" s="92">
        <v>0</v>
      </c>
      <c r="AF880" s="92">
        <v>2234</v>
      </c>
      <c r="AG880" s="92">
        <v>2339</v>
      </c>
      <c r="AI880" s="254">
        <v>4.1117200000000001E-4</v>
      </c>
    </row>
    <row r="881" spans="1:35" x14ac:dyDescent="0.25">
      <c r="A881" t="str">
        <f t="shared" si="17"/>
        <v>35-16-1</v>
      </c>
      <c r="B881">
        <v>35</v>
      </c>
      <c r="C881" s="92" t="s">
        <v>1195</v>
      </c>
      <c r="D881" s="92">
        <v>16</v>
      </c>
      <c r="E881" s="92" t="s">
        <v>591</v>
      </c>
      <c r="F881" s="92">
        <v>1</v>
      </c>
      <c r="G881" s="92" t="s">
        <v>945</v>
      </c>
      <c r="H881" s="92"/>
      <c r="I881" s="92">
        <v>549779</v>
      </c>
      <c r="J881" s="92">
        <v>98585140</v>
      </c>
      <c r="K881" s="92" t="s">
        <v>1061</v>
      </c>
      <c r="L881" s="92">
        <v>5582</v>
      </c>
      <c r="M881" s="92">
        <v>6393</v>
      </c>
      <c r="N881" s="92">
        <v>1383</v>
      </c>
      <c r="O881" s="92">
        <v>1383</v>
      </c>
      <c r="P881" s="92">
        <v>0</v>
      </c>
      <c r="Q881" s="92">
        <v>0</v>
      </c>
      <c r="R881" s="92">
        <v>0</v>
      </c>
      <c r="S881" s="92">
        <v>109</v>
      </c>
      <c r="T881" s="92">
        <v>137</v>
      </c>
      <c r="U881" s="92">
        <v>10</v>
      </c>
      <c r="V881" s="92">
        <v>0</v>
      </c>
      <c r="W881" s="92">
        <v>0</v>
      </c>
      <c r="X881" s="92">
        <v>0</v>
      </c>
      <c r="Y881" s="92">
        <v>0</v>
      </c>
      <c r="Z881" s="92">
        <v>0</v>
      </c>
      <c r="AA881" s="92">
        <v>0</v>
      </c>
      <c r="AB881" s="92">
        <v>405000</v>
      </c>
      <c r="AC881" s="92">
        <v>405000</v>
      </c>
      <c r="AD881" s="92">
        <v>400000</v>
      </c>
      <c r="AE881" s="92">
        <v>0</v>
      </c>
      <c r="AF881" s="92">
        <v>0</v>
      </c>
      <c r="AG881" s="92">
        <v>0</v>
      </c>
    </row>
    <row r="882" spans="1:35" x14ac:dyDescent="0.25">
      <c r="A882" t="str">
        <f t="shared" si="17"/>
        <v>3-14-35</v>
      </c>
      <c r="B882">
        <v>3</v>
      </c>
      <c r="C882" s="92" t="s">
        <v>1018</v>
      </c>
      <c r="D882" s="92">
        <v>14</v>
      </c>
      <c r="E882" s="92" t="s">
        <v>571</v>
      </c>
      <c r="F882" s="92">
        <v>35</v>
      </c>
      <c r="G882" s="92" t="s">
        <v>112</v>
      </c>
      <c r="H882" s="92"/>
      <c r="I882" s="92">
        <v>8307</v>
      </c>
      <c r="J882" s="92">
        <v>96761392</v>
      </c>
      <c r="K882" s="92" t="s">
        <v>1061</v>
      </c>
      <c r="L882" s="92">
        <v>1077</v>
      </c>
      <c r="M882" s="92">
        <v>7272</v>
      </c>
      <c r="N882" s="92">
        <v>1920</v>
      </c>
      <c r="O882" s="92">
        <v>1920</v>
      </c>
      <c r="P882" s="92">
        <v>0</v>
      </c>
      <c r="Q882" s="92">
        <v>0</v>
      </c>
      <c r="R882" s="92">
        <v>0</v>
      </c>
      <c r="S882" s="92">
        <v>0</v>
      </c>
      <c r="T882" s="92">
        <v>0</v>
      </c>
      <c r="U882" s="92">
        <v>0</v>
      </c>
      <c r="V882" s="92">
        <v>0</v>
      </c>
      <c r="W882" s="92">
        <v>0</v>
      </c>
      <c r="X882" s="92">
        <v>0</v>
      </c>
      <c r="Y882" s="92">
        <v>0</v>
      </c>
      <c r="Z882" s="92">
        <v>0</v>
      </c>
      <c r="AA882" s="92">
        <v>0</v>
      </c>
      <c r="AB882" s="92">
        <v>854335</v>
      </c>
      <c r="AC882" s="92">
        <v>895503</v>
      </c>
      <c r="AD882" s="92">
        <v>946921</v>
      </c>
      <c r="AE882" s="92">
        <v>0</v>
      </c>
      <c r="AF882" s="92">
        <v>0</v>
      </c>
      <c r="AG882" s="92">
        <v>0</v>
      </c>
      <c r="AI882" s="250">
        <v>3.4653199999999998E-4</v>
      </c>
    </row>
    <row r="883" spans="1:35" x14ac:dyDescent="0.25">
      <c r="A883" t="str">
        <f t="shared" si="17"/>
        <v>28-11-27</v>
      </c>
      <c r="B883">
        <v>28</v>
      </c>
      <c r="C883" s="92" t="s">
        <v>1041</v>
      </c>
      <c r="D883" s="92">
        <v>11</v>
      </c>
      <c r="E883" s="92" t="s">
        <v>1062</v>
      </c>
      <c r="F883" s="92">
        <v>27</v>
      </c>
      <c r="G883" s="92" t="s">
        <v>425</v>
      </c>
      <c r="H883" s="92"/>
      <c r="I883" s="92">
        <v>1363474</v>
      </c>
      <c r="J883" s="92">
        <v>375907845</v>
      </c>
      <c r="K883" s="92" t="s">
        <v>1061</v>
      </c>
      <c r="L883" s="92">
        <v>2093</v>
      </c>
      <c r="M883" s="92">
        <v>23643</v>
      </c>
      <c r="N883" s="92">
        <v>3731</v>
      </c>
      <c r="O883" s="92">
        <v>3394</v>
      </c>
      <c r="P883" s="92">
        <v>0</v>
      </c>
      <c r="Q883" s="92">
        <v>0</v>
      </c>
      <c r="R883" s="92">
        <v>0</v>
      </c>
      <c r="S883" s="92">
        <v>337</v>
      </c>
      <c r="T883" s="92">
        <v>0</v>
      </c>
      <c r="U883" s="92">
        <v>0</v>
      </c>
      <c r="V883" s="92">
        <v>0</v>
      </c>
      <c r="W883" s="92">
        <v>0</v>
      </c>
      <c r="X883" s="92">
        <v>0</v>
      </c>
      <c r="Y883" s="92">
        <v>0</v>
      </c>
      <c r="Z883" s="92">
        <v>0</v>
      </c>
      <c r="AA883" s="92">
        <v>0</v>
      </c>
      <c r="AB883" s="92">
        <v>3239376</v>
      </c>
      <c r="AC883" s="92">
        <v>3267914</v>
      </c>
      <c r="AD883" s="92">
        <v>3318819</v>
      </c>
      <c r="AE883" s="92">
        <v>0</v>
      </c>
      <c r="AF883" s="92">
        <v>0</v>
      </c>
      <c r="AG883" s="92">
        <v>0</v>
      </c>
    </row>
    <row r="884" spans="1:35" x14ac:dyDescent="0.25">
      <c r="A884" t="str">
        <f t="shared" si="17"/>
        <v>28-4-107</v>
      </c>
      <c r="B884">
        <v>28</v>
      </c>
      <c r="C884" s="92" t="s">
        <v>1041</v>
      </c>
      <c r="D884" s="92">
        <v>4</v>
      </c>
      <c r="E884" s="92" t="s">
        <v>66</v>
      </c>
      <c r="F884" s="92">
        <v>107</v>
      </c>
      <c r="G884" s="92" t="s">
        <v>888</v>
      </c>
      <c r="H884" s="92"/>
      <c r="I884" s="92">
        <v>0</v>
      </c>
      <c r="J884" s="92">
        <v>100545879</v>
      </c>
      <c r="K884" s="92" t="s">
        <v>1061</v>
      </c>
      <c r="L884" s="92">
        <v>3162</v>
      </c>
      <c r="M884" s="92">
        <v>84036</v>
      </c>
      <c r="N884" s="92">
        <v>10023</v>
      </c>
      <c r="O884" s="92">
        <v>10023</v>
      </c>
      <c r="P884" s="92">
        <v>0</v>
      </c>
      <c r="Q884" s="92">
        <v>0</v>
      </c>
      <c r="R884" s="92">
        <v>0</v>
      </c>
      <c r="S884" s="92">
        <v>0</v>
      </c>
      <c r="T884" s="92">
        <v>0</v>
      </c>
      <c r="U884" s="92">
        <v>0</v>
      </c>
      <c r="V884" s="92">
        <v>0</v>
      </c>
      <c r="W884" s="92">
        <v>0</v>
      </c>
      <c r="X884" s="92">
        <v>0</v>
      </c>
      <c r="Y884" s="92">
        <v>0</v>
      </c>
      <c r="Z884" s="92">
        <v>0</v>
      </c>
      <c r="AA884" s="92">
        <v>0</v>
      </c>
      <c r="AB884" s="92">
        <v>195681</v>
      </c>
      <c r="AC884" s="92">
        <v>205137</v>
      </c>
      <c r="AD884" s="92">
        <v>216762</v>
      </c>
      <c r="AE884" s="92">
        <v>0</v>
      </c>
      <c r="AF884" s="92">
        <v>0</v>
      </c>
      <c r="AG884" s="92">
        <v>0</v>
      </c>
    </row>
    <row r="885" spans="1:35" x14ac:dyDescent="0.25">
      <c r="A885" t="str">
        <f t="shared" si="17"/>
        <v>35-7-122</v>
      </c>
      <c r="B885">
        <v>35</v>
      </c>
      <c r="C885" s="92" t="s">
        <v>1195</v>
      </c>
      <c r="D885" s="92">
        <v>7</v>
      </c>
      <c r="E885" s="92" t="s">
        <v>586</v>
      </c>
      <c r="F885" s="92">
        <v>122</v>
      </c>
      <c r="G885" s="92" t="s">
        <v>500</v>
      </c>
      <c r="H885" s="92"/>
      <c r="I885" s="92">
        <v>0</v>
      </c>
      <c r="J885" s="92">
        <v>574996</v>
      </c>
      <c r="K885" s="92" t="s">
        <v>1061</v>
      </c>
      <c r="L885" s="92">
        <v>74</v>
      </c>
      <c r="M885" s="92">
        <v>7</v>
      </c>
      <c r="N885" s="92">
        <v>2</v>
      </c>
      <c r="O885" s="92">
        <v>2</v>
      </c>
      <c r="P885" s="92">
        <v>0</v>
      </c>
      <c r="Q885" s="92">
        <v>0</v>
      </c>
      <c r="R885" s="92">
        <v>0</v>
      </c>
      <c r="S885" s="92">
        <v>0</v>
      </c>
      <c r="T885" s="92">
        <v>0</v>
      </c>
      <c r="U885" s="92">
        <v>0</v>
      </c>
      <c r="V885" s="92">
        <v>0</v>
      </c>
      <c r="W885" s="92">
        <v>0</v>
      </c>
      <c r="X885" s="92">
        <v>0</v>
      </c>
      <c r="Y885" s="92">
        <v>0</v>
      </c>
      <c r="Z885" s="92">
        <v>0</v>
      </c>
      <c r="AA885" s="92">
        <v>0</v>
      </c>
      <c r="AB885" s="92">
        <v>1080</v>
      </c>
      <c r="AC885" s="92">
        <v>1115</v>
      </c>
      <c r="AD885" s="92">
        <v>1153</v>
      </c>
      <c r="AE885" s="92">
        <v>0</v>
      </c>
      <c r="AF885" s="92">
        <v>0</v>
      </c>
      <c r="AG885" s="92">
        <v>0</v>
      </c>
    </row>
    <row r="886" spans="1:35" x14ac:dyDescent="0.25">
      <c r="A886" t="str">
        <f t="shared" si="17"/>
        <v>29-9-73</v>
      </c>
      <c r="B886">
        <v>29</v>
      </c>
      <c r="C886" s="92" t="s">
        <v>1042</v>
      </c>
      <c r="D886" s="92">
        <v>9</v>
      </c>
      <c r="E886" s="92" t="s">
        <v>588</v>
      </c>
      <c r="F886" s="92">
        <v>73</v>
      </c>
      <c r="G886" s="92" t="s">
        <v>909</v>
      </c>
      <c r="H886" s="92"/>
      <c r="I886" s="92">
        <v>2506</v>
      </c>
      <c r="J886" s="92">
        <v>5490337</v>
      </c>
      <c r="K886" s="92" t="s">
        <v>1061</v>
      </c>
      <c r="L886" s="92">
        <v>4213</v>
      </c>
      <c r="M886" s="92">
        <v>1617</v>
      </c>
      <c r="N886" s="92">
        <v>273</v>
      </c>
      <c r="O886" s="92">
        <v>273</v>
      </c>
      <c r="P886" s="92">
        <v>0</v>
      </c>
      <c r="Q886" s="92">
        <v>0</v>
      </c>
      <c r="R886" s="92">
        <v>0</v>
      </c>
      <c r="S886" s="92">
        <v>72.650000000000006</v>
      </c>
      <c r="T886" s="92">
        <v>116</v>
      </c>
      <c r="U886" s="92">
        <v>0</v>
      </c>
      <c r="V886" s="92">
        <v>0</v>
      </c>
      <c r="W886" s="92">
        <v>0</v>
      </c>
      <c r="X886" s="92">
        <v>0</v>
      </c>
      <c r="Y886" s="92">
        <v>0</v>
      </c>
      <c r="Z886" s="92">
        <v>0</v>
      </c>
      <c r="AA886" s="92">
        <v>0</v>
      </c>
      <c r="AB886" s="92">
        <v>161989</v>
      </c>
      <c r="AC886" s="92">
        <v>161989</v>
      </c>
      <c r="AD886" s="92">
        <v>162105</v>
      </c>
      <c r="AE886" s="92">
        <v>0</v>
      </c>
      <c r="AF886" s="92">
        <v>0</v>
      </c>
      <c r="AG886" s="92">
        <v>0</v>
      </c>
      <c r="AI886" s="250">
        <v>3.5824400000000002E-4</v>
      </c>
    </row>
    <row r="887" spans="1:35" x14ac:dyDescent="0.25">
      <c r="A887" t="str">
        <f t="shared" si="17"/>
        <v>29-17-31</v>
      </c>
      <c r="B887">
        <v>29</v>
      </c>
      <c r="C887" s="92" t="s">
        <v>1042</v>
      </c>
      <c r="D887" s="92">
        <v>17</v>
      </c>
      <c r="E887" s="92" t="s">
        <v>593</v>
      </c>
      <c r="F887" s="92">
        <v>31</v>
      </c>
      <c r="G887" s="92" t="s">
        <v>450</v>
      </c>
      <c r="H887" s="92"/>
      <c r="I887" s="92">
        <v>39621</v>
      </c>
      <c r="J887" s="92">
        <v>7457252</v>
      </c>
      <c r="K887" s="92" t="s">
        <v>1061</v>
      </c>
      <c r="L887" s="92">
        <v>0</v>
      </c>
      <c r="M887" s="92">
        <v>941</v>
      </c>
      <c r="N887" s="92">
        <v>152</v>
      </c>
      <c r="O887" s="92">
        <v>152</v>
      </c>
      <c r="P887" s="92">
        <v>0</v>
      </c>
      <c r="Q887" s="92">
        <v>0</v>
      </c>
      <c r="R887" s="92">
        <v>0</v>
      </c>
      <c r="S887" s="92">
        <v>39.729999999999997</v>
      </c>
      <c r="T887" s="92">
        <v>66</v>
      </c>
      <c r="U887" s="92">
        <v>0</v>
      </c>
      <c r="V887" s="92">
        <v>0</v>
      </c>
      <c r="W887" s="92">
        <v>0</v>
      </c>
      <c r="X887" s="92">
        <v>0</v>
      </c>
      <c r="Y887" s="92">
        <v>0</v>
      </c>
      <c r="Z887" s="92">
        <v>0</v>
      </c>
      <c r="AA887" s="92">
        <v>0</v>
      </c>
      <c r="AB887" s="92">
        <v>102424</v>
      </c>
      <c r="AC887" s="92">
        <v>105398</v>
      </c>
      <c r="AD887" s="92">
        <v>108314</v>
      </c>
      <c r="AE887" s="92">
        <v>0</v>
      </c>
      <c r="AF887" s="92">
        <v>0</v>
      </c>
      <c r="AG887" s="92">
        <v>0</v>
      </c>
    </row>
    <row r="888" spans="1:35" x14ac:dyDescent="0.25">
      <c r="A888" t="str">
        <f t="shared" si="17"/>
        <v>29-4-117</v>
      </c>
      <c r="B888">
        <v>29</v>
      </c>
      <c r="C888" s="92" t="s">
        <v>1042</v>
      </c>
      <c r="D888" s="92">
        <v>4</v>
      </c>
      <c r="E888" s="92" t="s">
        <v>66</v>
      </c>
      <c r="F888" s="92">
        <v>117</v>
      </c>
      <c r="G888" s="92" t="s">
        <v>900</v>
      </c>
      <c r="H888" s="92"/>
      <c r="I888" s="92">
        <v>0</v>
      </c>
      <c r="J888" s="92">
        <v>7457252</v>
      </c>
      <c r="K888" s="92" t="s">
        <v>1061</v>
      </c>
      <c r="L888" s="92">
        <v>30387</v>
      </c>
      <c r="M888" s="92">
        <v>17575</v>
      </c>
      <c r="N888" s="92">
        <v>2544</v>
      </c>
      <c r="O888" s="92">
        <v>2544</v>
      </c>
      <c r="P888" s="92">
        <v>0</v>
      </c>
      <c r="Q888" s="92">
        <v>0</v>
      </c>
      <c r="R888" s="92">
        <v>0</v>
      </c>
      <c r="S888" s="92">
        <v>693</v>
      </c>
      <c r="T888" s="92">
        <v>997</v>
      </c>
      <c r="U888" s="92">
        <v>0</v>
      </c>
      <c r="V888" s="92">
        <v>0</v>
      </c>
      <c r="W888" s="92">
        <v>0</v>
      </c>
      <c r="X888" s="92">
        <v>0</v>
      </c>
      <c r="Y888" s="92">
        <v>0</v>
      </c>
      <c r="Z888" s="92">
        <v>0</v>
      </c>
      <c r="AA888" s="92">
        <v>0</v>
      </c>
      <c r="AB888" s="92">
        <v>53126</v>
      </c>
      <c r="AC888" s="92">
        <v>54720</v>
      </c>
      <c r="AD888" s="92">
        <v>56745</v>
      </c>
      <c r="AE888" s="92">
        <v>0</v>
      </c>
      <c r="AF888" s="92">
        <v>0</v>
      </c>
      <c r="AG888" s="92">
        <v>0</v>
      </c>
    </row>
    <row r="889" spans="1:35" x14ac:dyDescent="0.25">
      <c r="A889" t="str">
        <f t="shared" si="17"/>
        <v>39-2-39</v>
      </c>
      <c r="B889">
        <v>39</v>
      </c>
      <c r="C889" s="92" t="s">
        <v>79</v>
      </c>
      <c r="D889" s="92">
        <v>2</v>
      </c>
      <c r="E889" s="92" t="s">
        <v>53</v>
      </c>
      <c r="F889" s="92">
        <v>39</v>
      </c>
      <c r="G889" s="92" t="s">
        <v>525</v>
      </c>
      <c r="H889" s="92"/>
      <c r="I889" s="92">
        <v>4000</v>
      </c>
      <c r="J889" s="92">
        <v>276994736</v>
      </c>
      <c r="K889" s="92" t="s">
        <v>1061</v>
      </c>
      <c r="L889" s="92">
        <v>105545</v>
      </c>
      <c r="M889" s="92">
        <v>43034</v>
      </c>
      <c r="N889" s="92">
        <v>24412</v>
      </c>
      <c r="O889" s="92">
        <v>24412</v>
      </c>
      <c r="P889" s="92">
        <v>54073.417251609571</v>
      </c>
      <c r="Q889" s="92">
        <v>60464.020186928843</v>
      </c>
      <c r="R889" s="92">
        <v>66943</v>
      </c>
      <c r="S889" s="92">
        <v>0</v>
      </c>
      <c r="T889" s="92">
        <v>0</v>
      </c>
      <c r="U889" s="92">
        <v>0</v>
      </c>
      <c r="V889" s="92">
        <v>0</v>
      </c>
      <c r="W889" s="92">
        <v>0</v>
      </c>
      <c r="X889" s="92">
        <v>0</v>
      </c>
      <c r="Y889" s="92">
        <v>0</v>
      </c>
      <c r="Z889" s="92">
        <v>0</v>
      </c>
      <c r="AA889" s="92">
        <v>0</v>
      </c>
      <c r="AB889" s="92">
        <v>4599449</v>
      </c>
      <c r="AC889" s="92">
        <v>4759324</v>
      </c>
      <c r="AD889" s="92">
        <v>5073243</v>
      </c>
      <c r="AE889" s="92">
        <v>0</v>
      </c>
      <c r="AF889" s="92">
        <v>0</v>
      </c>
      <c r="AG889" s="92">
        <v>74485</v>
      </c>
    </row>
    <row r="890" spans="1:35" x14ac:dyDescent="0.25">
      <c r="A890" t="str">
        <f t="shared" si="17"/>
        <v>39-15-20</v>
      </c>
      <c r="B890">
        <v>39</v>
      </c>
      <c r="C890" s="92" t="s">
        <v>79</v>
      </c>
      <c r="D890" s="92">
        <v>15</v>
      </c>
      <c r="E890" s="92" t="s">
        <v>152</v>
      </c>
      <c r="F890" s="92">
        <v>20</v>
      </c>
      <c r="G890" s="92" t="s">
        <v>1262</v>
      </c>
      <c r="H890" s="92"/>
      <c r="I890" s="92">
        <v>296025</v>
      </c>
      <c r="J890" s="92">
        <v>276994736</v>
      </c>
      <c r="K890" s="92" t="s">
        <v>1061</v>
      </c>
      <c r="L890" s="92">
        <v>0</v>
      </c>
      <c r="M890" s="92">
        <v>3799</v>
      </c>
      <c r="N890" s="92">
        <v>1055</v>
      </c>
      <c r="O890" s="92">
        <v>1055</v>
      </c>
      <c r="P890" s="92">
        <v>2341.1697374803548</v>
      </c>
      <c r="Q890" s="92">
        <v>2530.7596455373923</v>
      </c>
      <c r="R890" s="92">
        <v>2349</v>
      </c>
      <c r="S890" s="92">
        <v>0</v>
      </c>
      <c r="T890" s="92">
        <v>0</v>
      </c>
      <c r="U890" s="92">
        <v>0</v>
      </c>
      <c r="V890" s="92">
        <v>0</v>
      </c>
      <c r="W890" s="92">
        <v>0</v>
      </c>
      <c r="X890" s="92">
        <v>0</v>
      </c>
      <c r="Y890" s="92">
        <v>0</v>
      </c>
      <c r="Z890" s="92">
        <v>0</v>
      </c>
      <c r="AA890" s="92">
        <v>0</v>
      </c>
      <c r="AB890" s="92">
        <v>206017</v>
      </c>
      <c r="AC890" s="92">
        <v>179518</v>
      </c>
      <c r="AD890" s="92">
        <v>183466</v>
      </c>
      <c r="AE890" s="92">
        <v>0</v>
      </c>
      <c r="AF890" s="92">
        <v>0</v>
      </c>
      <c r="AG890" s="92">
        <v>0</v>
      </c>
    </row>
    <row r="891" spans="1:35" x14ac:dyDescent="0.25">
      <c r="A891" t="str">
        <f t="shared" si="17"/>
        <v>39-5-13</v>
      </c>
      <c r="B891">
        <v>39</v>
      </c>
      <c r="C891" s="92" t="s">
        <v>79</v>
      </c>
      <c r="D891" s="92">
        <v>5</v>
      </c>
      <c r="E891" s="92" t="s">
        <v>200</v>
      </c>
      <c r="F891" s="92">
        <v>13</v>
      </c>
      <c r="G891" s="92" t="s">
        <v>1263</v>
      </c>
      <c r="H891" s="92"/>
      <c r="I891" s="92">
        <v>0</v>
      </c>
      <c r="J891" s="92">
        <v>276994736</v>
      </c>
      <c r="K891" s="92" t="s">
        <v>1061</v>
      </c>
      <c r="L891" s="92">
        <v>6533</v>
      </c>
      <c r="M891" s="92">
        <v>2655</v>
      </c>
      <c r="N891" s="92">
        <v>1573</v>
      </c>
      <c r="O891" s="92">
        <v>1573</v>
      </c>
      <c r="P891" s="92">
        <v>3489.1621228025947</v>
      </c>
      <c r="Q891" s="92">
        <v>3957.0324563457307</v>
      </c>
      <c r="R891" s="92">
        <v>4360</v>
      </c>
      <c r="S891" s="92">
        <v>0</v>
      </c>
      <c r="T891" s="92">
        <v>0</v>
      </c>
      <c r="U891" s="92">
        <v>0</v>
      </c>
      <c r="V891" s="92">
        <v>0</v>
      </c>
      <c r="W891" s="92">
        <v>0</v>
      </c>
      <c r="X891" s="92">
        <v>0</v>
      </c>
      <c r="Y891" s="92">
        <v>0</v>
      </c>
      <c r="Z891" s="92">
        <v>0</v>
      </c>
      <c r="AA891" s="92">
        <v>0</v>
      </c>
      <c r="AB891" s="92">
        <v>322028</v>
      </c>
      <c r="AC891" s="92">
        <v>333154</v>
      </c>
      <c r="AD891" s="92">
        <v>346322</v>
      </c>
      <c r="AE891" s="92">
        <v>0</v>
      </c>
      <c r="AF891" s="92">
        <v>0</v>
      </c>
      <c r="AG891" s="92">
        <v>0</v>
      </c>
      <c r="AI891">
        <v>2.05823E-4</v>
      </c>
    </row>
    <row r="892" spans="1:35" x14ac:dyDescent="0.25">
      <c r="A892" t="str">
        <f t="shared" si="17"/>
        <v>39-11-49</v>
      </c>
      <c r="B892">
        <v>39</v>
      </c>
      <c r="C892" s="92" t="s">
        <v>79</v>
      </c>
      <c r="D892" s="92">
        <v>11</v>
      </c>
      <c r="E892" s="92" t="s">
        <v>1062</v>
      </c>
      <c r="F892" s="92">
        <v>49</v>
      </c>
      <c r="G892" s="92" t="s">
        <v>1264</v>
      </c>
      <c r="H892" s="92"/>
      <c r="I892" s="92">
        <v>0</v>
      </c>
      <c r="J892" s="92">
        <v>276994736</v>
      </c>
      <c r="K892" s="92" t="s">
        <v>1061</v>
      </c>
      <c r="L892" s="92">
        <v>69430</v>
      </c>
      <c r="M892" s="92">
        <v>28647</v>
      </c>
      <c r="N892" s="92">
        <v>15588</v>
      </c>
      <c r="O892" s="92">
        <v>13793</v>
      </c>
      <c r="P892" s="92">
        <v>34577.20391306041</v>
      </c>
      <c r="Q892" s="92">
        <v>39205.09103199056</v>
      </c>
      <c r="R892" s="92">
        <v>41875</v>
      </c>
      <c r="S892" s="92">
        <v>0</v>
      </c>
      <c r="T892" s="92">
        <v>0</v>
      </c>
      <c r="U892" s="92">
        <v>0</v>
      </c>
      <c r="V892" s="92">
        <v>0</v>
      </c>
      <c r="W892" s="92">
        <v>0</v>
      </c>
      <c r="X892" s="92">
        <v>0</v>
      </c>
      <c r="Y892" s="92">
        <v>0</v>
      </c>
      <c r="Z892" s="92">
        <v>0</v>
      </c>
      <c r="AA892" s="92">
        <v>0</v>
      </c>
      <c r="AB892" s="92">
        <v>3191496</v>
      </c>
      <c r="AC892" s="92">
        <v>3200000</v>
      </c>
      <c r="AD892" s="92">
        <v>3431908</v>
      </c>
      <c r="AE892" s="92">
        <v>0</v>
      </c>
      <c r="AF892" s="92">
        <v>0</v>
      </c>
      <c r="AG892" s="92">
        <v>67572</v>
      </c>
    </row>
    <row r="893" spans="1:35" x14ac:dyDescent="0.25">
      <c r="A893" t="str">
        <f t="shared" si="17"/>
        <v>39-12-21</v>
      </c>
      <c r="B893">
        <v>39</v>
      </c>
      <c r="C893" s="92" t="s">
        <v>79</v>
      </c>
      <c r="D893" s="92">
        <v>12</v>
      </c>
      <c r="E893" s="92" t="s">
        <v>71</v>
      </c>
      <c r="F893" s="92">
        <v>21</v>
      </c>
      <c r="G893" s="92" t="s">
        <v>971</v>
      </c>
      <c r="H893" s="92"/>
      <c r="I893" s="92">
        <v>0</v>
      </c>
      <c r="J893" s="92">
        <v>276994736</v>
      </c>
      <c r="K893" s="92" t="s">
        <v>1061</v>
      </c>
      <c r="L893" s="92">
        <v>65502</v>
      </c>
      <c r="M893" s="92">
        <v>9489</v>
      </c>
      <c r="N893" s="92">
        <v>9561</v>
      </c>
      <c r="O893" s="92">
        <v>9561</v>
      </c>
      <c r="P893" s="92">
        <v>20981.768950530863</v>
      </c>
      <c r="Q893" s="92">
        <v>23393.276206998031</v>
      </c>
      <c r="R893" s="92">
        <v>25423</v>
      </c>
      <c r="S893" s="92">
        <v>0</v>
      </c>
      <c r="T893" s="92">
        <v>0</v>
      </c>
      <c r="U893" s="92">
        <v>0</v>
      </c>
      <c r="V893" s="92">
        <v>0</v>
      </c>
      <c r="W893" s="92">
        <v>0</v>
      </c>
      <c r="X893" s="92">
        <v>0</v>
      </c>
      <c r="Y893" s="92">
        <v>0</v>
      </c>
      <c r="Z893" s="92">
        <v>0</v>
      </c>
      <c r="AA893" s="92">
        <v>0</v>
      </c>
      <c r="AB893" s="92">
        <v>1057851</v>
      </c>
      <c r="AC893" s="92">
        <v>1095240</v>
      </c>
      <c r="AD893" s="92">
        <v>1139768</v>
      </c>
      <c r="AE893" s="92">
        <v>0</v>
      </c>
      <c r="AF893" s="92">
        <v>0</v>
      </c>
      <c r="AG893" s="92">
        <v>0</v>
      </c>
    </row>
    <row r="894" spans="1:35" x14ac:dyDescent="0.25">
      <c r="A894" t="str">
        <f t="shared" si="17"/>
        <v>31-11-51</v>
      </c>
      <c r="B894">
        <v>31</v>
      </c>
      <c r="C894" s="92" t="s">
        <v>1044</v>
      </c>
      <c r="D894" s="92">
        <v>11</v>
      </c>
      <c r="E894" s="92" t="s">
        <v>1062</v>
      </c>
      <c r="F894" s="92">
        <v>51</v>
      </c>
      <c r="G894" s="92" t="s">
        <v>930</v>
      </c>
      <c r="H894" s="92"/>
      <c r="I894" s="92">
        <v>69029</v>
      </c>
      <c r="J894" s="92">
        <v>4014062</v>
      </c>
      <c r="K894" s="92" t="s">
        <v>1061</v>
      </c>
      <c r="L894" s="92">
        <v>18031</v>
      </c>
      <c r="M894" s="92">
        <v>2768</v>
      </c>
      <c r="N894" s="92">
        <v>1062</v>
      </c>
      <c r="O894" s="92">
        <v>757</v>
      </c>
      <c r="P894" s="92">
        <v>0</v>
      </c>
      <c r="Q894" s="92">
        <v>0</v>
      </c>
      <c r="R894" s="92">
        <v>0</v>
      </c>
      <c r="S894" s="92">
        <v>0</v>
      </c>
      <c r="T894" s="92">
        <v>0</v>
      </c>
      <c r="U894" s="92">
        <v>0</v>
      </c>
      <c r="V894" s="92">
        <v>0</v>
      </c>
      <c r="W894" s="92">
        <v>0</v>
      </c>
      <c r="X894" s="92">
        <v>0</v>
      </c>
      <c r="Y894" s="92">
        <v>0</v>
      </c>
      <c r="Z894" s="92">
        <v>0</v>
      </c>
      <c r="AA894" s="92">
        <v>0</v>
      </c>
      <c r="AB894" s="92">
        <v>251982</v>
      </c>
      <c r="AC894" s="92">
        <v>260197</v>
      </c>
      <c r="AD894" s="92">
        <v>272621</v>
      </c>
      <c r="AE894" s="92">
        <v>0</v>
      </c>
      <c r="AF894" s="92">
        <v>0</v>
      </c>
      <c r="AG894" s="92">
        <v>0</v>
      </c>
    </row>
    <row r="895" spans="1:35" x14ac:dyDescent="0.25">
      <c r="A895" t="str">
        <f t="shared" si="17"/>
        <v>20-14-50</v>
      </c>
      <c r="B895">
        <v>20</v>
      </c>
      <c r="C895" s="92" t="s">
        <v>1033</v>
      </c>
      <c r="D895" s="92">
        <v>14</v>
      </c>
      <c r="E895" s="92" t="s">
        <v>571</v>
      </c>
      <c r="F895" s="92">
        <v>50</v>
      </c>
      <c r="G895" s="92" t="s">
        <v>312</v>
      </c>
      <c r="H895" s="92"/>
      <c r="I895" s="92">
        <v>26154</v>
      </c>
      <c r="J895" s="92">
        <v>1202331</v>
      </c>
      <c r="K895" s="92" t="s">
        <v>1061</v>
      </c>
      <c r="L895" s="92">
        <v>46</v>
      </c>
      <c r="M895" s="92">
        <v>2</v>
      </c>
      <c r="N895" s="92">
        <v>0</v>
      </c>
      <c r="O895" s="92">
        <v>0</v>
      </c>
      <c r="P895" s="92">
        <v>0</v>
      </c>
      <c r="Q895" s="92">
        <v>0</v>
      </c>
      <c r="R895" s="92">
        <v>0</v>
      </c>
      <c r="S895" s="92">
        <v>0</v>
      </c>
      <c r="T895" s="92">
        <v>0</v>
      </c>
      <c r="U895" s="92">
        <v>0</v>
      </c>
      <c r="V895" s="92">
        <v>0</v>
      </c>
      <c r="W895" s="92">
        <v>0</v>
      </c>
      <c r="X895" s="92">
        <v>0</v>
      </c>
      <c r="Y895" s="92">
        <v>0</v>
      </c>
      <c r="Z895" s="92">
        <v>0</v>
      </c>
      <c r="AA895" s="92">
        <v>0</v>
      </c>
      <c r="AB895" s="92">
        <v>1111</v>
      </c>
      <c r="AC895" s="92">
        <v>1144</v>
      </c>
      <c r="AD895" s="92">
        <v>1199</v>
      </c>
      <c r="AE895" s="92">
        <v>0</v>
      </c>
      <c r="AF895" s="92">
        <v>0</v>
      </c>
      <c r="AG895" s="92">
        <v>0</v>
      </c>
      <c r="AI895" s="250">
        <v>4.3222000000000001E-5</v>
      </c>
    </row>
    <row r="896" spans="1:35" x14ac:dyDescent="0.25">
      <c r="A896" t="str">
        <f t="shared" si="17"/>
        <v>20-4-72</v>
      </c>
      <c r="B896">
        <v>20</v>
      </c>
      <c r="C896" s="92" t="s">
        <v>1033</v>
      </c>
      <c r="D896" s="92">
        <v>4</v>
      </c>
      <c r="E896" s="92" t="s">
        <v>66</v>
      </c>
      <c r="F896" s="92">
        <v>72</v>
      </c>
      <c r="G896" s="92" t="s">
        <v>1174</v>
      </c>
      <c r="H896" s="92"/>
      <c r="I896" s="92">
        <v>0</v>
      </c>
      <c r="J896" s="92">
        <v>1202331</v>
      </c>
      <c r="K896" s="92" t="s">
        <v>1061</v>
      </c>
      <c r="L896" s="92">
        <v>0</v>
      </c>
      <c r="M896" s="92">
        <v>0</v>
      </c>
      <c r="N896" s="92">
        <v>0</v>
      </c>
      <c r="O896" s="92">
        <v>0</v>
      </c>
      <c r="P896" s="92"/>
      <c r="Q896" s="92">
        <v>0</v>
      </c>
      <c r="R896" s="92">
        <v>0</v>
      </c>
      <c r="S896" s="92">
        <v>0</v>
      </c>
      <c r="T896" s="92">
        <v>0</v>
      </c>
      <c r="U896" s="92">
        <v>0</v>
      </c>
      <c r="V896" s="92">
        <v>0</v>
      </c>
      <c r="W896" s="92">
        <v>0</v>
      </c>
      <c r="X896" s="92">
        <v>0</v>
      </c>
      <c r="Y896" s="92">
        <v>0</v>
      </c>
      <c r="Z896" s="92">
        <v>0</v>
      </c>
      <c r="AA896" s="92">
        <v>0</v>
      </c>
      <c r="AB896" s="92">
        <v>0</v>
      </c>
      <c r="AC896" s="92">
        <v>2632</v>
      </c>
      <c r="AD896" s="92">
        <v>2632</v>
      </c>
      <c r="AE896" s="92">
        <v>0</v>
      </c>
      <c r="AF896" s="92">
        <v>0</v>
      </c>
      <c r="AG896" s="92">
        <v>0</v>
      </c>
    </row>
    <row r="897" spans="1:35" x14ac:dyDescent="0.25">
      <c r="A897" t="str">
        <f t="shared" si="17"/>
        <v>25-14-54</v>
      </c>
      <c r="B897">
        <v>25</v>
      </c>
      <c r="C897" s="92" t="s">
        <v>1038</v>
      </c>
      <c r="D897" s="92">
        <v>14</v>
      </c>
      <c r="E897" s="92" t="s">
        <v>571</v>
      </c>
      <c r="F897" s="92">
        <v>54</v>
      </c>
      <c r="G897" s="92" t="s">
        <v>866</v>
      </c>
      <c r="H897" s="92"/>
      <c r="I897" s="92">
        <v>0</v>
      </c>
      <c r="J897" s="92">
        <v>7584837</v>
      </c>
      <c r="K897" s="92">
        <v>1</v>
      </c>
      <c r="L897" s="92">
        <v>7939</v>
      </c>
      <c r="M897" s="92">
        <v>4179</v>
      </c>
      <c r="N897" s="92">
        <v>1508</v>
      </c>
      <c r="O897" s="92">
        <v>1508</v>
      </c>
      <c r="P897" s="92">
        <v>0</v>
      </c>
      <c r="Q897" s="92">
        <v>0</v>
      </c>
      <c r="R897" s="92">
        <v>0</v>
      </c>
      <c r="S897" s="92">
        <v>0</v>
      </c>
      <c r="T897" s="92">
        <v>217</v>
      </c>
      <c r="U897" s="92">
        <v>0</v>
      </c>
      <c r="V897" s="92">
        <v>0</v>
      </c>
      <c r="W897" s="92">
        <v>0</v>
      </c>
      <c r="X897" s="92">
        <v>0</v>
      </c>
      <c r="Y897" s="92">
        <v>0</v>
      </c>
      <c r="Z897" s="92">
        <v>0</v>
      </c>
      <c r="AA897" s="92">
        <v>0</v>
      </c>
      <c r="AB897" s="92">
        <v>664630</v>
      </c>
      <c r="AC897" s="92">
        <v>690540</v>
      </c>
      <c r="AD897" s="92">
        <v>718843</v>
      </c>
      <c r="AE897" s="92">
        <v>0</v>
      </c>
      <c r="AF897" s="92">
        <v>0</v>
      </c>
      <c r="AG897" s="92">
        <v>0</v>
      </c>
      <c r="AI897" s="250">
        <v>2.2265499999999999E-4</v>
      </c>
    </row>
    <row r="898" spans="1:35" x14ac:dyDescent="0.25">
      <c r="A898" t="str">
        <f t="shared" si="17"/>
        <v>31-14-54</v>
      </c>
      <c r="B898">
        <v>31</v>
      </c>
      <c r="C898" s="92" t="s">
        <v>1044</v>
      </c>
      <c r="D898" s="92">
        <v>14</v>
      </c>
      <c r="E898" s="92" t="s">
        <v>571</v>
      </c>
      <c r="F898" s="92">
        <v>54</v>
      </c>
      <c r="G898" s="92" t="s">
        <v>866</v>
      </c>
      <c r="H898" s="92"/>
      <c r="I898" s="92">
        <v>0</v>
      </c>
      <c r="J898" s="92">
        <v>12118728</v>
      </c>
      <c r="K898" s="92">
        <v>1</v>
      </c>
      <c r="L898" s="92">
        <v>7939</v>
      </c>
      <c r="M898" s="92">
        <v>4179</v>
      </c>
      <c r="N898" s="92">
        <v>1508</v>
      </c>
      <c r="O898" s="92">
        <v>1508</v>
      </c>
      <c r="P898" s="92">
        <v>0</v>
      </c>
      <c r="Q898" s="92">
        <v>0</v>
      </c>
      <c r="R898" s="92">
        <v>0</v>
      </c>
      <c r="S898" s="92">
        <v>0</v>
      </c>
      <c r="T898" s="92">
        <v>217</v>
      </c>
      <c r="U898" s="92">
        <v>0</v>
      </c>
      <c r="V898" s="92">
        <v>0</v>
      </c>
      <c r="W898" s="92">
        <v>0</v>
      </c>
      <c r="X898" s="92">
        <v>0</v>
      </c>
      <c r="Y898" s="92">
        <v>0</v>
      </c>
      <c r="Z898" s="92">
        <v>0</v>
      </c>
      <c r="AA898" s="92">
        <v>0</v>
      </c>
      <c r="AB898" s="92">
        <v>664630</v>
      </c>
      <c r="AC898" s="92">
        <v>690540</v>
      </c>
      <c r="AD898" s="92">
        <v>718843</v>
      </c>
      <c r="AE898" s="92">
        <v>0</v>
      </c>
      <c r="AF898" s="92">
        <v>0</v>
      </c>
      <c r="AG898" s="92">
        <v>0</v>
      </c>
      <c r="AI898" s="250">
        <v>2.2265499999999999E-4</v>
      </c>
    </row>
    <row r="899" spans="1:35" x14ac:dyDescent="0.25">
      <c r="A899" t="str">
        <f t="shared" si="17"/>
        <v>35-14-54</v>
      </c>
      <c r="B899">
        <v>35</v>
      </c>
      <c r="C899" s="92" t="s">
        <v>1195</v>
      </c>
      <c r="D899" s="92">
        <v>14</v>
      </c>
      <c r="E899" s="92" t="s">
        <v>571</v>
      </c>
      <c r="F899" s="92">
        <v>54</v>
      </c>
      <c r="G899" s="92" t="s">
        <v>866</v>
      </c>
      <c r="H899" s="92"/>
      <c r="I899" s="92">
        <v>0</v>
      </c>
      <c r="J899" s="92">
        <v>52282837</v>
      </c>
      <c r="K899" s="92">
        <v>1</v>
      </c>
      <c r="L899" s="92">
        <v>7939</v>
      </c>
      <c r="M899" s="92">
        <v>4179</v>
      </c>
      <c r="N899" s="92">
        <v>1508</v>
      </c>
      <c r="O899" s="92">
        <v>1508</v>
      </c>
      <c r="P899" s="92">
        <v>0</v>
      </c>
      <c r="Q899" s="92">
        <v>0</v>
      </c>
      <c r="R899" s="92">
        <v>0</v>
      </c>
      <c r="S899" s="92">
        <v>0</v>
      </c>
      <c r="T899" s="92">
        <v>217</v>
      </c>
      <c r="U899" s="92">
        <v>0</v>
      </c>
      <c r="V899" s="92">
        <v>0</v>
      </c>
      <c r="W899" s="92">
        <v>0</v>
      </c>
      <c r="X899" s="92">
        <v>0</v>
      </c>
      <c r="Y899" s="92">
        <v>0</v>
      </c>
      <c r="Z899" s="92">
        <v>0</v>
      </c>
      <c r="AA899" s="92">
        <v>0</v>
      </c>
      <c r="AB899" s="92">
        <v>664630</v>
      </c>
      <c r="AC899" s="92">
        <v>690540</v>
      </c>
      <c r="AD899" s="92">
        <v>718843</v>
      </c>
      <c r="AE899" s="92">
        <v>0</v>
      </c>
      <c r="AF899" s="92">
        <v>0</v>
      </c>
      <c r="AG899" s="92">
        <v>0</v>
      </c>
      <c r="AI899" s="250">
        <v>2.2265499999999999E-4</v>
      </c>
    </row>
    <row r="900" spans="1:35" x14ac:dyDescent="0.25">
      <c r="A900" t="str">
        <f t="shared" si="17"/>
        <v>21-7-124</v>
      </c>
      <c r="B900">
        <v>21</v>
      </c>
      <c r="C900" s="92" t="s">
        <v>1034</v>
      </c>
      <c r="D900" s="92">
        <v>7</v>
      </c>
      <c r="E900" s="92" t="s">
        <v>586</v>
      </c>
      <c r="F900" s="92">
        <v>124</v>
      </c>
      <c r="G900" s="92" t="s">
        <v>325</v>
      </c>
      <c r="H900" s="92"/>
      <c r="I900" s="92">
        <v>1</v>
      </c>
      <c r="J900" s="92">
        <v>22420709</v>
      </c>
      <c r="K900" s="92" t="s">
        <v>1061</v>
      </c>
      <c r="L900" s="92">
        <v>439</v>
      </c>
      <c r="M900" s="92">
        <v>770</v>
      </c>
      <c r="N900" s="92">
        <v>242</v>
      </c>
      <c r="O900" s="92">
        <v>242</v>
      </c>
      <c r="P900" s="92">
        <v>0</v>
      </c>
      <c r="Q900" s="92">
        <v>0</v>
      </c>
      <c r="R900" s="92">
        <v>0</v>
      </c>
      <c r="S900" s="92">
        <v>0</v>
      </c>
      <c r="T900" s="92">
        <v>0</v>
      </c>
      <c r="U900" s="92">
        <v>0</v>
      </c>
      <c r="V900" s="92">
        <v>0</v>
      </c>
      <c r="W900" s="92">
        <v>0</v>
      </c>
      <c r="X900" s="92">
        <v>0</v>
      </c>
      <c r="Y900" s="92">
        <v>0</v>
      </c>
      <c r="Z900" s="92">
        <v>0</v>
      </c>
      <c r="AA900" s="92">
        <v>0</v>
      </c>
      <c r="AB900" s="92">
        <v>58166</v>
      </c>
      <c r="AC900" s="92">
        <v>61358</v>
      </c>
      <c r="AD900" s="92">
        <v>64650</v>
      </c>
      <c r="AE900" s="92">
        <v>0</v>
      </c>
      <c r="AF900" s="92">
        <v>0</v>
      </c>
      <c r="AG900" s="92">
        <v>0</v>
      </c>
    </row>
    <row r="901" spans="1:35" x14ac:dyDescent="0.25">
      <c r="A901" t="str">
        <f t="shared" si="17"/>
        <v>3-4-76</v>
      </c>
      <c r="B901">
        <v>3</v>
      </c>
      <c r="C901" s="92" t="s">
        <v>1018</v>
      </c>
      <c r="D901" s="92">
        <v>4</v>
      </c>
      <c r="E901" s="92" t="s">
        <v>66</v>
      </c>
      <c r="F901" s="92">
        <v>76</v>
      </c>
      <c r="G901" s="92" t="s">
        <v>641</v>
      </c>
      <c r="H901" s="92"/>
      <c r="I901" s="92">
        <v>0</v>
      </c>
      <c r="J901" s="92">
        <v>334784</v>
      </c>
      <c r="K901" s="92">
        <v>1</v>
      </c>
      <c r="L901" s="92">
        <v>12121</v>
      </c>
      <c r="M901" s="92">
        <v>15019</v>
      </c>
      <c r="N901" s="92">
        <v>6008</v>
      </c>
      <c r="O901" s="92">
        <v>6008</v>
      </c>
      <c r="P901" s="92">
        <v>0</v>
      </c>
      <c r="Q901" s="92">
        <v>0</v>
      </c>
      <c r="R901" s="92">
        <v>0</v>
      </c>
      <c r="S901" s="92">
        <v>0</v>
      </c>
      <c r="T901" s="92">
        <v>0</v>
      </c>
      <c r="U901" s="92">
        <v>0</v>
      </c>
      <c r="V901" s="92">
        <v>0</v>
      </c>
      <c r="W901" s="92">
        <v>0</v>
      </c>
      <c r="X901" s="92">
        <v>0</v>
      </c>
      <c r="Y901" s="92">
        <v>0</v>
      </c>
      <c r="Z901" s="92">
        <v>0</v>
      </c>
      <c r="AA901" s="92">
        <v>0</v>
      </c>
      <c r="AB901" s="92">
        <v>76901</v>
      </c>
      <c r="AC901" s="92">
        <v>81429</v>
      </c>
      <c r="AD901" s="92">
        <v>85839</v>
      </c>
      <c r="AE901" s="92">
        <v>0</v>
      </c>
      <c r="AF901" s="92">
        <v>0</v>
      </c>
      <c r="AG901" s="92">
        <v>0</v>
      </c>
    </row>
    <row r="902" spans="1:35" x14ac:dyDescent="0.25">
      <c r="A902" t="str">
        <f t="shared" si="17"/>
        <v>21-4-76</v>
      </c>
      <c r="B902">
        <v>21</v>
      </c>
      <c r="C902" s="92" t="s">
        <v>1034</v>
      </c>
      <c r="D902" s="92">
        <v>4</v>
      </c>
      <c r="E902" s="92" t="s">
        <v>66</v>
      </c>
      <c r="F902" s="92">
        <v>76</v>
      </c>
      <c r="G902" s="92" t="s">
        <v>641</v>
      </c>
      <c r="H902" s="92"/>
      <c r="I902" s="92">
        <v>0</v>
      </c>
      <c r="J902" s="92">
        <v>51772616</v>
      </c>
      <c r="K902" s="92">
        <v>1</v>
      </c>
      <c r="L902" s="92">
        <v>12121</v>
      </c>
      <c r="M902" s="92">
        <v>15019</v>
      </c>
      <c r="N902" s="92">
        <v>6008</v>
      </c>
      <c r="O902" s="92">
        <v>6008</v>
      </c>
      <c r="P902" s="92">
        <v>0</v>
      </c>
      <c r="Q902" s="92">
        <v>0</v>
      </c>
      <c r="R902" s="92">
        <v>0</v>
      </c>
      <c r="S902" s="92">
        <v>0</v>
      </c>
      <c r="T902" s="92">
        <v>0</v>
      </c>
      <c r="U902" s="92">
        <v>0</v>
      </c>
      <c r="V902" s="92">
        <v>0</v>
      </c>
      <c r="W902" s="92">
        <v>0</v>
      </c>
      <c r="X902" s="92">
        <v>0</v>
      </c>
      <c r="Y902" s="92">
        <v>0</v>
      </c>
      <c r="Z902" s="92">
        <v>0</v>
      </c>
      <c r="AA902" s="92">
        <v>0</v>
      </c>
      <c r="AB902" s="92">
        <v>76901</v>
      </c>
      <c r="AC902" s="92">
        <v>81429</v>
      </c>
      <c r="AD902" s="92">
        <v>85839</v>
      </c>
      <c r="AE902" s="92">
        <v>0</v>
      </c>
      <c r="AF902" s="92">
        <v>0</v>
      </c>
      <c r="AG902" s="92">
        <v>0</v>
      </c>
    </row>
    <row r="903" spans="1:35" x14ac:dyDescent="0.25">
      <c r="A903" t="str">
        <f t="shared" si="17"/>
        <v>9-14-62</v>
      </c>
      <c r="B903">
        <v>9</v>
      </c>
      <c r="C903" s="92" t="s">
        <v>1022</v>
      </c>
      <c r="D903" s="92">
        <v>14</v>
      </c>
      <c r="E903" s="92" t="s">
        <v>571</v>
      </c>
      <c r="F903" s="92">
        <v>62</v>
      </c>
      <c r="G903" s="92" t="s">
        <v>190</v>
      </c>
      <c r="H903" s="92"/>
      <c r="I903" s="92">
        <v>0</v>
      </c>
      <c r="J903" s="92">
        <v>128516</v>
      </c>
      <c r="K903" s="92" t="s">
        <v>1061</v>
      </c>
      <c r="L903" s="92">
        <v>31</v>
      </c>
      <c r="M903" s="92">
        <v>344</v>
      </c>
      <c r="N903" s="92">
        <v>54</v>
      </c>
      <c r="O903" s="92">
        <v>54</v>
      </c>
      <c r="P903" s="92">
        <v>0</v>
      </c>
      <c r="Q903" s="92">
        <v>0</v>
      </c>
      <c r="R903" s="92">
        <v>0</v>
      </c>
      <c r="S903" s="92">
        <v>0</v>
      </c>
      <c r="T903" s="92">
        <v>0</v>
      </c>
      <c r="U903" s="92">
        <v>0</v>
      </c>
      <c r="V903" s="92">
        <v>0</v>
      </c>
      <c r="W903" s="92">
        <v>0</v>
      </c>
      <c r="X903" s="92">
        <v>0</v>
      </c>
      <c r="Y903" s="92">
        <v>0</v>
      </c>
      <c r="Z903" s="92">
        <v>0</v>
      </c>
      <c r="AA903" s="92">
        <v>0</v>
      </c>
      <c r="AB903" s="92">
        <v>213302</v>
      </c>
      <c r="AC903" s="92">
        <v>222100</v>
      </c>
      <c r="AD903" s="92">
        <v>232401</v>
      </c>
      <c r="AE903" s="92">
        <v>0</v>
      </c>
      <c r="AF903" s="92">
        <v>0</v>
      </c>
      <c r="AG903" s="92">
        <v>0</v>
      </c>
      <c r="AI903" s="250">
        <v>9.9745000000000001E-5</v>
      </c>
    </row>
    <row r="904" spans="1:35" x14ac:dyDescent="0.25">
      <c r="A904" t="str">
        <f t="shared" si="17"/>
        <v>16-9-76</v>
      </c>
      <c r="B904">
        <v>16</v>
      </c>
      <c r="C904" s="92" t="s">
        <v>1029</v>
      </c>
      <c r="D904" s="92">
        <v>9</v>
      </c>
      <c r="E904" s="92" t="s">
        <v>588</v>
      </c>
      <c r="F904" s="92">
        <v>76</v>
      </c>
      <c r="G904" s="92" t="s">
        <v>774</v>
      </c>
      <c r="H904" s="92"/>
      <c r="I904" s="92">
        <v>0</v>
      </c>
      <c r="J904" s="92">
        <v>0</v>
      </c>
      <c r="K904" s="92" t="s">
        <v>1061</v>
      </c>
      <c r="L904" s="92">
        <v>7512</v>
      </c>
      <c r="M904" s="92">
        <v>215</v>
      </c>
      <c r="N904" s="92">
        <v>89</v>
      </c>
      <c r="O904" s="92">
        <v>90</v>
      </c>
      <c r="P904" s="92">
        <v>0</v>
      </c>
      <c r="Q904" s="92">
        <v>0</v>
      </c>
      <c r="R904" s="92">
        <v>0</v>
      </c>
      <c r="S904" s="92">
        <v>0</v>
      </c>
      <c r="T904" s="92">
        <v>0</v>
      </c>
      <c r="U904" s="92">
        <v>0</v>
      </c>
      <c r="V904" s="92">
        <v>0</v>
      </c>
      <c r="W904" s="92">
        <v>0</v>
      </c>
      <c r="X904" s="92">
        <v>0</v>
      </c>
      <c r="Y904" s="92">
        <v>0</v>
      </c>
      <c r="Z904" s="92">
        <v>0</v>
      </c>
      <c r="AA904" s="92">
        <v>0</v>
      </c>
      <c r="AB904" s="92">
        <v>30502</v>
      </c>
      <c r="AC904" s="92">
        <v>32071</v>
      </c>
      <c r="AD904" s="92">
        <v>33360</v>
      </c>
      <c r="AE904" s="92">
        <v>0</v>
      </c>
      <c r="AF904" s="92">
        <v>0</v>
      </c>
      <c r="AG904" s="92">
        <v>0</v>
      </c>
      <c r="AI904" s="250">
        <v>9.2848000000000003E-5</v>
      </c>
    </row>
    <row r="905" spans="1:35" x14ac:dyDescent="0.25">
      <c r="A905" t="str">
        <f t="shared" si="17"/>
        <v>16-10-17</v>
      </c>
      <c r="B905">
        <v>16</v>
      </c>
      <c r="C905" s="92" t="s">
        <v>1029</v>
      </c>
      <c r="D905" s="92">
        <v>10</v>
      </c>
      <c r="E905" s="92" t="s">
        <v>589</v>
      </c>
      <c r="F905" s="92">
        <v>17</v>
      </c>
      <c r="G905" s="92" t="s">
        <v>275</v>
      </c>
      <c r="H905" s="92"/>
      <c r="I905" s="92">
        <v>0</v>
      </c>
      <c r="J905" s="92">
        <v>0</v>
      </c>
      <c r="K905" s="92" t="s">
        <v>1061</v>
      </c>
      <c r="L905" s="92">
        <v>0</v>
      </c>
      <c r="M905" s="92">
        <v>0</v>
      </c>
      <c r="N905" s="92">
        <v>0</v>
      </c>
      <c r="O905" s="92">
        <v>0</v>
      </c>
      <c r="P905" s="92">
        <v>0</v>
      </c>
      <c r="Q905" s="92">
        <v>0</v>
      </c>
      <c r="R905" s="92">
        <v>0</v>
      </c>
      <c r="S905" s="92">
        <v>0</v>
      </c>
      <c r="T905" s="92">
        <v>0</v>
      </c>
      <c r="U905" s="92">
        <v>0</v>
      </c>
      <c r="V905" s="92">
        <v>0</v>
      </c>
      <c r="W905" s="92">
        <v>0</v>
      </c>
      <c r="X905" s="92">
        <v>0</v>
      </c>
      <c r="Y905" s="92">
        <v>0</v>
      </c>
      <c r="Z905" s="92">
        <v>0</v>
      </c>
      <c r="AA905" s="92">
        <v>0</v>
      </c>
      <c r="AB905" s="92">
        <v>65800</v>
      </c>
      <c r="AC905" s="92">
        <v>68429</v>
      </c>
      <c r="AD905" s="92">
        <v>70628</v>
      </c>
      <c r="AE905" s="92">
        <v>0</v>
      </c>
      <c r="AF905" s="92">
        <v>0</v>
      </c>
      <c r="AG905" s="92">
        <v>0</v>
      </c>
    </row>
    <row r="906" spans="1:35" x14ac:dyDescent="0.25">
      <c r="A906" t="str">
        <f t="shared" si="17"/>
        <v>16-11-52</v>
      </c>
      <c r="B906">
        <v>16</v>
      </c>
      <c r="C906" s="92" t="s">
        <v>1029</v>
      </c>
      <c r="D906" s="92">
        <v>11</v>
      </c>
      <c r="E906" s="92" t="s">
        <v>1062</v>
      </c>
      <c r="F906" s="92">
        <v>52</v>
      </c>
      <c r="G906" s="92" t="s">
        <v>782</v>
      </c>
      <c r="H906" s="92"/>
      <c r="I906" s="92">
        <v>2905</v>
      </c>
      <c r="J906" s="92">
        <v>18335140</v>
      </c>
      <c r="K906" s="92" t="s">
        <v>1061</v>
      </c>
      <c r="L906" s="92">
        <v>22784</v>
      </c>
      <c r="M906" s="92">
        <v>3207</v>
      </c>
      <c r="N906" s="92">
        <v>1605</v>
      </c>
      <c r="O906" s="92">
        <v>1602</v>
      </c>
      <c r="P906" s="92">
        <v>0</v>
      </c>
      <c r="Q906" s="92">
        <v>0</v>
      </c>
      <c r="R906" s="92">
        <v>0</v>
      </c>
      <c r="S906" s="92">
        <v>0</v>
      </c>
      <c r="T906" s="92">
        <v>0</v>
      </c>
      <c r="U906" s="92">
        <v>0</v>
      </c>
      <c r="V906" s="92">
        <v>0</v>
      </c>
      <c r="W906" s="92">
        <v>0</v>
      </c>
      <c r="X906" s="92">
        <v>0</v>
      </c>
      <c r="Y906" s="92">
        <v>0</v>
      </c>
      <c r="Z906" s="92">
        <v>0</v>
      </c>
      <c r="AA906" s="92">
        <v>0</v>
      </c>
      <c r="AB906" s="92">
        <v>375443</v>
      </c>
      <c r="AC906" s="92">
        <v>391304</v>
      </c>
      <c r="AD906" s="92">
        <v>403874</v>
      </c>
      <c r="AE906" s="92">
        <v>0</v>
      </c>
      <c r="AF906" s="92">
        <v>0</v>
      </c>
      <c r="AG906" s="92">
        <v>0</v>
      </c>
    </row>
    <row r="907" spans="1:35" x14ac:dyDescent="0.25">
      <c r="A907" t="str">
        <f t="shared" si="17"/>
        <v>31-7-125</v>
      </c>
      <c r="B907">
        <v>31</v>
      </c>
      <c r="C907" s="92" t="s">
        <v>1044</v>
      </c>
      <c r="D907" s="92">
        <v>7</v>
      </c>
      <c r="E907" s="92" t="s">
        <v>586</v>
      </c>
      <c r="F907" s="92">
        <v>125</v>
      </c>
      <c r="G907" s="92" t="s">
        <v>463</v>
      </c>
      <c r="H907" s="92"/>
      <c r="I907" s="92">
        <v>102</v>
      </c>
      <c r="J907" s="92">
        <v>882084</v>
      </c>
      <c r="K907" s="92">
        <v>1</v>
      </c>
      <c r="L907" s="92">
        <v>86</v>
      </c>
      <c r="M907" s="92">
        <v>2</v>
      </c>
      <c r="N907" s="92">
        <v>1</v>
      </c>
      <c r="O907" s="92">
        <v>1</v>
      </c>
      <c r="P907" s="92">
        <v>0</v>
      </c>
      <c r="Q907" s="92">
        <v>0</v>
      </c>
      <c r="R907" s="92">
        <v>0</v>
      </c>
      <c r="S907" s="92">
        <v>0</v>
      </c>
      <c r="T907" s="92">
        <v>0</v>
      </c>
      <c r="U907" s="92">
        <v>0</v>
      </c>
      <c r="V907" s="92">
        <v>0</v>
      </c>
      <c r="W907" s="92">
        <v>0</v>
      </c>
      <c r="X907" s="92">
        <v>0</v>
      </c>
      <c r="Y907" s="92">
        <v>0</v>
      </c>
      <c r="Z907" s="92">
        <v>0</v>
      </c>
      <c r="AA907" s="92">
        <v>0</v>
      </c>
      <c r="AB907" s="92">
        <v>2137</v>
      </c>
      <c r="AC907" s="92">
        <v>2211</v>
      </c>
      <c r="AD907" s="92">
        <v>2302</v>
      </c>
      <c r="AE907" s="92">
        <v>0</v>
      </c>
      <c r="AF907" s="92">
        <v>0</v>
      </c>
      <c r="AG907" s="92">
        <v>0</v>
      </c>
    </row>
    <row r="908" spans="1:35" x14ac:dyDescent="0.25">
      <c r="A908" t="str">
        <f t="shared" si="17"/>
        <v>35-7-125</v>
      </c>
      <c r="B908">
        <v>35</v>
      </c>
      <c r="C908" s="92" t="s">
        <v>1195</v>
      </c>
      <c r="D908" s="92">
        <v>7</v>
      </c>
      <c r="E908" s="92" t="s">
        <v>586</v>
      </c>
      <c r="F908" s="92">
        <v>125</v>
      </c>
      <c r="G908" s="92" t="s">
        <v>463</v>
      </c>
      <c r="H908" s="92"/>
      <c r="I908" s="92">
        <v>102</v>
      </c>
      <c r="J908" s="92">
        <v>416236</v>
      </c>
      <c r="K908" s="92">
        <v>1</v>
      </c>
      <c r="L908" s="92">
        <v>86</v>
      </c>
      <c r="M908" s="92">
        <v>2</v>
      </c>
      <c r="N908" s="92">
        <v>1</v>
      </c>
      <c r="O908" s="92">
        <v>1</v>
      </c>
      <c r="P908" s="92">
        <v>0</v>
      </c>
      <c r="Q908" s="92">
        <v>0</v>
      </c>
      <c r="R908" s="92">
        <v>0</v>
      </c>
      <c r="S908" s="92">
        <v>0</v>
      </c>
      <c r="T908" s="92">
        <v>0</v>
      </c>
      <c r="U908" s="92">
        <v>0</v>
      </c>
      <c r="V908" s="92">
        <v>0</v>
      </c>
      <c r="W908" s="92">
        <v>0</v>
      </c>
      <c r="X908" s="92">
        <v>0</v>
      </c>
      <c r="Y908" s="92">
        <v>0</v>
      </c>
      <c r="Z908" s="92">
        <v>0</v>
      </c>
      <c r="AA908" s="92">
        <v>0</v>
      </c>
      <c r="AB908" s="92">
        <v>2137</v>
      </c>
      <c r="AC908" s="92">
        <v>2211</v>
      </c>
      <c r="AD908" s="92">
        <v>2302</v>
      </c>
      <c r="AE908" s="92">
        <v>0</v>
      </c>
      <c r="AF908" s="92">
        <v>0</v>
      </c>
      <c r="AG908" s="92">
        <v>0</v>
      </c>
    </row>
    <row r="909" spans="1:35" x14ac:dyDescent="0.25">
      <c r="A909" t="str">
        <f t="shared" si="17"/>
        <v>31-6-2</v>
      </c>
      <c r="B909">
        <v>31</v>
      </c>
      <c r="C909" s="92" t="s">
        <v>1044</v>
      </c>
      <c r="D909" s="92">
        <v>6</v>
      </c>
      <c r="E909" s="92" t="s">
        <v>592</v>
      </c>
      <c r="F909" s="92">
        <v>2</v>
      </c>
      <c r="G909" s="92" t="s">
        <v>923</v>
      </c>
      <c r="H909" s="92"/>
      <c r="I909" s="92">
        <v>0</v>
      </c>
      <c r="J909" s="92">
        <v>761674</v>
      </c>
      <c r="K909" s="92">
        <v>1</v>
      </c>
      <c r="L909" s="92">
        <v>676</v>
      </c>
      <c r="M909" s="92">
        <v>27</v>
      </c>
      <c r="N909" s="92">
        <v>32</v>
      </c>
      <c r="O909" s="92">
        <v>32</v>
      </c>
      <c r="P909" s="92">
        <v>0</v>
      </c>
      <c r="Q909" s="92">
        <v>0</v>
      </c>
      <c r="R909" s="92">
        <v>0</v>
      </c>
      <c r="S909" s="92">
        <v>0</v>
      </c>
      <c r="T909" s="92">
        <v>368</v>
      </c>
      <c r="U909" s="92">
        <v>0</v>
      </c>
      <c r="V909" s="92">
        <v>0</v>
      </c>
      <c r="W909" s="92">
        <v>0</v>
      </c>
      <c r="X909" s="92">
        <v>0</v>
      </c>
      <c r="Y909" s="92">
        <v>0</v>
      </c>
      <c r="Z909" s="92">
        <v>0</v>
      </c>
      <c r="AA909" s="92">
        <v>0</v>
      </c>
      <c r="AB909" s="92">
        <v>15441</v>
      </c>
      <c r="AC909" s="92">
        <v>15589</v>
      </c>
      <c r="AD909" s="92">
        <v>16731</v>
      </c>
      <c r="AE909" s="92">
        <v>0</v>
      </c>
      <c r="AF909" s="92">
        <v>0</v>
      </c>
      <c r="AG909" s="92">
        <v>0</v>
      </c>
    </row>
    <row r="910" spans="1:35" x14ac:dyDescent="0.25">
      <c r="A910" t="str">
        <f t="shared" si="17"/>
        <v>35-6-2</v>
      </c>
      <c r="B910">
        <v>35</v>
      </c>
      <c r="C910" s="92" t="s">
        <v>1195</v>
      </c>
      <c r="D910" s="92">
        <v>6</v>
      </c>
      <c r="E910" s="92" t="s">
        <v>592</v>
      </c>
      <c r="F910" s="92">
        <v>2</v>
      </c>
      <c r="G910" s="92" t="s">
        <v>923</v>
      </c>
      <c r="H910" s="92"/>
      <c r="I910" s="92">
        <v>0</v>
      </c>
      <c r="J910" s="92">
        <v>330179</v>
      </c>
      <c r="K910" s="92">
        <v>1</v>
      </c>
      <c r="L910" s="92">
        <v>676</v>
      </c>
      <c r="M910" s="92">
        <v>27</v>
      </c>
      <c r="N910" s="92">
        <v>32</v>
      </c>
      <c r="O910" s="92">
        <v>32</v>
      </c>
      <c r="P910" s="92">
        <v>0</v>
      </c>
      <c r="Q910" s="92">
        <v>0</v>
      </c>
      <c r="R910" s="92">
        <v>0</v>
      </c>
      <c r="S910" s="92">
        <v>0</v>
      </c>
      <c r="T910" s="92">
        <v>368</v>
      </c>
      <c r="U910" s="92">
        <v>0</v>
      </c>
      <c r="V910" s="92">
        <v>0</v>
      </c>
      <c r="W910" s="92">
        <v>0</v>
      </c>
      <c r="X910" s="92">
        <v>0</v>
      </c>
      <c r="Y910" s="92">
        <v>0</v>
      </c>
      <c r="Z910" s="92">
        <v>0</v>
      </c>
      <c r="AA910" s="92">
        <v>0</v>
      </c>
      <c r="AB910" s="92">
        <v>15441</v>
      </c>
      <c r="AC910" s="92">
        <v>15589</v>
      </c>
      <c r="AD910" s="92">
        <v>16731</v>
      </c>
      <c r="AE910" s="92">
        <v>0</v>
      </c>
      <c r="AF910" s="92">
        <v>0</v>
      </c>
      <c r="AG910" s="92">
        <v>0</v>
      </c>
    </row>
    <row r="911" spans="1:35" x14ac:dyDescent="0.25">
      <c r="A911" t="str">
        <f t="shared" si="17"/>
        <v>33-7-127</v>
      </c>
      <c r="B911">
        <v>33</v>
      </c>
      <c r="C911" s="92" t="s">
        <v>1046</v>
      </c>
      <c r="D911" s="92">
        <v>7</v>
      </c>
      <c r="E911" s="92" t="s">
        <v>586</v>
      </c>
      <c r="F911" s="92">
        <v>127</v>
      </c>
      <c r="G911" s="92" t="s">
        <v>483</v>
      </c>
      <c r="H911" s="92"/>
      <c r="I911" s="92">
        <v>25818</v>
      </c>
      <c r="J911" s="92">
        <v>15768706</v>
      </c>
      <c r="K911" s="92" t="s">
        <v>1061</v>
      </c>
      <c r="L911" s="92">
        <v>140</v>
      </c>
      <c r="M911" s="92">
        <v>833</v>
      </c>
      <c r="N911" s="92">
        <v>227</v>
      </c>
      <c r="O911" s="92">
        <v>227</v>
      </c>
      <c r="P911" s="92">
        <v>0</v>
      </c>
      <c r="Q911" s="92">
        <v>0</v>
      </c>
      <c r="R911" s="92">
        <v>0</v>
      </c>
      <c r="S911" s="92">
        <v>0</v>
      </c>
      <c r="T911" s="92">
        <v>0</v>
      </c>
      <c r="U911" s="92">
        <v>0</v>
      </c>
      <c r="V911" s="92">
        <v>0</v>
      </c>
      <c r="W911" s="92">
        <v>0</v>
      </c>
      <c r="X911" s="92">
        <v>0</v>
      </c>
      <c r="Y911" s="92">
        <v>0</v>
      </c>
      <c r="Z911" s="92">
        <v>0</v>
      </c>
      <c r="AA911" s="92">
        <v>0</v>
      </c>
      <c r="AB911" s="92">
        <v>72575</v>
      </c>
      <c r="AC911" s="92">
        <v>72575</v>
      </c>
      <c r="AD911" s="92">
        <v>72575</v>
      </c>
      <c r="AE911" s="92">
        <v>0</v>
      </c>
      <c r="AF911" s="92">
        <v>0</v>
      </c>
      <c r="AG911" s="92">
        <v>0</v>
      </c>
    </row>
    <row r="912" spans="1:35" x14ac:dyDescent="0.25">
      <c r="A912" t="str">
        <f t="shared" si="17"/>
        <v>32-7-128</v>
      </c>
      <c r="B912">
        <v>32</v>
      </c>
      <c r="C912" s="92" t="s">
        <v>1045</v>
      </c>
      <c r="D912" s="92">
        <v>7</v>
      </c>
      <c r="E912" s="92" t="s">
        <v>586</v>
      </c>
      <c r="F912" s="92">
        <v>128</v>
      </c>
      <c r="G912" s="92" t="s">
        <v>471</v>
      </c>
      <c r="H912" s="92"/>
      <c r="I912" s="92">
        <v>0</v>
      </c>
      <c r="J912" s="92">
        <v>3363540</v>
      </c>
      <c r="K912" s="92" t="s">
        <v>1061</v>
      </c>
      <c r="L912" s="92">
        <v>327</v>
      </c>
      <c r="M912" s="92">
        <v>98</v>
      </c>
      <c r="N912" s="92">
        <v>19</v>
      </c>
      <c r="O912" s="92">
        <v>19</v>
      </c>
      <c r="P912" s="92">
        <v>0</v>
      </c>
      <c r="Q912" s="92">
        <v>0</v>
      </c>
      <c r="R912" s="92">
        <v>0</v>
      </c>
      <c r="S912" s="92">
        <v>0</v>
      </c>
      <c r="T912" s="92">
        <v>6</v>
      </c>
      <c r="U912" s="92">
        <v>0</v>
      </c>
      <c r="V912" s="92">
        <v>0</v>
      </c>
      <c r="W912" s="92">
        <v>0</v>
      </c>
      <c r="X912" s="92">
        <v>0</v>
      </c>
      <c r="Y912" s="92">
        <v>0</v>
      </c>
      <c r="Z912" s="92">
        <v>0</v>
      </c>
      <c r="AA912" s="92">
        <v>0</v>
      </c>
      <c r="AB912" s="92">
        <v>12045</v>
      </c>
      <c r="AC912" s="92">
        <v>12558</v>
      </c>
      <c r="AD912" s="92">
        <v>13038</v>
      </c>
      <c r="AE912" s="92">
        <v>0</v>
      </c>
      <c r="AF912" s="92">
        <v>0</v>
      </c>
      <c r="AG912" s="92">
        <v>0</v>
      </c>
    </row>
    <row r="913" spans="1:35" x14ac:dyDescent="0.25">
      <c r="A913" t="str">
        <f t="shared" si="17"/>
        <v>32-9-142</v>
      </c>
      <c r="B913">
        <v>32</v>
      </c>
      <c r="C913" s="92" t="s">
        <v>1045</v>
      </c>
      <c r="D913" s="92">
        <v>9</v>
      </c>
      <c r="E913" s="92" t="s">
        <v>588</v>
      </c>
      <c r="F913" s="92">
        <v>142</v>
      </c>
      <c r="G913" s="92" t="s">
        <v>935</v>
      </c>
      <c r="H913" s="92"/>
      <c r="I913" s="92">
        <v>0</v>
      </c>
      <c r="J913" s="92">
        <v>0</v>
      </c>
      <c r="K913" s="92" t="s">
        <v>1061</v>
      </c>
      <c r="L913" s="92">
        <v>648</v>
      </c>
      <c r="M913" s="92">
        <v>183</v>
      </c>
      <c r="N913" s="92">
        <v>39</v>
      </c>
      <c r="O913" s="92">
        <v>39</v>
      </c>
      <c r="P913" s="92">
        <v>0</v>
      </c>
      <c r="Q913" s="92">
        <v>0</v>
      </c>
      <c r="R913" s="92">
        <v>0</v>
      </c>
      <c r="S913" s="92">
        <v>0</v>
      </c>
      <c r="T913" s="92">
        <v>14</v>
      </c>
      <c r="U913" s="92">
        <v>1</v>
      </c>
      <c r="V913" s="92">
        <v>0</v>
      </c>
      <c r="W913" s="92">
        <v>0</v>
      </c>
      <c r="X913" s="92">
        <v>0</v>
      </c>
      <c r="Y913" s="92">
        <v>0</v>
      </c>
      <c r="Z913" s="92">
        <v>0</v>
      </c>
      <c r="AA913" s="92">
        <v>0</v>
      </c>
      <c r="AB913" s="92">
        <v>25058</v>
      </c>
      <c r="AC913" s="92">
        <v>26133</v>
      </c>
      <c r="AD913" s="92">
        <v>27140</v>
      </c>
      <c r="AE913" s="92">
        <v>0</v>
      </c>
      <c r="AF913" s="92">
        <v>0</v>
      </c>
      <c r="AG913" s="92">
        <v>0</v>
      </c>
      <c r="AI913" s="250">
        <v>2.2363099999999999E-4</v>
      </c>
    </row>
    <row r="914" spans="1:35" x14ac:dyDescent="0.25">
      <c r="A914" t="str">
        <f t="shared" si="17"/>
        <v>32-11-54</v>
      </c>
      <c r="B914">
        <v>32</v>
      </c>
      <c r="C914" s="92" t="s">
        <v>1045</v>
      </c>
      <c r="D914" s="92">
        <v>11</v>
      </c>
      <c r="E914" s="92" t="s">
        <v>1062</v>
      </c>
      <c r="F914" s="92">
        <v>54</v>
      </c>
      <c r="G914" s="92" t="s">
        <v>474</v>
      </c>
      <c r="H914" s="92"/>
      <c r="I914" s="92">
        <v>2669</v>
      </c>
      <c r="J914" s="92">
        <v>3457598</v>
      </c>
      <c r="K914" s="92" t="s">
        <v>1061</v>
      </c>
      <c r="L914" s="92">
        <v>2694</v>
      </c>
      <c r="M914" s="92">
        <v>602</v>
      </c>
      <c r="N914" s="92">
        <v>162</v>
      </c>
      <c r="O914" s="92">
        <v>162</v>
      </c>
      <c r="P914" s="92">
        <v>0</v>
      </c>
      <c r="Q914" s="92">
        <v>0</v>
      </c>
      <c r="R914" s="92">
        <v>0</v>
      </c>
      <c r="S914" s="92">
        <v>0</v>
      </c>
      <c r="T914" s="92">
        <v>54</v>
      </c>
      <c r="U914" s="92">
        <v>2</v>
      </c>
      <c r="V914" s="92">
        <v>0</v>
      </c>
      <c r="W914" s="92">
        <v>0</v>
      </c>
      <c r="X914" s="92">
        <v>0</v>
      </c>
      <c r="Y914" s="92">
        <v>0</v>
      </c>
      <c r="Z914" s="92">
        <v>0</v>
      </c>
      <c r="AA914" s="92">
        <v>0</v>
      </c>
      <c r="AB914" s="92">
        <v>100000</v>
      </c>
      <c r="AC914" s="92">
        <v>104245</v>
      </c>
      <c r="AD914" s="92">
        <v>106054</v>
      </c>
      <c r="AE914" s="92">
        <v>0</v>
      </c>
      <c r="AF914" s="92">
        <v>0</v>
      </c>
      <c r="AG914" s="92">
        <v>0</v>
      </c>
    </row>
    <row r="915" spans="1:35" x14ac:dyDescent="0.25">
      <c r="A915" t="str">
        <f t="shared" si="17"/>
        <v>32-14-36</v>
      </c>
      <c r="B915">
        <v>32</v>
      </c>
      <c r="C915" s="92" t="s">
        <v>1045</v>
      </c>
      <c r="D915" s="92">
        <v>14</v>
      </c>
      <c r="E915" s="92" t="s">
        <v>571</v>
      </c>
      <c r="F915" s="92">
        <v>36</v>
      </c>
      <c r="G915" s="92" t="s">
        <v>476</v>
      </c>
      <c r="H915" s="92"/>
      <c r="I915" s="92">
        <v>448</v>
      </c>
      <c r="J915" s="92">
        <v>2388291</v>
      </c>
      <c r="K915" s="92" t="s">
        <v>1061</v>
      </c>
      <c r="L915" s="92">
        <v>360</v>
      </c>
      <c r="M915" s="92">
        <v>228</v>
      </c>
      <c r="N915" s="92">
        <v>46</v>
      </c>
      <c r="O915" s="92">
        <v>46</v>
      </c>
      <c r="P915" s="92">
        <v>0</v>
      </c>
      <c r="Q915" s="92">
        <v>0</v>
      </c>
      <c r="R915" s="92">
        <v>0</v>
      </c>
      <c r="S915" s="92">
        <v>0</v>
      </c>
      <c r="T915" s="92">
        <v>16</v>
      </c>
      <c r="U915" s="92">
        <v>1</v>
      </c>
      <c r="V915" s="92">
        <v>0</v>
      </c>
      <c r="W915" s="92">
        <v>0</v>
      </c>
      <c r="X915" s="92">
        <v>0</v>
      </c>
      <c r="Y915" s="92">
        <v>0</v>
      </c>
      <c r="Z915" s="92">
        <v>0</v>
      </c>
      <c r="AA915" s="92">
        <v>0</v>
      </c>
      <c r="AB915" s="92">
        <v>28269</v>
      </c>
      <c r="AC915" s="92">
        <v>28381</v>
      </c>
      <c r="AD915" s="92">
        <v>29012</v>
      </c>
      <c r="AE915" s="92">
        <v>0</v>
      </c>
      <c r="AF915" s="92">
        <v>0</v>
      </c>
      <c r="AG915" s="92">
        <v>0</v>
      </c>
      <c r="AI915" s="250">
        <v>2.3444199999999999E-4</v>
      </c>
    </row>
    <row r="916" spans="1:35" x14ac:dyDescent="0.25">
      <c r="A916" t="str">
        <f t="shared" si="17"/>
        <v>32-4-131</v>
      </c>
      <c r="B916">
        <v>32</v>
      </c>
      <c r="C916" s="92" t="s">
        <v>1045</v>
      </c>
      <c r="D916" s="92">
        <v>4</v>
      </c>
      <c r="E916" s="92" t="s">
        <v>66</v>
      </c>
      <c r="F916" s="92">
        <v>131</v>
      </c>
      <c r="G916" s="92" t="s">
        <v>932</v>
      </c>
      <c r="H916" s="92"/>
      <c r="I916" s="92">
        <v>0</v>
      </c>
      <c r="J916" s="92">
        <v>13038060</v>
      </c>
      <c r="K916" s="92" t="s">
        <v>1061</v>
      </c>
      <c r="L916" s="92">
        <v>601</v>
      </c>
      <c r="M916" s="92">
        <v>4640</v>
      </c>
      <c r="N916" s="92">
        <v>1382</v>
      </c>
      <c r="O916" s="92">
        <v>1382</v>
      </c>
      <c r="P916" s="92">
        <v>0</v>
      </c>
      <c r="Q916" s="92">
        <v>0</v>
      </c>
      <c r="R916" s="92">
        <v>0</v>
      </c>
      <c r="S916" s="92">
        <v>0</v>
      </c>
      <c r="T916" s="92">
        <v>153</v>
      </c>
      <c r="U916" s="92">
        <v>4</v>
      </c>
      <c r="V916" s="92">
        <v>0</v>
      </c>
      <c r="W916" s="92">
        <v>0</v>
      </c>
      <c r="X916" s="92">
        <v>0</v>
      </c>
      <c r="Y916" s="92">
        <v>0</v>
      </c>
      <c r="Z916" s="92">
        <v>0</v>
      </c>
      <c r="AA916" s="92">
        <v>0</v>
      </c>
      <c r="AB916" s="92">
        <v>12800</v>
      </c>
      <c r="AC916" s="92">
        <v>13736</v>
      </c>
      <c r="AD916" s="92">
        <v>14290</v>
      </c>
      <c r="AE916" s="92">
        <v>0</v>
      </c>
      <c r="AF916" s="92">
        <v>0</v>
      </c>
      <c r="AG916" s="92">
        <v>0</v>
      </c>
    </row>
    <row r="917" spans="1:35" x14ac:dyDescent="0.25">
      <c r="A917" t="str">
        <f t="shared" si="17"/>
        <v>25-7-129</v>
      </c>
      <c r="B917">
        <v>25</v>
      </c>
      <c r="C917" s="92" t="s">
        <v>1038</v>
      </c>
      <c r="D917" s="92">
        <v>7</v>
      </c>
      <c r="E917" s="92" t="s">
        <v>586</v>
      </c>
      <c r="F917" s="92">
        <v>129</v>
      </c>
      <c r="G917" s="92" t="s">
        <v>375</v>
      </c>
      <c r="H917" s="92"/>
      <c r="I917" s="92">
        <v>801</v>
      </c>
      <c r="J917" s="92">
        <v>4948204</v>
      </c>
      <c r="K917" s="92" t="s">
        <v>1061</v>
      </c>
      <c r="L917" s="92">
        <v>28</v>
      </c>
      <c r="M917" s="92">
        <v>172</v>
      </c>
      <c r="N917" s="92">
        <v>8</v>
      </c>
      <c r="O917" s="92">
        <v>8</v>
      </c>
      <c r="P917" s="92">
        <v>0</v>
      </c>
      <c r="Q917" s="92">
        <v>0</v>
      </c>
      <c r="R917" s="92">
        <v>0</v>
      </c>
      <c r="S917" s="92">
        <v>0</v>
      </c>
      <c r="T917" s="92">
        <v>0</v>
      </c>
      <c r="U917" s="92">
        <v>0</v>
      </c>
      <c r="V917" s="92">
        <v>0</v>
      </c>
      <c r="W917" s="92">
        <v>0</v>
      </c>
      <c r="X917" s="92">
        <v>0</v>
      </c>
      <c r="Y917" s="92">
        <v>0</v>
      </c>
      <c r="Z917" s="92">
        <v>0</v>
      </c>
      <c r="AA917" s="92">
        <v>0</v>
      </c>
      <c r="AB917" s="92">
        <v>10968</v>
      </c>
      <c r="AC917" s="92">
        <v>11421</v>
      </c>
      <c r="AD917" s="92">
        <v>11958</v>
      </c>
      <c r="AE917" s="92">
        <v>0</v>
      </c>
      <c r="AF917" s="92">
        <v>0</v>
      </c>
      <c r="AG917" s="92">
        <v>0</v>
      </c>
    </row>
    <row r="918" spans="1:35" x14ac:dyDescent="0.25">
      <c r="A918" t="str">
        <f t="shared" si="17"/>
        <v>10-4-98</v>
      </c>
      <c r="B918">
        <v>10</v>
      </c>
      <c r="C918" s="92" t="s">
        <v>1023</v>
      </c>
      <c r="D918" s="92">
        <v>4</v>
      </c>
      <c r="E918" s="92" t="s">
        <v>66</v>
      </c>
      <c r="F918" s="92">
        <v>98</v>
      </c>
      <c r="G918" s="92" t="s">
        <v>727</v>
      </c>
      <c r="H918" s="92"/>
      <c r="I918" s="92">
        <v>0</v>
      </c>
      <c r="J918" s="92">
        <v>4579240</v>
      </c>
      <c r="K918" s="92">
        <v>1</v>
      </c>
      <c r="L918" s="92">
        <v>20824</v>
      </c>
      <c r="M918" s="92">
        <v>9751</v>
      </c>
      <c r="N918" s="92">
        <v>758</v>
      </c>
      <c r="O918" s="92">
        <v>758</v>
      </c>
      <c r="P918" s="92">
        <v>0</v>
      </c>
      <c r="Q918" s="92">
        <v>0</v>
      </c>
      <c r="R918" s="92">
        <v>0</v>
      </c>
      <c r="S918" s="92">
        <v>0</v>
      </c>
      <c r="T918" s="92">
        <v>0</v>
      </c>
      <c r="U918" s="92">
        <v>0</v>
      </c>
      <c r="V918" s="92">
        <v>0</v>
      </c>
      <c r="W918" s="92">
        <v>0</v>
      </c>
      <c r="X918" s="92">
        <v>0</v>
      </c>
      <c r="Y918" s="92">
        <v>0</v>
      </c>
      <c r="Z918" s="92">
        <v>0</v>
      </c>
      <c r="AA918" s="92">
        <v>0</v>
      </c>
      <c r="AB918" s="92">
        <v>37189</v>
      </c>
      <c r="AC918" s="92">
        <v>38305</v>
      </c>
      <c r="AD918" s="92">
        <v>39963</v>
      </c>
      <c r="AE918" s="92">
        <v>0</v>
      </c>
      <c r="AF918" s="92">
        <v>0</v>
      </c>
      <c r="AG918" s="92">
        <v>0</v>
      </c>
    </row>
    <row r="919" spans="1:35" x14ac:dyDescent="0.25">
      <c r="A919" t="str">
        <f t="shared" si="17"/>
        <v>26-4-98</v>
      </c>
      <c r="B919">
        <v>26</v>
      </c>
      <c r="C919" s="92" t="s">
        <v>1039</v>
      </c>
      <c r="D919" s="92">
        <v>4</v>
      </c>
      <c r="E919" s="92" t="s">
        <v>66</v>
      </c>
      <c r="F919" s="92">
        <v>98</v>
      </c>
      <c r="G919" s="92" t="s">
        <v>727</v>
      </c>
      <c r="H919" s="92"/>
      <c r="I919" s="92">
        <v>0</v>
      </c>
      <c r="J919" s="92">
        <v>2675969</v>
      </c>
      <c r="K919" s="92">
        <v>1</v>
      </c>
      <c r="L919" s="92">
        <v>20824</v>
      </c>
      <c r="M919" s="92">
        <v>9751</v>
      </c>
      <c r="N919" s="92">
        <v>758</v>
      </c>
      <c r="O919" s="92">
        <v>758</v>
      </c>
      <c r="P919" s="92">
        <v>0</v>
      </c>
      <c r="Q919" s="92">
        <v>0</v>
      </c>
      <c r="R919" s="92">
        <v>0</v>
      </c>
      <c r="S919" s="92">
        <v>0</v>
      </c>
      <c r="T919" s="92">
        <v>0</v>
      </c>
      <c r="U919" s="92">
        <v>0</v>
      </c>
      <c r="V919" s="92">
        <v>0</v>
      </c>
      <c r="W919" s="92">
        <v>0</v>
      </c>
      <c r="X919" s="92">
        <v>0</v>
      </c>
      <c r="Y919" s="92">
        <v>0</v>
      </c>
      <c r="Z919" s="92">
        <v>0</v>
      </c>
      <c r="AA919" s="92">
        <v>0</v>
      </c>
      <c r="AB919" s="92">
        <v>37189</v>
      </c>
      <c r="AC919" s="92">
        <v>38305</v>
      </c>
      <c r="AD919" s="92">
        <v>39963</v>
      </c>
      <c r="AE919" s="92">
        <v>0</v>
      </c>
      <c r="AF919" s="92">
        <v>0</v>
      </c>
      <c r="AG919" s="92">
        <v>0</v>
      </c>
    </row>
    <row r="920" spans="1:35" x14ac:dyDescent="0.25">
      <c r="A920" t="str">
        <f t="shared" si="17"/>
        <v>21-7-130</v>
      </c>
      <c r="B920">
        <v>21</v>
      </c>
      <c r="C920" s="92" t="s">
        <v>1034</v>
      </c>
      <c r="D920" s="92">
        <v>7</v>
      </c>
      <c r="E920" s="92" t="s">
        <v>586</v>
      </c>
      <c r="F920" s="92">
        <v>130</v>
      </c>
      <c r="G920" s="92" t="s">
        <v>326</v>
      </c>
      <c r="H920" s="92"/>
      <c r="I920" s="92">
        <v>0</v>
      </c>
      <c r="J920" s="92">
        <v>3128630</v>
      </c>
      <c r="K920" s="92" t="s">
        <v>1061</v>
      </c>
      <c r="L920" s="92">
        <v>149</v>
      </c>
      <c r="M920" s="92">
        <v>9</v>
      </c>
      <c r="N920" s="92">
        <v>2</v>
      </c>
      <c r="O920" s="92">
        <v>2</v>
      </c>
      <c r="P920" s="92">
        <v>0</v>
      </c>
      <c r="Q920" s="92">
        <v>0</v>
      </c>
      <c r="R920" s="92">
        <v>0</v>
      </c>
      <c r="S920" s="92">
        <v>0</v>
      </c>
      <c r="T920" s="92">
        <v>0</v>
      </c>
      <c r="U920" s="92">
        <v>0</v>
      </c>
      <c r="V920" s="92">
        <v>0</v>
      </c>
      <c r="W920" s="92">
        <v>0</v>
      </c>
      <c r="X920" s="92">
        <v>0</v>
      </c>
      <c r="Y920" s="92">
        <v>0</v>
      </c>
      <c r="Z920" s="92">
        <v>0</v>
      </c>
      <c r="AA920" s="92">
        <v>0</v>
      </c>
      <c r="AB920" s="92">
        <v>4942</v>
      </c>
      <c r="AC920" s="92">
        <v>5309</v>
      </c>
      <c r="AD920" s="92">
        <v>5588</v>
      </c>
      <c r="AE920" s="92">
        <v>0</v>
      </c>
      <c r="AF920" s="92">
        <v>0</v>
      </c>
      <c r="AG920" s="92">
        <v>0</v>
      </c>
    </row>
    <row r="921" spans="1:35" x14ac:dyDescent="0.25">
      <c r="A921" t="str">
        <f t="shared" ref="A921:A985" si="18">B921&amp;"-"&amp;D921&amp;"-"&amp;F921</f>
        <v>38-7-132</v>
      </c>
      <c r="B921">
        <v>38</v>
      </c>
      <c r="C921" s="92" t="s">
        <v>1050</v>
      </c>
      <c r="D921" s="92">
        <v>7</v>
      </c>
      <c r="E921" s="92" t="s">
        <v>586</v>
      </c>
      <c r="F921" s="92">
        <v>132</v>
      </c>
      <c r="G921" s="92" t="s">
        <v>964</v>
      </c>
      <c r="H921" s="92"/>
      <c r="I921" s="92">
        <v>12135</v>
      </c>
      <c r="J921" s="92">
        <v>52334365</v>
      </c>
      <c r="K921" s="92" t="s">
        <v>1061</v>
      </c>
      <c r="L921" s="92">
        <v>702</v>
      </c>
      <c r="M921" s="92">
        <v>2706</v>
      </c>
      <c r="N921" s="92">
        <v>411</v>
      </c>
      <c r="O921" s="92">
        <v>411</v>
      </c>
      <c r="P921" s="92">
        <v>0</v>
      </c>
      <c r="Q921" s="92">
        <v>0</v>
      </c>
      <c r="R921" s="92">
        <v>0</v>
      </c>
      <c r="S921" s="92">
        <v>0</v>
      </c>
      <c r="T921" s="92">
        <v>0</v>
      </c>
      <c r="U921" s="92">
        <v>0</v>
      </c>
      <c r="V921" s="92">
        <v>0</v>
      </c>
      <c r="W921" s="92">
        <v>0</v>
      </c>
      <c r="X921" s="92">
        <v>0</v>
      </c>
      <c r="Y921" s="92">
        <v>0</v>
      </c>
      <c r="Z921" s="92">
        <v>0</v>
      </c>
      <c r="AA921" s="92">
        <v>0</v>
      </c>
      <c r="AB921" s="92">
        <v>165032</v>
      </c>
      <c r="AC921" s="92">
        <v>173363</v>
      </c>
      <c r="AD921" s="92">
        <v>182155</v>
      </c>
      <c r="AE921" s="92">
        <v>0</v>
      </c>
      <c r="AF921" s="92">
        <v>0</v>
      </c>
      <c r="AG921" s="92">
        <v>0</v>
      </c>
    </row>
    <row r="922" spans="1:35" x14ac:dyDescent="0.25">
      <c r="A922" t="str">
        <f t="shared" si="18"/>
        <v>37-7-131</v>
      </c>
      <c r="B922">
        <v>37</v>
      </c>
      <c r="C922" s="92" t="s">
        <v>1049</v>
      </c>
      <c r="D922" s="92">
        <v>7</v>
      </c>
      <c r="E922" s="92" t="s">
        <v>586</v>
      </c>
      <c r="F922" s="92">
        <v>131</v>
      </c>
      <c r="G922" s="92" t="s">
        <v>954</v>
      </c>
      <c r="H922" s="92"/>
      <c r="I922" s="92">
        <v>179</v>
      </c>
      <c r="J922" s="92">
        <v>17820265</v>
      </c>
      <c r="K922" s="92" t="s">
        <v>1061</v>
      </c>
      <c r="L922" s="92">
        <v>570</v>
      </c>
      <c r="M922" s="92">
        <v>63</v>
      </c>
      <c r="N922" s="92">
        <v>12</v>
      </c>
      <c r="O922" s="92">
        <v>12</v>
      </c>
      <c r="P922" s="92">
        <v>0</v>
      </c>
      <c r="Q922" s="92">
        <v>0</v>
      </c>
      <c r="R922" s="92">
        <v>0</v>
      </c>
      <c r="S922" s="92">
        <v>0</v>
      </c>
      <c r="T922" s="92">
        <v>0</v>
      </c>
      <c r="U922" s="92">
        <v>0</v>
      </c>
      <c r="V922" s="92">
        <v>0</v>
      </c>
      <c r="W922" s="92">
        <v>0</v>
      </c>
      <c r="X922" s="92">
        <v>0</v>
      </c>
      <c r="Y922" s="92">
        <v>0</v>
      </c>
      <c r="Z922" s="92">
        <v>0</v>
      </c>
      <c r="AA922" s="92">
        <v>0</v>
      </c>
      <c r="AB922" s="92">
        <v>6390</v>
      </c>
      <c r="AC922" s="92">
        <v>6232</v>
      </c>
      <c r="AD922" s="92">
        <v>6390</v>
      </c>
      <c r="AE922" s="92">
        <v>0</v>
      </c>
      <c r="AF922" s="92">
        <v>0</v>
      </c>
      <c r="AG922" s="92">
        <v>0</v>
      </c>
    </row>
    <row r="923" spans="1:35" x14ac:dyDescent="0.25">
      <c r="A923" t="str">
        <f t="shared" si="18"/>
        <v>6-7-133</v>
      </c>
      <c r="B923">
        <v>6</v>
      </c>
      <c r="C923" s="92" t="s">
        <v>1020</v>
      </c>
      <c r="D923" s="92">
        <v>7</v>
      </c>
      <c r="E923" s="92" t="s">
        <v>586</v>
      </c>
      <c r="F923" s="92">
        <v>133</v>
      </c>
      <c r="G923" s="92" t="s">
        <v>143</v>
      </c>
      <c r="H923" s="92"/>
      <c r="I923" s="92">
        <v>0</v>
      </c>
      <c r="J923" s="92">
        <v>14726802</v>
      </c>
      <c r="K923" s="92" t="s">
        <v>1061</v>
      </c>
      <c r="L923" s="92">
        <v>3627</v>
      </c>
      <c r="M923" s="92">
        <v>384</v>
      </c>
      <c r="N923" s="92">
        <v>336</v>
      </c>
      <c r="O923" s="92">
        <v>336</v>
      </c>
      <c r="P923" s="92">
        <v>0</v>
      </c>
      <c r="Q923" s="92">
        <v>0</v>
      </c>
      <c r="R923" s="92">
        <v>0</v>
      </c>
      <c r="S923" s="92">
        <v>0</v>
      </c>
      <c r="T923" s="92">
        <v>0</v>
      </c>
      <c r="U923" s="92">
        <v>0</v>
      </c>
      <c r="V923" s="92">
        <v>0</v>
      </c>
      <c r="W923" s="92">
        <v>0</v>
      </c>
      <c r="X923" s="92">
        <v>0</v>
      </c>
      <c r="Y923" s="92">
        <v>0</v>
      </c>
      <c r="Z923" s="92">
        <v>0</v>
      </c>
      <c r="AA923" s="92">
        <v>0</v>
      </c>
      <c r="AB923" s="92">
        <v>57277</v>
      </c>
      <c r="AC923" s="92">
        <v>60593</v>
      </c>
      <c r="AD923" s="92">
        <v>60593</v>
      </c>
      <c r="AE923" s="92">
        <v>0</v>
      </c>
      <c r="AF923" s="92">
        <v>0</v>
      </c>
      <c r="AG923" s="92">
        <v>0</v>
      </c>
    </row>
    <row r="924" spans="1:35" x14ac:dyDescent="0.25">
      <c r="A924" t="str">
        <f t="shared" si="18"/>
        <v>6-7-134</v>
      </c>
      <c r="B924">
        <v>6</v>
      </c>
      <c r="C924" s="92" t="s">
        <v>1020</v>
      </c>
      <c r="D924" s="92">
        <v>7</v>
      </c>
      <c r="E924" s="92" t="s">
        <v>586</v>
      </c>
      <c r="F924" s="92">
        <v>134</v>
      </c>
      <c r="G924" s="92" t="s">
        <v>682</v>
      </c>
      <c r="H924" s="92"/>
      <c r="I924" s="92">
        <v>0</v>
      </c>
      <c r="J924" s="92">
        <v>3822244</v>
      </c>
      <c r="K924" s="92" t="s">
        <v>1061</v>
      </c>
      <c r="L924" s="92">
        <v>475</v>
      </c>
      <c r="M924" s="92">
        <v>41</v>
      </c>
      <c r="N924" s="92">
        <v>5</v>
      </c>
      <c r="O924" s="92">
        <v>5</v>
      </c>
      <c r="P924" s="92">
        <v>0</v>
      </c>
      <c r="Q924" s="92">
        <v>0</v>
      </c>
      <c r="R924" s="92">
        <v>0</v>
      </c>
      <c r="S924" s="92">
        <v>0</v>
      </c>
      <c r="T924" s="92">
        <v>0</v>
      </c>
      <c r="U924" s="92">
        <v>0</v>
      </c>
      <c r="V924" s="92">
        <v>0</v>
      </c>
      <c r="W924" s="92">
        <v>0</v>
      </c>
      <c r="X924" s="92">
        <v>0</v>
      </c>
      <c r="Y924" s="92">
        <v>0</v>
      </c>
      <c r="Z924" s="92">
        <v>0</v>
      </c>
      <c r="AA924" s="92">
        <v>0</v>
      </c>
      <c r="AB924" s="92">
        <v>5735</v>
      </c>
      <c r="AC924" s="92">
        <v>5989</v>
      </c>
      <c r="AD924" s="92">
        <v>6330</v>
      </c>
      <c r="AE924" s="92">
        <v>0</v>
      </c>
      <c r="AF924" s="92">
        <v>0</v>
      </c>
      <c r="AG924" s="92">
        <v>0</v>
      </c>
    </row>
    <row r="925" spans="1:35" x14ac:dyDescent="0.25">
      <c r="A925" t="str">
        <f t="shared" si="18"/>
        <v>22-7-135</v>
      </c>
      <c r="B925">
        <v>22</v>
      </c>
      <c r="C925" s="92" t="s">
        <v>1035</v>
      </c>
      <c r="D925" s="92">
        <v>7</v>
      </c>
      <c r="E925" s="92" t="s">
        <v>586</v>
      </c>
      <c r="F925" s="92">
        <v>135</v>
      </c>
      <c r="G925" s="92" t="s">
        <v>840</v>
      </c>
      <c r="H925" s="92"/>
      <c r="I925" s="92">
        <v>4260</v>
      </c>
      <c r="J925" s="92">
        <v>20128488</v>
      </c>
      <c r="K925" s="92" t="s">
        <v>1061</v>
      </c>
      <c r="L925" s="92">
        <v>163</v>
      </c>
      <c r="M925" s="92">
        <v>428</v>
      </c>
      <c r="N925" s="92">
        <v>93</v>
      </c>
      <c r="O925" s="92">
        <v>93</v>
      </c>
      <c r="P925" s="92">
        <v>0</v>
      </c>
      <c r="Q925" s="92">
        <v>0</v>
      </c>
      <c r="R925" s="92">
        <v>0</v>
      </c>
      <c r="S925" s="92">
        <v>0</v>
      </c>
      <c r="T925" s="92">
        <v>0</v>
      </c>
      <c r="U925" s="92">
        <v>0</v>
      </c>
      <c r="V925" s="92">
        <v>0</v>
      </c>
      <c r="W925" s="92">
        <v>0</v>
      </c>
      <c r="X925" s="92">
        <v>0</v>
      </c>
      <c r="Y925" s="92">
        <v>0</v>
      </c>
      <c r="Z925" s="92">
        <v>0</v>
      </c>
      <c r="AA925" s="92">
        <v>0</v>
      </c>
      <c r="AB925" s="92">
        <v>24355</v>
      </c>
      <c r="AC925" s="92">
        <v>24355</v>
      </c>
      <c r="AD925" s="92">
        <v>24355</v>
      </c>
      <c r="AE925" s="92">
        <v>0</v>
      </c>
      <c r="AF925" s="92">
        <v>0</v>
      </c>
      <c r="AG925" s="92">
        <v>0</v>
      </c>
    </row>
    <row r="926" spans="1:35" x14ac:dyDescent="0.25">
      <c r="A926" t="str">
        <f t="shared" si="18"/>
        <v>26-7-136</v>
      </c>
      <c r="B926">
        <v>26</v>
      </c>
      <c r="C926" s="92" t="s">
        <v>1039</v>
      </c>
      <c r="D926" s="92">
        <v>7</v>
      </c>
      <c r="E926" s="92" t="s">
        <v>586</v>
      </c>
      <c r="F926" s="92">
        <v>136</v>
      </c>
      <c r="G926" s="92" t="s">
        <v>874</v>
      </c>
      <c r="H926" s="92"/>
      <c r="I926" s="92">
        <v>0</v>
      </c>
      <c r="J926" s="92">
        <v>22966912</v>
      </c>
      <c r="K926" s="92" t="s">
        <v>1061</v>
      </c>
      <c r="L926" s="92">
        <v>1560</v>
      </c>
      <c r="M926" s="92">
        <v>327</v>
      </c>
      <c r="N926" s="92">
        <v>106</v>
      </c>
      <c r="O926" s="92">
        <v>106</v>
      </c>
      <c r="P926" s="92">
        <v>0</v>
      </c>
      <c r="Q926" s="92">
        <v>0</v>
      </c>
      <c r="R926" s="92">
        <v>0</v>
      </c>
      <c r="S926" s="92">
        <v>0</v>
      </c>
      <c r="T926" s="92">
        <v>0</v>
      </c>
      <c r="U926" s="92">
        <v>0</v>
      </c>
      <c r="V926" s="92">
        <v>0</v>
      </c>
      <c r="W926" s="92">
        <v>0</v>
      </c>
      <c r="X926" s="92">
        <v>0</v>
      </c>
      <c r="Y926" s="92">
        <v>0</v>
      </c>
      <c r="Z926" s="92">
        <v>0</v>
      </c>
      <c r="AA926" s="92">
        <v>0</v>
      </c>
      <c r="AB926" s="92">
        <v>41585</v>
      </c>
      <c r="AC926" s="92">
        <v>43493</v>
      </c>
      <c r="AD926" s="92">
        <v>45415</v>
      </c>
      <c r="AE926" s="92">
        <v>0</v>
      </c>
      <c r="AF926" s="92">
        <v>0</v>
      </c>
      <c r="AG926" s="92">
        <v>0</v>
      </c>
    </row>
    <row r="927" spans="1:35" x14ac:dyDescent="0.25">
      <c r="A927" t="str">
        <f t="shared" si="18"/>
        <v>26-15-8</v>
      </c>
      <c r="B927">
        <v>26</v>
      </c>
      <c r="C927" s="92" t="s">
        <v>1039</v>
      </c>
      <c r="D927" s="92">
        <v>15</v>
      </c>
      <c r="E927" s="92" t="s">
        <v>152</v>
      </c>
      <c r="F927" s="92">
        <v>8</v>
      </c>
      <c r="G927" s="92" t="s">
        <v>879</v>
      </c>
      <c r="H927" s="92"/>
      <c r="I927" s="92">
        <v>10248</v>
      </c>
      <c r="J927" s="92">
        <v>11732378</v>
      </c>
      <c r="K927" s="92" t="s">
        <v>1061</v>
      </c>
      <c r="L927" s="92">
        <v>968</v>
      </c>
      <c r="M927" s="92">
        <v>831</v>
      </c>
      <c r="N927" s="92">
        <v>213</v>
      </c>
      <c r="O927" s="92">
        <v>213</v>
      </c>
      <c r="P927" s="92">
        <v>0</v>
      </c>
      <c r="Q927" s="92">
        <v>0</v>
      </c>
      <c r="R927" s="92">
        <v>0</v>
      </c>
      <c r="S927" s="92">
        <v>0</v>
      </c>
      <c r="T927" s="92">
        <v>0</v>
      </c>
      <c r="U927" s="92">
        <v>0</v>
      </c>
      <c r="V927" s="92">
        <v>0</v>
      </c>
      <c r="W927" s="92">
        <v>0</v>
      </c>
      <c r="X927" s="92">
        <v>0</v>
      </c>
      <c r="Y927" s="92">
        <v>0</v>
      </c>
      <c r="Z927" s="92">
        <v>0</v>
      </c>
      <c r="AA927" s="92">
        <v>0</v>
      </c>
      <c r="AB927" s="92">
        <v>48988</v>
      </c>
      <c r="AC927" s="92">
        <v>49201</v>
      </c>
      <c r="AD927" s="92">
        <v>49201</v>
      </c>
      <c r="AE927" s="92">
        <v>0</v>
      </c>
      <c r="AF927" s="92">
        <v>0</v>
      </c>
      <c r="AG927" s="92">
        <v>0</v>
      </c>
    </row>
    <row r="928" spans="1:35" x14ac:dyDescent="0.25">
      <c r="A928" t="str">
        <f t="shared" si="18"/>
        <v>26-9-113</v>
      </c>
      <c r="B928">
        <v>26</v>
      </c>
      <c r="C928" s="92" t="s">
        <v>1039</v>
      </c>
      <c r="D928" s="92">
        <v>9</v>
      </c>
      <c r="E928" s="92" t="s">
        <v>588</v>
      </c>
      <c r="F928" s="92">
        <v>113</v>
      </c>
      <c r="G928" s="92" t="s">
        <v>877</v>
      </c>
      <c r="H928" s="92"/>
      <c r="I928" s="92">
        <v>0</v>
      </c>
      <c r="J928" s="92">
        <v>1074000</v>
      </c>
      <c r="K928" s="92" t="s">
        <v>1061</v>
      </c>
      <c r="L928" s="92">
        <v>4191</v>
      </c>
      <c r="M928" s="92">
        <v>442</v>
      </c>
      <c r="N928" s="92">
        <v>103</v>
      </c>
      <c r="O928" s="92">
        <v>103</v>
      </c>
      <c r="P928" s="92">
        <v>0</v>
      </c>
      <c r="Q928" s="92">
        <v>0</v>
      </c>
      <c r="R928" s="92">
        <v>0</v>
      </c>
      <c r="S928" s="92">
        <v>0</v>
      </c>
      <c r="T928" s="92">
        <v>0</v>
      </c>
      <c r="U928" s="92">
        <v>0</v>
      </c>
      <c r="V928" s="92">
        <v>0</v>
      </c>
      <c r="W928" s="92">
        <v>0</v>
      </c>
      <c r="X928" s="92">
        <v>0</v>
      </c>
      <c r="Y928" s="92">
        <v>0</v>
      </c>
      <c r="Z928" s="92">
        <v>0</v>
      </c>
      <c r="AA928" s="92">
        <v>0</v>
      </c>
      <c r="AB928" s="92">
        <v>112040</v>
      </c>
      <c r="AC928" s="92">
        <v>117228</v>
      </c>
      <c r="AD928" s="92">
        <v>117228</v>
      </c>
      <c r="AE928" s="92">
        <v>0</v>
      </c>
      <c r="AF928" s="92">
        <v>0</v>
      </c>
      <c r="AG928" s="92">
        <v>0</v>
      </c>
      <c r="AI928" s="250">
        <v>5.3361100000000002E-4</v>
      </c>
    </row>
    <row r="929" spans="1:35" x14ac:dyDescent="0.25">
      <c r="A929" t="str">
        <f t="shared" si="18"/>
        <v>8-9-195</v>
      </c>
      <c r="B929">
        <v>8</v>
      </c>
      <c r="C929" s="92" t="s">
        <v>1021</v>
      </c>
      <c r="D929" s="92">
        <v>9</v>
      </c>
      <c r="E929" s="92" t="s">
        <v>588</v>
      </c>
      <c r="F929" s="92">
        <v>195</v>
      </c>
      <c r="G929" s="92" t="s">
        <v>1346</v>
      </c>
      <c r="H929" s="92"/>
      <c r="I929" s="92">
        <v>0</v>
      </c>
      <c r="J929" s="92">
        <v>0</v>
      </c>
      <c r="K929" s="92" t="s">
        <v>1061</v>
      </c>
      <c r="L929" s="92">
        <v>0</v>
      </c>
      <c r="M929" s="92">
        <v>0</v>
      </c>
      <c r="N929" s="92">
        <v>0</v>
      </c>
      <c r="O929" s="92">
        <v>0</v>
      </c>
      <c r="P929" s="92">
        <v>0</v>
      </c>
      <c r="Q929" s="92">
        <v>0</v>
      </c>
      <c r="R929" s="92">
        <v>0</v>
      </c>
      <c r="S929" s="92">
        <v>0</v>
      </c>
      <c r="T929" s="92">
        <v>0</v>
      </c>
      <c r="U929" s="92">
        <v>0</v>
      </c>
      <c r="V929" s="92">
        <v>0</v>
      </c>
      <c r="W929" s="92">
        <v>0</v>
      </c>
      <c r="X929" s="92">
        <v>0</v>
      </c>
      <c r="Y929" s="92">
        <v>0</v>
      </c>
      <c r="Z929" s="92">
        <v>0</v>
      </c>
      <c r="AA929" s="92">
        <v>0</v>
      </c>
      <c r="AB929" s="92">
        <v>0</v>
      </c>
      <c r="AC929" s="92">
        <v>0</v>
      </c>
      <c r="AD929" s="92">
        <v>220000</v>
      </c>
      <c r="AE929" s="92">
        <v>0</v>
      </c>
      <c r="AF929" s="92">
        <v>0</v>
      </c>
      <c r="AG929" s="92">
        <v>0</v>
      </c>
      <c r="AI929" s="250">
        <v>1.049929E-3</v>
      </c>
    </row>
    <row r="930" spans="1:35" x14ac:dyDescent="0.25">
      <c r="A930" t="str">
        <f t="shared" si="18"/>
        <v>16-9-145</v>
      </c>
      <c r="B930">
        <v>16</v>
      </c>
      <c r="C930" s="92" t="s">
        <v>1029</v>
      </c>
      <c r="D930" s="92">
        <v>9</v>
      </c>
      <c r="E930" s="92" t="s">
        <v>588</v>
      </c>
      <c r="F930" s="92">
        <v>145</v>
      </c>
      <c r="G930" s="92" t="s">
        <v>775</v>
      </c>
      <c r="H930" s="92"/>
      <c r="I930" s="92">
        <v>0</v>
      </c>
      <c r="J930" s="92">
        <v>0</v>
      </c>
      <c r="K930" s="92">
        <v>1</v>
      </c>
      <c r="L930" s="92">
        <v>22579</v>
      </c>
      <c r="M930" s="92">
        <v>4941</v>
      </c>
      <c r="N930" s="92">
        <v>1884</v>
      </c>
      <c r="O930" s="92">
        <v>1884</v>
      </c>
      <c r="P930" s="92">
        <v>0</v>
      </c>
      <c r="Q930" s="92">
        <v>0</v>
      </c>
      <c r="R930" s="92">
        <v>0</v>
      </c>
      <c r="S930" s="92">
        <v>346</v>
      </c>
      <c r="T930" s="92">
        <v>0</v>
      </c>
      <c r="U930" s="92">
        <v>580</v>
      </c>
      <c r="V930" s="92">
        <v>0</v>
      </c>
      <c r="W930" s="92">
        <v>3477</v>
      </c>
      <c r="X930" s="92">
        <v>0</v>
      </c>
      <c r="Y930" s="92">
        <v>0</v>
      </c>
      <c r="Z930" s="92">
        <v>0</v>
      </c>
      <c r="AA930" s="92">
        <v>0</v>
      </c>
      <c r="AB930" s="92">
        <v>1112006</v>
      </c>
      <c r="AC930" s="92">
        <v>1173678</v>
      </c>
      <c r="AD930" s="92">
        <v>1244724</v>
      </c>
      <c r="AE930" s="92">
        <v>0</v>
      </c>
      <c r="AF930" s="92">
        <v>0</v>
      </c>
      <c r="AG930" s="92">
        <v>0</v>
      </c>
      <c r="AI930" s="250">
        <v>7.5120199999999997E-4</v>
      </c>
    </row>
    <row r="931" spans="1:35" x14ac:dyDescent="0.25">
      <c r="A931" t="str">
        <f t="shared" si="18"/>
        <v>42-9-145</v>
      </c>
      <c r="B931">
        <v>42</v>
      </c>
      <c r="C931" s="92" t="s">
        <v>1196</v>
      </c>
      <c r="D931" s="92">
        <v>9</v>
      </c>
      <c r="E931" s="92" t="s">
        <v>588</v>
      </c>
      <c r="F931" s="92">
        <v>145</v>
      </c>
      <c r="G931" s="92" t="s">
        <v>775</v>
      </c>
      <c r="H931" s="92"/>
      <c r="I931" s="92">
        <v>0</v>
      </c>
      <c r="J931" s="92">
        <v>10130630</v>
      </c>
      <c r="K931" s="92">
        <v>1</v>
      </c>
      <c r="L931" s="92">
        <v>22579</v>
      </c>
      <c r="M931" s="92">
        <v>4941</v>
      </c>
      <c r="N931" s="92">
        <v>1884</v>
      </c>
      <c r="O931" s="92">
        <v>1884</v>
      </c>
      <c r="P931" s="92">
        <v>0</v>
      </c>
      <c r="Q931" s="92">
        <v>0</v>
      </c>
      <c r="R931" s="92">
        <v>0</v>
      </c>
      <c r="S931" s="92">
        <v>346</v>
      </c>
      <c r="T931" s="92">
        <v>0</v>
      </c>
      <c r="U931" s="92">
        <v>580</v>
      </c>
      <c r="V931" s="92">
        <v>0</v>
      </c>
      <c r="W931" s="92">
        <v>3477</v>
      </c>
      <c r="X931" s="92">
        <v>0</v>
      </c>
      <c r="Y931" s="92">
        <v>0</v>
      </c>
      <c r="Z931" s="92">
        <v>0</v>
      </c>
      <c r="AA931" s="92">
        <v>0</v>
      </c>
      <c r="AB931" s="92">
        <v>1112006</v>
      </c>
      <c r="AC931" s="92">
        <v>1173678</v>
      </c>
      <c r="AD931" s="92">
        <v>1244724</v>
      </c>
      <c r="AE931" s="92">
        <v>0</v>
      </c>
      <c r="AF931" s="92">
        <v>0</v>
      </c>
      <c r="AG931" s="92">
        <v>0</v>
      </c>
      <c r="AI931" s="250">
        <v>7.5120199999999997E-4</v>
      </c>
    </row>
    <row r="932" spans="1:35" x14ac:dyDescent="0.25">
      <c r="A932" t="str">
        <f t="shared" si="18"/>
        <v>39-9-161</v>
      </c>
      <c r="B932">
        <v>39</v>
      </c>
      <c r="C932" s="92" t="s">
        <v>79</v>
      </c>
      <c r="D932" s="92">
        <v>9</v>
      </c>
      <c r="E932" s="92" t="s">
        <v>588</v>
      </c>
      <c r="F932" s="92">
        <v>161</v>
      </c>
      <c r="G932" s="92" t="s">
        <v>970</v>
      </c>
      <c r="H932" s="92"/>
      <c r="I932" s="92">
        <v>0</v>
      </c>
      <c r="J932" s="92">
        <v>0</v>
      </c>
      <c r="K932" s="92" t="s">
        <v>1061</v>
      </c>
      <c r="L932" s="92">
        <v>865</v>
      </c>
      <c r="M932" s="92">
        <v>697</v>
      </c>
      <c r="N932" s="92">
        <v>103</v>
      </c>
      <c r="O932" s="92">
        <v>103</v>
      </c>
      <c r="P932" s="92">
        <v>0</v>
      </c>
      <c r="Q932" s="92">
        <v>0</v>
      </c>
      <c r="R932" s="92">
        <v>0</v>
      </c>
      <c r="S932" s="92">
        <v>0</v>
      </c>
      <c r="T932" s="92">
        <v>0</v>
      </c>
      <c r="U932" s="92">
        <v>0</v>
      </c>
      <c r="V932" s="92">
        <v>0</v>
      </c>
      <c r="W932" s="92">
        <v>0</v>
      </c>
      <c r="X932" s="92">
        <v>0</v>
      </c>
      <c r="Y932" s="92">
        <v>0</v>
      </c>
      <c r="Z932" s="92">
        <v>0</v>
      </c>
      <c r="AA932" s="92">
        <v>0</v>
      </c>
      <c r="AB932" s="92">
        <v>43568</v>
      </c>
      <c r="AC932" s="92">
        <v>46029</v>
      </c>
      <c r="AD932" s="92">
        <v>47787</v>
      </c>
      <c r="AE932" s="92">
        <v>0</v>
      </c>
      <c r="AF932" s="92">
        <v>0</v>
      </c>
      <c r="AG932" s="92">
        <v>0</v>
      </c>
      <c r="AI932" s="250">
        <v>1.0719620000000001E-3</v>
      </c>
    </row>
    <row r="933" spans="1:35" x14ac:dyDescent="0.25">
      <c r="A933" t="str">
        <f t="shared" si="18"/>
        <v>39-14-37</v>
      </c>
      <c r="B933">
        <v>39</v>
      </c>
      <c r="C933" s="92" t="s">
        <v>79</v>
      </c>
      <c r="D933" s="92">
        <v>14</v>
      </c>
      <c r="E933" s="92" t="s">
        <v>571</v>
      </c>
      <c r="F933" s="92">
        <v>37</v>
      </c>
      <c r="G933" s="92" t="s">
        <v>530</v>
      </c>
      <c r="H933" s="92"/>
      <c r="I933" s="92">
        <v>0</v>
      </c>
      <c r="J933" s="92">
        <v>3929862</v>
      </c>
      <c r="K933" s="92" t="s">
        <v>1061</v>
      </c>
      <c r="L933" s="92">
        <v>1735</v>
      </c>
      <c r="M933" s="92">
        <v>402</v>
      </c>
      <c r="N933" s="92">
        <v>76</v>
      </c>
      <c r="O933" s="92">
        <v>76</v>
      </c>
      <c r="P933" s="92">
        <v>0</v>
      </c>
      <c r="Q933" s="92">
        <v>0</v>
      </c>
      <c r="R933" s="92">
        <v>0</v>
      </c>
      <c r="S933" s="92">
        <v>0</v>
      </c>
      <c r="T933" s="92">
        <v>0</v>
      </c>
      <c r="U933" s="92">
        <v>0</v>
      </c>
      <c r="V933" s="92">
        <v>0</v>
      </c>
      <c r="W933" s="92">
        <v>0</v>
      </c>
      <c r="X933" s="92">
        <v>0</v>
      </c>
      <c r="Y933" s="92">
        <v>0</v>
      </c>
      <c r="Z933" s="92">
        <v>0</v>
      </c>
      <c r="AA933" s="92">
        <v>0</v>
      </c>
      <c r="AB933" s="92">
        <v>33480</v>
      </c>
      <c r="AC933" s="92">
        <v>36552</v>
      </c>
      <c r="AD933" s="92">
        <v>36810</v>
      </c>
      <c r="AE933" s="92">
        <v>0</v>
      </c>
      <c r="AF933" s="92">
        <v>1118</v>
      </c>
      <c r="AG933" s="92">
        <v>0</v>
      </c>
      <c r="AI933" s="250">
        <v>4.7843400000000002E-4</v>
      </c>
    </row>
    <row r="934" spans="1:35" x14ac:dyDescent="0.25">
      <c r="A934" t="str">
        <f t="shared" si="18"/>
        <v>39-4-157</v>
      </c>
      <c r="B934">
        <v>39</v>
      </c>
      <c r="C934" s="92" t="s">
        <v>79</v>
      </c>
      <c r="D934" s="92">
        <v>4</v>
      </c>
      <c r="E934" s="92" t="s">
        <v>66</v>
      </c>
      <c r="F934" s="92">
        <v>157</v>
      </c>
      <c r="G934" s="92" t="s">
        <v>965</v>
      </c>
      <c r="H934" s="92"/>
      <c r="I934" s="92">
        <v>0</v>
      </c>
      <c r="J934" s="92">
        <v>3929862</v>
      </c>
      <c r="K934" s="92" t="s">
        <v>1061</v>
      </c>
      <c r="L934" s="92">
        <v>25843</v>
      </c>
      <c r="M934" s="92">
        <v>4941</v>
      </c>
      <c r="N934" s="92">
        <v>464</v>
      </c>
      <c r="O934" s="92">
        <v>464</v>
      </c>
      <c r="P934" s="92">
        <v>0</v>
      </c>
      <c r="Q934" s="92">
        <v>0</v>
      </c>
      <c r="R934" s="92">
        <v>0</v>
      </c>
      <c r="S934" s="92">
        <v>0</v>
      </c>
      <c r="T934" s="92">
        <v>0</v>
      </c>
      <c r="U934" s="92">
        <v>0</v>
      </c>
      <c r="V934" s="92">
        <v>0</v>
      </c>
      <c r="W934" s="92">
        <v>0</v>
      </c>
      <c r="X934" s="92">
        <v>0</v>
      </c>
      <c r="Y934" s="92">
        <v>0</v>
      </c>
      <c r="Z934" s="92">
        <v>0</v>
      </c>
      <c r="AA934" s="92">
        <v>0</v>
      </c>
      <c r="AB934" s="92">
        <v>17904</v>
      </c>
      <c r="AC934" s="92">
        <v>18697</v>
      </c>
      <c r="AD934" s="92">
        <v>19333</v>
      </c>
      <c r="AE934" s="92">
        <v>0</v>
      </c>
      <c r="AF934" s="92">
        <v>0</v>
      </c>
      <c r="AG934" s="92">
        <v>0</v>
      </c>
    </row>
    <row r="935" spans="1:35" x14ac:dyDescent="0.25">
      <c r="A935" t="str">
        <f t="shared" si="18"/>
        <v>14-7-138</v>
      </c>
      <c r="B935">
        <v>14</v>
      </c>
      <c r="C935" s="92" t="s">
        <v>1027</v>
      </c>
      <c r="D935" s="92">
        <v>7</v>
      </c>
      <c r="E935" s="92" t="s">
        <v>586</v>
      </c>
      <c r="F935" s="92">
        <v>138</v>
      </c>
      <c r="G935" s="92" t="s">
        <v>233</v>
      </c>
      <c r="H935" s="92"/>
      <c r="I935" s="92">
        <v>1421</v>
      </c>
      <c r="J935" s="92">
        <v>7424568</v>
      </c>
      <c r="K935" s="92" t="s">
        <v>1061</v>
      </c>
      <c r="L935" s="92">
        <v>974</v>
      </c>
      <c r="M935" s="92">
        <v>143</v>
      </c>
      <c r="N935" s="92">
        <v>14</v>
      </c>
      <c r="O935" s="92">
        <v>14</v>
      </c>
      <c r="P935" s="92">
        <v>0</v>
      </c>
      <c r="Q935" s="92">
        <v>0</v>
      </c>
      <c r="R935" s="92">
        <v>0</v>
      </c>
      <c r="S935" s="92">
        <v>0</v>
      </c>
      <c r="T935" s="92">
        <v>0</v>
      </c>
      <c r="U935" s="92">
        <v>0</v>
      </c>
      <c r="V935" s="92">
        <v>0</v>
      </c>
      <c r="W935" s="92">
        <v>0</v>
      </c>
      <c r="X935" s="92">
        <v>0</v>
      </c>
      <c r="Y935" s="92">
        <v>0</v>
      </c>
      <c r="Z935" s="92">
        <v>0</v>
      </c>
      <c r="AA935" s="92">
        <v>0</v>
      </c>
      <c r="AB935" s="92">
        <v>26492</v>
      </c>
      <c r="AC935" s="92">
        <v>27998</v>
      </c>
      <c r="AD935" s="92">
        <v>29422</v>
      </c>
      <c r="AE935" s="92">
        <v>0</v>
      </c>
      <c r="AF935" s="92">
        <v>0</v>
      </c>
      <c r="AG935" s="92">
        <v>0</v>
      </c>
    </row>
    <row r="936" spans="1:35" x14ac:dyDescent="0.25">
      <c r="A936" t="str">
        <f t="shared" si="18"/>
        <v>34-7-139</v>
      </c>
      <c r="B936">
        <v>34</v>
      </c>
      <c r="C936" s="92" t="s">
        <v>1047</v>
      </c>
      <c r="D936" s="92">
        <v>7</v>
      </c>
      <c r="E936" s="92" t="s">
        <v>586</v>
      </c>
      <c r="F936" s="92">
        <v>139</v>
      </c>
      <c r="G936" s="92" t="s">
        <v>941</v>
      </c>
      <c r="H936" s="92"/>
      <c r="I936" s="92">
        <v>0</v>
      </c>
      <c r="J936" s="92">
        <v>73395180</v>
      </c>
      <c r="K936" s="92" t="s">
        <v>1061</v>
      </c>
      <c r="L936" s="92">
        <v>5860</v>
      </c>
      <c r="M936" s="92">
        <v>2410</v>
      </c>
      <c r="N936" s="92">
        <v>866</v>
      </c>
      <c r="O936" s="92">
        <v>866</v>
      </c>
      <c r="P936" s="92">
        <v>0</v>
      </c>
      <c r="Q936" s="92">
        <v>0</v>
      </c>
      <c r="R936" s="92">
        <v>0</v>
      </c>
      <c r="S936" s="92">
        <v>0</v>
      </c>
      <c r="T936" s="92">
        <v>0</v>
      </c>
      <c r="U936" s="92">
        <v>0</v>
      </c>
      <c r="V936" s="92">
        <v>0</v>
      </c>
      <c r="W936" s="92">
        <v>0</v>
      </c>
      <c r="X936" s="92">
        <v>0</v>
      </c>
      <c r="Y936" s="92">
        <v>0</v>
      </c>
      <c r="Z936" s="92">
        <v>0</v>
      </c>
      <c r="AA936" s="92">
        <v>0</v>
      </c>
      <c r="AB936" s="92">
        <v>218519</v>
      </c>
      <c r="AC936" s="92">
        <v>229318</v>
      </c>
      <c r="AD936" s="92">
        <v>238871</v>
      </c>
      <c r="AE936" s="92">
        <v>0</v>
      </c>
      <c r="AF936" s="92">
        <v>0</v>
      </c>
      <c r="AG936" s="92">
        <v>0</v>
      </c>
    </row>
    <row r="937" spans="1:35" x14ac:dyDescent="0.25">
      <c r="A937" t="str">
        <f t="shared" si="18"/>
        <v>3-14-39</v>
      </c>
      <c r="B937">
        <v>3</v>
      </c>
      <c r="C937" s="92" t="s">
        <v>1018</v>
      </c>
      <c r="D937" s="92">
        <v>14</v>
      </c>
      <c r="E937" s="92" t="s">
        <v>571</v>
      </c>
      <c r="F937" s="92">
        <v>39</v>
      </c>
      <c r="G937" s="92" t="s">
        <v>653</v>
      </c>
      <c r="H937" s="92"/>
      <c r="I937" s="92">
        <v>0</v>
      </c>
      <c r="J937" s="92">
        <v>401032677</v>
      </c>
      <c r="K937" s="92" t="s">
        <v>1061</v>
      </c>
      <c r="L937" s="92">
        <v>3223</v>
      </c>
      <c r="M937" s="92">
        <v>2935</v>
      </c>
      <c r="N937" s="92">
        <v>1884</v>
      </c>
      <c r="O937" s="92">
        <v>1884</v>
      </c>
      <c r="P937" s="92">
        <v>0</v>
      </c>
      <c r="Q937" s="92">
        <v>0</v>
      </c>
      <c r="R937" s="92">
        <v>0</v>
      </c>
      <c r="S937" s="92">
        <v>0</v>
      </c>
      <c r="T937" s="92">
        <v>0</v>
      </c>
      <c r="U937" s="92">
        <v>0</v>
      </c>
      <c r="V937" s="92">
        <v>0</v>
      </c>
      <c r="W937" s="92">
        <v>0</v>
      </c>
      <c r="X937" s="92">
        <v>0</v>
      </c>
      <c r="Y937" s="92">
        <v>0</v>
      </c>
      <c r="Z937" s="92">
        <v>0</v>
      </c>
      <c r="AA937" s="92">
        <v>0</v>
      </c>
      <c r="AB937" s="92">
        <v>404871</v>
      </c>
      <c r="AC937" s="92">
        <v>423995</v>
      </c>
      <c r="AD937" s="92">
        <v>442452</v>
      </c>
      <c r="AE937" s="92">
        <v>0</v>
      </c>
      <c r="AF937" s="92">
        <v>0</v>
      </c>
      <c r="AG937" s="92">
        <v>0</v>
      </c>
      <c r="AI937" s="250">
        <v>2.7420800000000001E-4</v>
      </c>
    </row>
    <row r="938" spans="1:35" x14ac:dyDescent="0.25">
      <c r="A938" t="str">
        <f t="shared" si="18"/>
        <v>19-5-8</v>
      </c>
      <c r="B938">
        <v>19</v>
      </c>
      <c r="C938" s="92" t="s">
        <v>1032</v>
      </c>
      <c r="D938" s="92">
        <v>5</v>
      </c>
      <c r="E938" s="92" t="s">
        <v>200</v>
      </c>
      <c r="F938" s="92">
        <v>8</v>
      </c>
      <c r="G938" s="92" t="s">
        <v>812</v>
      </c>
      <c r="H938" s="92"/>
      <c r="I938" s="92">
        <v>0</v>
      </c>
      <c r="J938" s="92">
        <v>9204186</v>
      </c>
      <c r="K938" s="92" t="s">
        <v>1061</v>
      </c>
      <c r="L938" s="92">
        <v>930</v>
      </c>
      <c r="M938" s="92">
        <v>355</v>
      </c>
      <c r="N938" s="92">
        <v>122</v>
      </c>
      <c r="O938" s="92">
        <v>122</v>
      </c>
      <c r="P938" s="92">
        <v>0</v>
      </c>
      <c r="Q938" s="92">
        <v>0</v>
      </c>
      <c r="R938" s="92">
        <v>0</v>
      </c>
      <c r="S938" s="92">
        <v>0</v>
      </c>
      <c r="T938" s="92">
        <v>0</v>
      </c>
      <c r="U938" s="92">
        <v>0</v>
      </c>
      <c r="V938" s="92">
        <v>0</v>
      </c>
      <c r="W938" s="92">
        <v>0</v>
      </c>
      <c r="X938" s="92">
        <v>0</v>
      </c>
      <c r="Y938" s="92">
        <v>0</v>
      </c>
      <c r="Z938" s="92">
        <v>0</v>
      </c>
      <c r="AA938" s="92">
        <v>0</v>
      </c>
      <c r="AB938" s="92">
        <v>54912</v>
      </c>
      <c r="AC938" s="92">
        <v>57374</v>
      </c>
      <c r="AD938" s="92">
        <v>59350</v>
      </c>
      <c r="AE938" s="92">
        <v>0</v>
      </c>
      <c r="AF938" s="92">
        <v>0</v>
      </c>
      <c r="AG938" s="92">
        <v>0</v>
      </c>
      <c r="AI938">
        <v>1.8312E-4</v>
      </c>
    </row>
    <row r="939" spans="1:35" x14ac:dyDescent="0.25">
      <c r="A939" t="str">
        <f t="shared" si="18"/>
        <v>19-9-101</v>
      </c>
      <c r="B939">
        <v>19</v>
      </c>
      <c r="C939" s="92" t="s">
        <v>1032</v>
      </c>
      <c r="D939" s="92">
        <v>9</v>
      </c>
      <c r="E939" s="92" t="s">
        <v>588</v>
      </c>
      <c r="F939" s="92">
        <v>101</v>
      </c>
      <c r="G939" s="92" t="s">
        <v>814</v>
      </c>
      <c r="H939" s="92"/>
      <c r="I939" s="92">
        <v>0</v>
      </c>
      <c r="J939" s="92">
        <v>238000</v>
      </c>
      <c r="K939" s="92" t="s">
        <v>1061</v>
      </c>
      <c r="L939" s="92">
        <v>2471</v>
      </c>
      <c r="M939" s="92">
        <v>326</v>
      </c>
      <c r="N939" s="92">
        <v>214</v>
      </c>
      <c r="O939" s="92">
        <v>214</v>
      </c>
      <c r="P939" s="92">
        <v>0</v>
      </c>
      <c r="Q939" s="92">
        <v>0</v>
      </c>
      <c r="R939" s="92">
        <v>0</v>
      </c>
      <c r="S939" s="92">
        <v>0</v>
      </c>
      <c r="T939" s="92">
        <v>0</v>
      </c>
      <c r="U939" s="92">
        <v>0</v>
      </c>
      <c r="V939" s="92">
        <v>0</v>
      </c>
      <c r="W939" s="92">
        <v>0</v>
      </c>
      <c r="X939" s="92">
        <v>0</v>
      </c>
      <c r="Y939" s="92">
        <v>0</v>
      </c>
      <c r="Z939" s="92">
        <v>0</v>
      </c>
      <c r="AA939" s="92">
        <v>0</v>
      </c>
      <c r="AB939" s="92">
        <v>128248</v>
      </c>
      <c r="AC939" s="92">
        <v>133985</v>
      </c>
      <c r="AD939" s="92">
        <v>138652</v>
      </c>
      <c r="AE939" s="92">
        <v>0</v>
      </c>
      <c r="AF939" s="92">
        <v>0</v>
      </c>
      <c r="AG939" s="92">
        <v>0</v>
      </c>
      <c r="AI939" s="250">
        <v>5.7850200000000005E-4</v>
      </c>
    </row>
    <row r="940" spans="1:35" x14ac:dyDescent="0.25">
      <c r="A940" t="str">
        <f t="shared" si="18"/>
        <v>22-9-80</v>
      </c>
      <c r="B940">
        <v>22</v>
      </c>
      <c r="C940" s="92" t="s">
        <v>1035</v>
      </c>
      <c r="D940" s="92">
        <v>9</v>
      </c>
      <c r="E940" s="92" t="s">
        <v>588</v>
      </c>
      <c r="F940" s="92">
        <v>80</v>
      </c>
      <c r="G940" s="92" t="s">
        <v>844</v>
      </c>
      <c r="H940" s="92"/>
      <c r="I940" s="92">
        <v>0</v>
      </c>
      <c r="J940" s="92">
        <v>865000</v>
      </c>
      <c r="K940" s="92" t="s">
        <v>1061</v>
      </c>
      <c r="L940" s="92">
        <v>8486</v>
      </c>
      <c r="M940" s="92">
        <v>5067</v>
      </c>
      <c r="N940" s="92">
        <v>991</v>
      </c>
      <c r="O940" s="92">
        <v>991</v>
      </c>
      <c r="P940" s="92">
        <v>0</v>
      </c>
      <c r="Q940" s="92">
        <v>0</v>
      </c>
      <c r="R940" s="92">
        <v>0</v>
      </c>
      <c r="S940" s="92">
        <v>0</v>
      </c>
      <c r="T940" s="92">
        <v>0</v>
      </c>
      <c r="U940" s="92">
        <v>0</v>
      </c>
      <c r="V940" s="92">
        <v>0</v>
      </c>
      <c r="W940" s="92">
        <v>0</v>
      </c>
      <c r="X940" s="92">
        <v>0</v>
      </c>
      <c r="Y940" s="92">
        <v>0</v>
      </c>
      <c r="Z940" s="92">
        <v>0</v>
      </c>
      <c r="AA940" s="92">
        <v>0</v>
      </c>
      <c r="AB940" s="92">
        <v>578582</v>
      </c>
      <c r="AC940" s="92">
        <v>578582</v>
      </c>
      <c r="AD940" s="92">
        <v>608630</v>
      </c>
      <c r="AE940" s="92">
        <v>0</v>
      </c>
      <c r="AF940" s="92">
        <v>0</v>
      </c>
      <c r="AG940" s="92">
        <v>0</v>
      </c>
      <c r="AI940" s="250">
        <v>6.33923E-4</v>
      </c>
    </row>
    <row r="941" spans="1:35" x14ac:dyDescent="0.25">
      <c r="A941" t="str">
        <f t="shared" si="18"/>
        <v>43-20-36</v>
      </c>
      <c r="B941">
        <v>43</v>
      </c>
      <c r="C941" s="92" t="s">
        <v>1053</v>
      </c>
      <c r="D941" s="92">
        <v>20</v>
      </c>
      <c r="E941" s="92" t="s">
        <v>153</v>
      </c>
      <c r="F941" s="92">
        <v>36</v>
      </c>
      <c r="G941" s="92" t="s">
        <v>1006</v>
      </c>
      <c r="H941" s="92"/>
      <c r="I941" s="92">
        <v>1616</v>
      </c>
      <c r="J941" s="92">
        <v>813415</v>
      </c>
      <c r="K941" s="92" t="s">
        <v>1061</v>
      </c>
      <c r="L941" s="92">
        <v>0</v>
      </c>
      <c r="M941" s="92">
        <v>0</v>
      </c>
      <c r="N941" s="92">
        <v>0</v>
      </c>
      <c r="O941" s="92">
        <v>0</v>
      </c>
      <c r="P941" s="92">
        <v>0</v>
      </c>
      <c r="Q941" s="92">
        <v>0</v>
      </c>
      <c r="R941" s="92">
        <v>0</v>
      </c>
      <c r="S941" s="92">
        <v>0</v>
      </c>
      <c r="T941" s="92">
        <v>0</v>
      </c>
      <c r="U941" s="92">
        <v>0</v>
      </c>
      <c r="V941" s="92">
        <v>0</v>
      </c>
      <c r="W941" s="92">
        <v>0</v>
      </c>
      <c r="X941" s="92">
        <v>0</v>
      </c>
      <c r="Y941" s="92">
        <v>0</v>
      </c>
      <c r="Z941" s="92">
        <v>0</v>
      </c>
      <c r="AA941" s="92">
        <v>0</v>
      </c>
      <c r="AB941" s="92">
        <v>20026</v>
      </c>
      <c r="AC941" s="92">
        <v>20703</v>
      </c>
      <c r="AD941" s="92">
        <v>21324</v>
      </c>
      <c r="AE941" s="92">
        <v>0</v>
      </c>
      <c r="AF941" s="92">
        <v>0</v>
      </c>
      <c r="AG941" s="92">
        <v>0</v>
      </c>
    </row>
    <row r="942" spans="1:35" x14ac:dyDescent="0.25">
      <c r="A942" t="str">
        <f t="shared" si="18"/>
        <v>30-4-119</v>
      </c>
      <c r="B942">
        <v>30</v>
      </c>
      <c r="C942" s="92" t="s">
        <v>1043</v>
      </c>
      <c r="D942" s="92">
        <v>4</v>
      </c>
      <c r="E942" s="92" t="s">
        <v>66</v>
      </c>
      <c r="F942" s="92">
        <v>119</v>
      </c>
      <c r="G942" s="92" t="s">
        <v>916</v>
      </c>
      <c r="H942" s="92"/>
      <c r="I942" s="92">
        <v>0</v>
      </c>
      <c r="J942" s="92">
        <v>12353542</v>
      </c>
      <c r="K942" s="92" t="s">
        <v>1061</v>
      </c>
      <c r="L942" s="92">
        <v>0</v>
      </c>
      <c r="M942" s="92">
        <v>166</v>
      </c>
      <c r="N942" s="92">
        <v>8</v>
      </c>
      <c r="O942" s="92">
        <v>8</v>
      </c>
      <c r="P942" s="92">
        <v>0</v>
      </c>
      <c r="Q942" s="92">
        <v>0</v>
      </c>
      <c r="R942" s="92">
        <v>0</v>
      </c>
      <c r="S942" s="92">
        <v>0</v>
      </c>
      <c r="T942" s="92">
        <v>0</v>
      </c>
      <c r="U942" s="92">
        <v>0</v>
      </c>
      <c r="V942" s="92">
        <v>0</v>
      </c>
      <c r="W942" s="92">
        <v>0</v>
      </c>
      <c r="X942" s="92">
        <v>0</v>
      </c>
      <c r="Y942" s="92">
        <v>0</v>
      </c>
      <c r="Z942" s="92">
        <v>0</v>
      </c>
      <c r="AA942" s="92">
        <v>0</v>
      </c>
      <c r="AB942" s="92">
        <v>14479</v>
      </c>
      <c r="AC942" s="92">
        <v>15045</v>
      </c>
      <c r="AD942" s="92">
        <v>14000</v>
      </c>
      <c r="AE942" s="92">
        <v>0</v>
      </c>
      <c r="AF942" s="92">
        <v>0</v>
      </c>
      <c r="AG942" s="92">
        <v>0</v>
      </c>
    </row>
    <row r="943" spans="1:35" x14ac:dyDescent="0.25">
      <c r="A943" t="str">
        <f t="shared" si="18"/>
        <v>1-15-5</v>
      </c>
      <c r="B943">
        <v>1</v>
      </c>
      <c r="C943" s="92" t="s">
        <v>1016</v>
      </c>
      <c r="D943" s="92">
        <v>15</v>
      </c>
      <c r="E943" s="92" t="s">
        <v>152</v>
      </c>
      <c r="F943" s="92">
        <v>5</v>
      </c>
      <c r="G943" s="92" t="s">
        <v>616</v>
      </c>
      <c r="H943" s="92"/>
      <c r="I943" s="92">
        <v>320370</v>
      </c>
      <c r="J943" s="92">
        <v>975232341</v>
      </c>
      <c r="K943" s="92" t="s">
        <v>1061</v>
      </c>
      <c r="L943" s="92">
        <v>252</v>
      </c>
      <c r="M943" s="92">
        <v>7299</v>
      </c>
      <c r="N943" s="92">
        <v>1533</v>
      </c>
      <c r="O943" s="92">
        <v>1533</v>
      </c>
      <c r="P943" s="92">
        <v>666</v>
      </c>
      <c r="Q943" s="92">
        <v>852</v>
      </c>
      <c r="R943" s="92">
        <v>1072</v>
      </c>
      <c r="S943" s="92">
        <v>49</v>
      </c>
      <c r="T943" s="92">
        <v>47</v>
      </c>
      <c r="U943" s="92">
        <v>140</v>
      </c>
      <c r="V943" s="92">
        <v>0</v>
      </c>
      <c r="W943" s="92">
        <v>0</v>
      </c>
      <c r="X943" s="92">
        <v>0</v>
      </c>
      <c r="Y943" s="92">
        <v>0</v>
      </c>
      <c r="Z943" s="92">
        <v>0</v>
      </c>
      <c r="AA943" s="92">
        <v>0</v>
      </c>
      <c r="AB943" s="92">
        <v>1471933</v>
      </c>
      <c r="AC943" s="92">
        <v>1544569</v>
      </c>
      <c r="AD943" s="92">
        <v>1635394</v>
      </c>
      <c r="AE943" s="92">
        <v>0</v>
      </c>
      <c r="AF943" s="92">
        <v>0</v>
      </c>
      <c r="AG943" s="92">
        <v>0</v>
      </c>
    </row>
    <row r="944" spans="1:35" x14ac:dyDescent="0.25">
      <c r="A944" t="str">
        <f t="shared" si="18"/>
        <v>9-9-139</v>
      </c>
      <c r="B944">
        <v>9</v>
      </c>
      <c r="C944" s="92" t="s">
        <v>1022</v>
      </c>
      <c r="D944" s="92">
        <v>9</v>
      </c>
      <c r="E944" s="92" t="s">
        <v>588</v>
      </c>
      <c r="F944" s="92">
        <v>139</v>
      </c>
      <c r="G944" s="92" t="s">
        <v>716</v>
      </c>
      <c r="H944" s="92"/>
      <c r="I944" s="92">
        <v>0</v>
      </c>
      <c r="J944" s="92">
        <v>16268201</v>
      </c>
      <c r="K944" s="92" t="s">
        <v>1061</v>
      </c>
      <c r="L944" s="92">
        <v>0</v>
      </c>
      <c r="M944" s="92">
        <v>0</v>
      </c>
      <c r="N944" s="92">
        <v>29</v>
      </c>
      <c r="O944" s="92">
        <v>29</v>
      </c>
      <c r="P944" s="92">
        <v>0</v>
      </c>
      <c r="Q944" s="92">
        <v>0</v>
      </c>
      <c r="R944" s="92">
        <v>0</v>
      </c>
      <c r="S944" s="92">
        <v>0</v>
      </c>
      <c r="T944" s="92">
        <v>69</v>
      </c>
      <c r="U944" s="92">
        <v>501</v>
      </c>
      <c r="V944" s="92">
        <v>0</v>
      </c>
      <c r="W944" s="92">
        <v>0</v>
      </c>
      <c r="X944" s="92">
        <v>0</v>
      </c>
      <c r="Y944" s="92">
        <v>0</v>
      </c>
      <c r="Z944" s="92">
        <v>0</v>
      </c>
      <c r="AA944" s="92">
        <v>0</v>
      </c>
      <c r="AB944" s="92">
        <v>1734665</v>
      </c>
      <c r="AC944" s="92">
        <v>1913857</v>
      </c>
      <c r="AD944" s="92">
        <v>1998723</v>
      </c>
      <c r="AE944" s="92">
        <v>0</v>
      </c>
      <c r="AF944" s="92">
        <v>21750</v>
      </c>
      <c r="AG944" s="92">
        <v>0</v>
      </c>
      <c r="AI944" s="250">
        <v>9.6461099999999998E-4</v>
      </c>
    </row>
    <row r="945" spans="1:35" x14ac:dyDescent="0.25">
      <c r="A945" t="str">
        <f t="shared" si="18"/>
        <v>25-5-33</v>
      </c>
      <c r="B945">
        <v>25</v>
      </c>
      <c r="C945" s="92" t="s">
        <v>1038</v>
      </c>
      <c r="D945" s="92">
        <v>5</v>
      </c>
      <c r="E945" s="92" t="s">
        <v>200</v>
      </c>
      <c r="F945" s="92">
        <v>33</v>
      </c>
      <c r="G945" s="92" t="s">
        <v>1149</v>
      </c>
      <c r="H945" s="92"/>
      <c r="I945" s="92">
        <v>0</v>
      </c>
      <c r="J945" s="92">
        <v>9068568</v>
      </c>
      <c r="K945" s="92"/>
      <c r="L945" s="92">
        <v>0</v>
      </c>
      <c r="M945" s="92">
        <v>0</v>
      </c>
      <c r="N945" s="92">
        <v>0</v>
      </c>
      <c r="O945" s="92">
        <v>0</v>
      </c>
      <c r="P945" s="92">
        <v>0</v>
      </c>
      <c r="Q945" s="92">
        <v>0</v>
      </c>
      <c r="R945" s="92">
        <v>0</v>
      </c>
      <c r="S945" s="92">
        <v>0</v>
      </c>
      <c r="T945" s="92">
        <v>0</v>
      </c>
      <c r="U945" s="92">
        <v>0</v>
      </c>
      <c r="V945" s="92">
        <v>0</v>
      </c>
      <c r="W945" s="92">
        <v>0</v>
      </c>
      <c r="X945" s="92">
        <v>0</v>
      </c>
      <c r="Y945" s="92">
        <v>0</v>
      </c>
      <c r="Z945" s="92">
        <v>0</v>
      </c>
      <c r="AA945" s="92">
        <v>0</v>
      </c>
      <c r="AB945" s="92">
        <v>118891</v>
      </c>
      <c r="AC945" s="92">
        <v>121961</v>
      </c>
      <c r="AD945" s="92">
        <v>121961</v>
      </c>
      <c r="AE945" s="92">
        <v>0</v>
      </c>
      <c r="AF945" s="92">
        <v>0</v>
      </c>
      <c r="AG945" s="92">
        <v>0</v>
      </c>
      <c r="AI945">
        <v>3.5351300000000002E-4</v>
      </c>
    </row>
    <row r="946" spans="1:35" x14ac:dyDescent="0.25">
      <c r="A946" t="str">
        <f t="shared" si="18"/>
        <v>19-12-11</v>
      </c>
      <c r="B946">
        <v>19</v>
      </c>
      <c r="C946" s="92" t="s">
        <v>1032</v>
      </c>
      <c r="D946" s="92">
        <v>12</v>
      </c>
      <c r="E946" s="92" t="s">
        <v>71</v>
      </c>
      <c r="F946" s="92">
        <v>11</v>
      </c>
      <c r="G946" s="92" t="s">
        <v>304</v>
      </c>
      <c r="H946" s="92"/>
      <c r="I946" s="92">
        <v>23602</v>
      </c>
      <c r="J946" s="92">
        <v>1718192</v>
      </c>
      <c r="K946" s="92" t="s">
        <v>1061</v>
      </c>
      <c r="L946" s="92">
        <v>61</v>
      </c>
      <c r="M946" s="92">
        <v>1129</v>
      </c>
      <c r="N946" s="92">
        <v>370</v>
      </c>
      <c r="O946" s="92">
        <v>370</v>
      </c>
      <c r="P946" s="92">
        <v>0</v>
      </c>
      <c r="Q946" s="92">
        <v>0</v>
      </c>
      <c r="R946" s="92">
        <v>0</v>
      </c>
      <c r="S946" s="92">
        <v>0</v>
      </c>
      <c r="T946" s="92">
        <v>0</v>
      </c>
      <c r="U946" s="92">
        <v>0</v>
      </c>
      <c r="V946" s="92">
        <v>0</v>
      </c>
      <c r="W946" s="92">
        <v>0</v>
      </c>
      <c r="X946" s="92">
        <v>0</v>
      </c>
      <c r="Y946" s="92">
        <v>0</v>
      </c>
      <c r="Z946" s="92">
        <v>0</v>
      </c>
      <c r="AA946" s="92">
        <v>0</v>
      </c>
      <c r="AB946" s="92">
        <v>147770</v>
      </c>
      <c r="AC946" s="92">
        <v>154422</v>
      </c>
      <c r="AD946" s="92">
        <v>160708</v>
      </c>
      <c r="AE946" s="92">
        <v>4308</v>
      </c>
      <c r="AF946" s="92">
        <v>4499</v>
      </c>
      <c r="AG946" s="92">
        <v>4681</v>
      </c>
    </row>
    <row r="947" spans="1:35" x14ac:dyDescent="0.25">
      <c r="A947" t="str">
        <f t="shared" si="18"/>
        <v>2-4-202</v>
      </c>
      <c r="B947">
        <v>2</v>
      </c>
      <c r="C947" s="92" t="s">
        <v>1017</v>
      </c>
      <c r="D947" s="92">
        <v>4</v>
      </c>
      <c r="E947" s="92" t="s">
        <v>66</v>
      </c>
      <c r="F947" s="92">
        <v>202</v>
      </c>
      <c r="G947" s="92" t="s">
        <v>628</v>
      </c>
      <c r="H947" s="92"/>
      <c r="I947" s="92">
        <v>0</v>
      </c>
      <c r="J947" s="92">
        <v>407059</v>
      </c>
      <c r="K947" s="92">
        <v>1</v>
      </c>
      <c r="L947" s="92">
        <v>1335</v>
      </c>
      <c r="M947" s="92">
        <v>10213</v>
      </c>
      <c r="N947" s="92">
        <v>492</v>
      </c>
      <c r="O947" s="92">
        <v>492</v>
      </c>
      <c r="P947" s="92">
        <v>0</v>
      </c>
      <c r="Q947" s="92">
        <v>0</v>
      </c>
      <c r="R947" s="92">
        <v>0</v>
      </c>
      <c r="S947" s="92">
        <v>0</v>
      </c>
      <c r="T947" s="92">
        <v>0</v>
      </c>
      <c r="U947" s="92">
        <v>0</v>
      </c>
      <c r="V947" s="92">
        <v>0</v>
      </c>
      <c r="W947" s="92">
        <v>0</v>
      </c>
      <c r="X947" s="92">
        <v>0</v>
      </c>
      <c r="Y947" s="92">
        <v>0</v>
      </c>
      <c r="Z947" s="92">
        <v>0</v>
      </c>
      <c r="AA947" s="92">
        <v>0</v>
      </c>
      <c r="AB947" s="92">
        <v>11023</v>
      </c>
      <c r="AC947" s="92">
        <v>11471</v>
      </c>
      <c r="AD947" s="92">
        <v>11969</v>
      </c>
      <c r="AE947" s="92">
        <v>0</v>
      </c>
      <c r="AF947" s="92">
        <v>0</v>
      </c>
      <c r="AG947" s="92">
        <v>0</v>
      </c>
    </row>
    <row r="948" spans="1:35" x14ac:dyDescent="0.25">
      <c r="A948" t="str">
        <f t="shared" si="18"/>
        <v>25-4-202</v>
      </c>
      <c r="B948">
        <v>25</v>
      </c>
      <c r="C948" s="92" t="s">
        <v>1038</v>
      </c>
      <c r="D948" s="92">
        <v>4</v>
      </c>
      <c r="E948" s="92" t="s">
        <v>66</v>
      </c>
      <c r="F948" s="92">
        <v>202</v>
      </c>
      <c r="G948" s="92" t="s">
        <v>628</v>
      </c>
      <c r="H948" s="92"/>
      <c r="I948" s="92">
        <v>0</v>
      </c>
      <c r="J948" s="92">
        <v>9068568</v>
      </c>
      <c r="K948" s="92">
        <v>1</v>
      </c>
      <c r="L948" s="92">
        <v>1335</v>
      </c>
      <c r="M948" s="92">
        <v>10213</v>
      </c>
      <c r="N948" s="92">
        <v>492</v>
      </c>
      <c r="O948" s="92">
        <v>492</v>
      </c>
      <c r="P948" s="92">
        <v>0</v>
      </c>
      <c r="Q948" s="92">
        <v>0</v>
      </c>
      <c r="R948" s="92">
        <v>0</v>
      </c>
      <c r="S948" s="92">
        <v>0</v>
      </c>
      <c r="T948" s="92">
        <v>0</v>
      </c>
      <c r="U948" s="92">
        <v>0</v>
      </c>
      <c r="V948" s="92">
        <v>0</v>
      </c>
      <c r="W948" s="92">
        <v>0</v>
      </c>
      <c r="X948" s="92">
        <v>0</v>
      </c>
      <c r="Y948" s="92">
        <v>0</v>
      </c>
      <c r="Z948" s="92">
        <v>0</v>
      </c>
      <c r="AA948" s="92">
        <v>0</v>
      </c>
      <c r="AB948" s="92">
        <v>11023</v>
      </c>
      <c r="AC948" s="92">
        <v>11471</v>
      </c>
      <c r="AD948" s="92">
        <v>11969</v>
      </c>
      <c r="AE948" s="92">
        <v>0</v>
      </c>
      <c r="AF948" s="92">
        <v>0</v>
      </c>
      <c r="AG948" s="92">
        <v>0</v>
      </c>
    </row>
    <row r="949" spans="1:35" x14ac:dyDescent="0.25">
      <c r="A949" t="str">
        <f t="shared" si="18"/>
        <v>30-4-118</v>
      </c>
      <c r="B949">
        <v>30</v>
      </c>
      <c r="C949" s="92" t="s">
        <v>1043</v>
      </c>
      <c r="D949" s="92">
        <v>4</v>
      </c>
      <c r="E949" s="92" t="s">
        <v>66</v>
      </c>
      <c r="F949" s="92">
        <v>118</v>
      </c>
      <c r="G949" s="92" t="s">
        <v>915</v>
      </c>
      <c r="H949" s="92"/>
      <c r="I949" s="92">
        <v>0</v>
      </c>
      <c r="J949" s="92">
        <v>30826605</v>
      </c>
      <c r="K949" s="92" t="s">
        <v>1061</v>
      </c>
      <c r="L949" s="92">
        <v>0</v>
      </c>
      <c r="M949" s="92">
        <v>5764</v>
      </c>
      <c r="N949" s="92">
        <v>835</v>
      </c>
      <c r="O949" s="92">
        <v>835</v>
      </c>
      <c r="P949" s="92">
        <v>0</v>
      </c>
      <c r="Q949" s="92">
        <v>0</v>
      </c>
      <c r="R949" s="92">
        <v>0</v>
      </c>
      <c r="S949" s="92">
        <v>0</v>
      </c>
      <c r="T949" s="92">
        <v>0</v>
      </c>
      <c r="U949" s="92">
        <v>0</v>
      </c>
      <c r="V949" s="92">
        <v>0</v>
      </c>
      <c r="W949" s="92">
        <v>0</v>
      </c>
      <c r="X949" s="92">
        <v>0</v>
      </c>
      <c r="Y949" s="92">
        <v>0</v>
      </c>
      <c r="Z949" s="92">
        <v>0</v>
      </c>
      <c r="AA949" s="92">
        <v>0</v>
      </c>
      <c r="AB949" s="92">
        <v>41651</v>
      </c>
      <c r="AC949" s="92">
        <v>43443</v>
      </c>
      <c r="AD949" s="92">
        <v>43443</v>
      </c>
      <c r="AE949" s="92">
        <v>0</v>
      </c>
      <c r="AF949" s="92">
        <v>0</v>
      </c>
      <c r="AG949" s="92">
        <v>0</v>
      </c>
    </row>
    <row r="950" spans="1:35" x14ac:dyDescent="0.25">
      <c r="A950" t="str">
        <f t="shared" si="18"/>
        <v>42-9-146</v>
      </c>
      <c r="B950">
        <v>42</v>
      </c>
      <c r="C950" s="92" t="s">
        <v>1196</v>
      </c>
      <c r="D950" s="92">
        <v>9</v>
      </c>
      <c r="E950" s="92" t="s">
        <v>588</v>
      </c>
      <c r="F950" s="92">
        <v>146</v>
      </c>
      <c r="G950" s="92" t="s">
        <v>995</v>
      </c>
      <c r="H950" s="92"/>
      <c r="I950" s="92">
        <v>1236</v>
      </c>
      <c r="J950" s="92">
        <v>0</v>
      </c>
      <c r="K950" s="92" t="s">
        <v>1061</v>
      </c>
      <c r="L950" s="92">
        <v>0</v>
      </c>
      <c r="M950" s="92">
        <v>0</v>
      </c>
      <c r="N950" s="92">
        <v>0</v>
      </c>
      <c r="O950" s="92">
        <v>0</v>
      </c>
      <c r="P950" s="92">
        <v>381</v>
      </c>
      <c r="Q950" s="92">
        <v>26306.13</v>
      </c>
      <c r="R950" s="92">
        <v>38771</v>
      </c>
      <c r="S950" s="92">
        <v>0</v>
      </c>
      <c r="T950" s="92">
        <v>0</v>
      </c>
      <c r="U950" s="92">
        <v>8</v>
      </c>
      <c r="V950" s="92">
        <v>0</v>
      </c>
      <c r="W950" s="92">
        <v>0</v>
      </c>
      <c r="X950" s="92">
        <v>0</v>
      </c>
      <c r="Y950" s="92">
        <v>0</v>
      </c>
      <c r="Z950" s="92">
        <v>0</v>
      </c>
      <c r="AA950" s="92">
        <v>0</v>
      </c>
      <c r="AB950" s="92">
        <v>105117</v>
      </c>
      <c r="AC950" s="92">
        <v>79192</v>
      </c>
      <c r="AD950" s="92">
        <v>70753</v>
      </c>
      <c r="AE950" s="92">
        <v>0</v>
      </c>
      <c r="AF950" s="92">
        <v>0</v>
      </c>
      <c r="AG950" s="92">
        <v>0</v>
      </c>
      <c r="AI950" s="250">
        <v>5.3402500000000004E-4</v>
      </c>
    </row>
    <row r="951" spans="1:35" x14ac:dyDescent="0.25">
      <c r="A951" t="str">
        <f t="shared" si="18"/>
        <v>44-7-142</v>
      </c>
      <c r="B951">
        <v>44</v>
      </c>
      <c r="C951" s="92" t="s">
        <v>1054</v>
      </c>
      <c r="D951" s="92">
        <v>7</v>
      </c>
      <c r="E951" s="92" t="s">
        <v>586</v>
      </c>
      <c r="F951" s="92">
        <v>142</v>
      </c>
      <c r="G951" s="92" t="s">
        <v>581</v>
      </c>
      <c r="H951" s="92"/>
      <c r="I951" s="92">
        <v>0</v>
      </c>
      <c r="J951" s="92">
        <v>101269718</v>
      </c>
      <c r="K951" s="92" t="s">
        <v>1061</v>
      </c>
      <c r="L951" s="92">
        <v>718</v>
      </c>
      <c r="M951" s="92">
        <v>298</v>
      </c>
      <c r="N951" s="92">
        <v>102</v>
      </c>
      <c r="O951" s="92">
        <v>102</v>
      </c>
      <c r="P951" s="92">
        <v>0</v>
      </c>
      <c r="Q951" s="92">
        <v>0</v>
      </c>
      <c r="R951" s="92">
        <v>0</v>
      </c>
      <c r="S951" s="92">
        <v>0</v>
      </c>
      <c r="T951" s="92">
        <v>0</v>
      </c>
      <c r="U951" s="92">
        <v>0</v>
      </c>
      <c r="V951" s="92">
        <v>0</v>
      </c>
      <c r="W951" s="92">
        <v>0</v>
      </c>
      <c r="X951" s="92">
        <v>0</v>
      </c>
      <c r="Y951" s="92">
        <v>0</v>
      </c>
      <c r="Z951" s="92">
        <v>0</v>
      </c>
      <c r="AA951" s="92">
        <v>0</v>
      </c>
      <c r="AB951" s="92">
        <v>37178</v>
      </c>
      <c r="AC951" s="92">
        <v>38407</v>
      </c>
      <c r="AD951" s="92">
        <v>39919</v>
      </c>
      <c r="AE951" s="92">
        <v>0</v>
      </c>
      <c r="AF951" s="92">
        <v>0</v>
      </c>
      <c r="AG951" s="92">
        <v>0</v>
      </c>
    </row>
    <row r="952" spans="1:35" x14ac:dyDescent="0.25">
      <c r="A952" t="str">
        <f t="shared" si="18"/>
        <v>9-9-174</v>
      </c>
      <c r="B952">
        <v>9</v>
      </c>
      <c r="C952" s="92" t="s">
        <v>1022</v>
      </c>
      <c r="D952" s="92">
        <v>9</v>
      </c>
      <c r="E952" s="92" t="s">
        <v>588</v>
      </c>
      <c r="F952" s="92">
        <v>174</v>
      </c>
      <c r="G952" s="92" t="s">
        <v>718</v>
      </c>
      <c r="H952" s="92"/>
      <c r="I952" s="92">
        <v>0</v>
      </c>
      <c r="J952" s="92">
        <v>0</v>
      </c>
      <c r="K952" s="92" t="s">
        <v>1061</v>
      </c>
      <c r="L952" s="92">
        <v>0</v>
      </c>
      <c r="M952" s="92">
        <v>0</v>
      </c>
      <c r="N952" s="92">
        <v>0</v>
      </c>
      <c r="O952" s="92">
        <v>0</v>
      </c>
      <c r="P952" s="92">
        <v>0</v>
      </c>
      <c r="Q952" s="92">
        <v>0</v>
      </c>
      <c r="R952" s="92">
        <v>0</v>
      </c>
      <c r="S952" s="92">
        <v>0</v>
      </c>
      <c r="T952" s="92">
        <v>341</v>
      </c>
      <c r="U952" s="92">
        <v>0</v>
      </c>
      <c r="V952" s="92">
        <v>0</v>
      </c>
      <c r="W952" s="176">
        <v>0</v>
      </c>
      <c r="X952" s="92">
        <v>0</v>
      </c>
      <c r="Y952" s="92">
        <v>0</v>
      </c>
      <c r="Z952" s="92">
        <v>0</v>
      </c>
      <c r="AA952" s="92">
        <v>0</v>
      </c>
      <c r="AB952" s="92">
        <v>335734</v>
      </c>
      <c r="AC952" s="176">
        <v>359376</v>
      </c>
      <c r="AD952" s="92">
        <v>373565</v>
      </c>
      <c r="AE952" s="92">
        <v>0</v>
      </c>
      <c r="AF952" s="92">
        <v>0</v>
      </c>
      <c r="AG952" s="92">
        <v>0</v>
      </c>
      <c r="AI952" s="250">
        <v>9.7194399999999998E-4</v>
      </c>
    </row>
    <row r="953" spans="1:35" x14ac:dyDescent="0.25">
      <c r="A953" t="str">
        <f t="shared" si="18"/>
        <v>36-7-143</v>
      </c>
      <c r="B953">
        <v>36</v>
      </c>
      <c r="C953" s="92" t="s">
        <v>1048</v>
      </c>
      <c r="D953" s="92">
        <v>7</v>
      </c>
      <c r="E953" s="92" t="s">
        <v>586</v>
      </c>
      <c r="F953" s="92">
        <v>143</v>
      </c>
      <c r="G953" s="92" t="s">
        <v>505</v>
      </c>
      <c r="H953" s="92"/>
      <c r="I953" s="92">
        <v>0</v>
      </c>
      <c r="J953" s="92">
        <v>3346468</v>
      </c>
      <c r="K953" s="92" t="s">
        <v>1061</v>
      </c>
      <c r="L953" s="92">
        <v>99</v>
      </c>
      <c r="M953" s="92">
        <v>1</v>
      </c>
      <c r="N953" s="92">
        <v>4</v>
      </c>
      <c r="O953" s="92">
        <v>4</v>
      </c>
      <c r="P953" s="92">
        <v>0</v>
      </c>
      <c r="Q953" s="92">
        <v>0</v>
      </c>
      <c r="R953" s="92">
        <v>0</v>
      </c>
      <c r="S953" s="92">
        <v>0</v>
      </c>
      <c r="T953" s="92">
        <v>0</v>
      </c>
      <c r="U953" s="92">
        <v>0</v>
      </c>
      <c r="V953" s="92">
        <v>0</v>
      </c>
      <c r="W953" s="92">
        <v>0</v>
      </c>
      <c r="X953" s="92">
        <v>0</v>
      </c>
      <c r="Y953" s="92">
        <v>0</v>
      </c>
      <c r="Z953" s="92">
        <v>0</v>
      </c>
      <c r="AA953" s="92">
        <v>0</v>
      </c>
      <c r="AB953" s="92">
        <v>4365</v>
      </c>
      <c r="AC953" s="92">
        <v>4665</v>
      </c>
      <c r="AD953" s="92">
        <v>4880</v>
      </c>
      <c r="AE953" s="92">
        <v>0</v>
      </c>
      <c r="AF953" s="92">
        <v>0</v>
      </c>
      <c r="AG953" s="92">
        <v>0</v>
      </c>
    </row>
    <row r="954" spans="1:35" x14ac:dyDescent="0.25">
      <c r="A954" t="str">
        <f t="shared" si="18"/>
        <v>36-17-22</v>
      </c>
      <c r="B954">
        <v>36</v>
      </c>
      <c r="C954" s="92" t="s">
        <v>1048</v>
      </c>
      <c r="D954" s="92">
        <v>17</v>
      </c>
      <c r="E954" s="92" t="s">
        <v>593</v>
      </c>
      <c r="F954" s="92">
        <v>22</v>
      </c>
      <c r="G954" s="92" t="s">
        <v>508</v>
      </c>
      <c r="H954" s="92"/>
      <c r="I954" s="92">
        <v>0</v>
      </c>
      <c r="J954" s="92">
        <v>3346468</v>
      </c>
      <c r="K954" s="92" t="s">
        <v>1061</v>
      </c>
      <c r="L954" s="92">
        <v>257</v>
      </c>
      <c r="M954" s="92">
        <v>3</v>
      </c>
      <c r="N954" s="92">
        <v>8</v>
      </c>
      <c r="O954" s="92">
        <v>8</v>
      </c>
      <c r="P954" s="92">
        <v>0</v>
      </c>
      <c r="Q954" s="92">
        <v>0</v>
      </c>
      <c r="R954" s="92">
        <v>0</v>
      </c>
      <c r="S954" s="92">
        <v>0</v>
      </c>
      <c r="T954" s="92">
        <v>0</v>
      </c>
      <c r="U954" s="92">
        <v>0</v>
      </c>
      <c r="V954" s="92">
        <v>0</v>
      </c>
      <c r="W954" s="92">
        <v>0</v>
      </c>
      <c r="X954" s="92">
        <v>0</v>
      </c>
      <c r="Y954" s="92">
        <v>0</v>
      </c>
      <c r="Z954" s="92">
        <v>0</v>
      </c>
      <c r="AA954" s="92">
        <v>0</v>
      </c>
      <c r="AB954" s="92">
        <v>10344</v>
      </c>
      <c r="AC954" s="92">
        <v>11056</v>
      </c>
      <c r="AD954" s="92">
        <v>11567</v>
      </c>
      <c r="AE954" s="92">
        <v>0</v>
      </c>
      <c r="AF954" s="92">
        <v>0</v>
      </c>
      <c r="AG954" s="92">
        <v>0</v>
      </c>
    </row>
    <row r="955" spans="1:35" x14ac:dyDescent="0.25">
      <c r="A955" t="str">
        <f t="shared" si="18"/>
        <v>38-9-119</v>
      </c>
      <c r="B955">
        <v>38</v>
      </c>
      <c r="C955" s="92" t="s">
        <v>1050</v>
      </c>
      <c r="D955" s="92">
        <v>9</v>
      </c>
      <c r="E955" s="92" t="s">
        <v>588</v>
      </c>
      <c r="F955" s="92">
        <v>119</v>
      </c>
      <c r="G955" s="92" t="s">
        <v>524</v>
      </c>
      <c r="H955" s="92"/>
      <c r="I955" s="92">
        <v>1</v>
      </c>
      <c r="J955" s="92">
        <v>0</v>
      </c>
      <c r="K955" s="92" t="s">
        <v>1061</v>
      </c>
      <c r="L955" s="92">
        <v>973</v>
      </c>
      <c r="M955" s="92">
        <v>219</v>
      </c>
      <c r="N955" s="92">
        <v>41</v>
      </c>
      <c r="O955" s="92">
        <v>41</v>
      </c>
      <c r="P955" s="92">
        <v>0</v>
      </c>
      <c r="Q955" s="92">
        <v>0</v>
      </c>
      <c r="R955" s="92">
        <v>0</v>
      </c>
      <c r="S955" s="92">
        <v>0</v>
      </c>
      <c r="T955" s="92">
        <v>0</v>
      </c>
      <c r="U955" s="92">
        <v>0</v>
      </c>
      <c r="V955" s="92">
        <v>0</v>
      </c>
      <c r="W955" s="92">
        <v>0</v>
      </c>
      <c r="X955" s="92">
        <v>0</v>
      </c>
      <c r="Y955" s="92">
        <v>0</v>
      </c>
      <c r="Z955" s="92">
        <v>0</v>
      </c>
      <c r="AA955" s="92">
        <v>0</v>
      </c>
      <c r="AB955" s="92">
        <v>21517</v>
      </c>
      <c r="AC955" s="92">
        <v>22704</v>
      </c>
      <c r="AD955" s="92">
        <v>22704</v>
      </c>
      <c r="AE955" s="92">
        <v>0</v>
      </c>
      <c r="AF955" s="92">
        <v>0</v>
      </c>
      <c r="AG955" s="92">
        <v>0</v>
      </c>
      <c r="AI955" s="250">
        <v>1.9189200000000001E-4</v>
      </c>
    </row>
    <row r="956" spans="1:35" x14ac:dyDescent="0.25">
      <c r="A956" t="str">
        <f t="shared" si="18"/>
        <v>18-7-144</v>
      </c>
      <c r="B956">
        <v>18</v>
      </c>
      <c r="C956" s="92" t="s">
        <v>1031</v>
      </c>
      <c r="D956" s="92">
        <v>7</v>
      </c>
      <c r="E956" s="92" t="s">
        <v>586</v>
      </c>
      <c r="F956" s="92">
        <v>144</v>
      </c>
      <c r="G956" s="92" t="s">
        <v>293</v>
      </c>
      <c r="H956" s="92"/>
      <c r="I956" s="92">
        <v>4557</v>
      </c>
      <c r="J956" s="92">
        <v>510531</v>
      </c>
      <c r="K956" s="92" t="s">
        <v>1061</v>
      </c>
      <c r="L956" s="92">
        <v>46</v>
      </c>
      <c r="M956" s="92">
        <v>121</v>
      </c>
      <c r="N956" s="92">
        <v>0</v>
      </c>
      <c r="O956" s="92">
        <v>0</v>
      </c>
      <c r="P956" s="92">
        <v>0</v>
      </c>
      <c r="Q956" s="92">
        <v>0</v>
      </c>
      <c r="R956" s="92">
        <v>0</v>
      </c>
      <c r="S956" s="92">
        <v>0</v>
      </c>
      <c r="T956" s="92">
        <v>0</v>
      </c>
      <c r="U956" s="92">
        <v>0</v>
      </c>
      <c r="V956" s="92">
        <v>0</v>
      </c>
      <c r="W956" s="92">
        <v>0</v>
      </c>
      <c r="X956" s="92">
        <v>0</v>
      </c>
      <c r="Y956" s="92">
        <v>0</v>
      </c>
      <c r="Z956" s="92">
        <v>0</v>
      </c>
      <c r="AA956" s="92">
        <v>0</v>
      </c>
      <c r="AB956" s="92">
        <v>7600</v>
      </c>
      <c r="AC956" s="92">
        <v>7633</v>
      </c>
      <c r="AD956" s="92">
        <v>7867</v>
      </c>
      <c r="AE956" s="92">
        <v>0</v>
      </c>
      <c r="AF956" s="92">
        <v>0</v>
      </c>
      <c r="AG956" s="92">
        <v>0</v>
      </c>
    </row>
    <row r="957" spans="1:35" x14ac:dyDescent="0.25">
      <c r="A957" t="str">
        <f t="shared" si="18"/>
        <v>9-11-57</v>
      </c>
      <c r="B957">
        <v>9</v>
      </c>
      <c r="C957" s="92" t="s">
        <v>1022</v>
      </c>
      <c r="D957" s="92">
        <v>11</v>
      </c>
      <c r="E957" s="92" t="s">
        <v>1062</v>
      </c>
      <c r="F957" s="92">
        <v>57</v>
      </c>
      <c r="G957" s="92" t="s">
        <v>720</v>
      </c>
      <c r="H957" s="92"/>
      <c r="I957" s="92">
        <v>0</v>
      </c>
      <c r="J957" s="92">
        <v>41781757</v>
      </c>
      <c r="K957" s="92" t="s">
        <v>1061</v>
      </c>
      <c r="L957" s="92">
        <v>501</v>
      </c>
      <c r="M957" s="92">
        <v>16043</v>
      </c>
      <c r="N957" s="92">
        <v>6496</v>
      </c>
      <c r="O957" s="92">
        <v>3622</v>
      </c>
      <c r="P957" s="92">
        <v>0</v>
      </c>
      <c r="Q957" s="92">
        <v>0</v>
      </c>
      <c r="R957" s="92">
        <v>0</v>
      </c>
      <c r="S957" s="92">
        <v>0</v>
      </c>
      <c r="T957" s="92">
        <v>243</v>
      </c>
      <c r="U957" s="92">
        <v>81</v>
      </c>
      <c r="V957" s="92">
        <v>0</v>
      </c>
      <c r="W957" s="92">
        <v>0</v>
      </c>
      <c r="X957" s="92">
        <v>0</v>
      </c>
      <c r="Y957" s="92">
        <v>0</v>
      </c>
      <c r="Z957" s="92">
        <v>0</v>
      </c>
      <c r="AA957" s="92">
        <v>0</v>
      </c>
      <c r="AB957" s="92">
        <v>2221077</v>
      </c>
      <c r="AC957" s="92">
        <v>2354845</v>
      </c>
      <c r="AD957" s="92">
        <v>2473436</v>
      </c>
      <c r="AE957" s="92">
        <v>0</v>
      </c>
      <c r="AF957" s="92">
        <v>0</v>
      </c>
      <c r="AG957" s="92">
        <v>0</v>
      </c>
    </row>
    <row r="958" spans="1:35" x14ac:dyDescent="0.25">
      <c r="A958" t="str">
        <f t="shared" si="18"/>
        <v>19-9-122</v>
      </c>
      <c r="B958">
        <v>19</v>
      </c>
      <c r="C958" s="92" t="s">
        <v>1032</v>
      </c>
      <c r="D958" s="92">
        <v>9</v>
      </c>
      <c r="E958" s="92" t="s">
        <v>588</v>
      </c>
      <c r="F958" s="92">
        <v>122</v>
      </c>
      <c r="G958" s="92" t="s">
        <v>815</v>
      </c>
      <c r="H958" s="92"/>
      <c r="I958" s="92">
        <v>17030</v>
      </c>
      <c r="J958" s="92">
        <v>0</v>
      </c>
      <c r="K958" s="92" t="s">
        <v>1061</v>
      </c>
      <c r="L958" s="92">
        <v>15</v>
      </c>
      <c r="M958" s="92">
        <v>624</v>
      </c>
      <c r="N958" s="92">
        <v>196</v>
      </c>
      <c r="O958" s="92">
        <v>196</v>
      </c>
      <c r="P958" s="92">
        <v>0</v>
      </c>
      <c r="Q958" s="92">
        <v>0</v>
      </c>
      <c r="R958" s="92">
        <v>0</v>
      </c>
      <c r="S958" s="92">
        <v>0</v>
      </c>
      <c r="T958" s="92">
        <v>0</v>
      </c>
      <c r="U958" s="92">
        <v>0</v>
      </c>
      <c r="V958" s="92">
        <v>0</v>
      </c>
      <c r="W958" s="92">
        <v>0</v>
      </c>
      <c r="X958" s="92">
        <v>0</v>
      </c>
      <c r="Y958" s="92">
        <v>0</v>
      </c>
      <c r="Z958" s="92">
        <v>0</v>
      </c>
      <c r="AA958" s="92">
        <v>0</v>
      </c>
      <c r="AB958" s="92">
        <v>90471</v>
      </c>
      <c r="AC958" s="92">
        <v>93635</v>
      </c>
      <c r="AD958" s="92">
        <v>96469</v>
      </c>
      <c r="AE958" s="92">
        <v>0</v>
      </c>
      <c r="AF958" s="92">
        <v>0</v>
      </c>
      <c r="AG958" s="92">
        <v>0</v>
      </c>
      <c r="AI958" s="250">
        <v>2.7939399999999997E-4</v>
      </c>
    </row>
    <row r="959" spans="1:35" x14ac:dyDescent="0.25">
      <c r="A959" t="str">
        <f t="shared" si="18"/>
        <v>40-5-32</v>
      </c>
      <c r="B959">
        <v>40</v>
      </c>
      <c r="C959" s="92" t="s">
        <v>1051</v>
      </c>
      <c r="D959" s="92">
        <v>5</v>
      </c>
      <c r="E959" s="92" t="s">
        <v>200</v>
      </c>
      <c r="F959" s="92">
        <v>32</v>
      </c>
      <c r="G959" s="92" t="s">
        <v>1265</v>
      </c>
      <c r="H959" s="92"/>
      <c r="I959" s="92">
        <v>0</v>
      </c>
      <c r="J959" s="92">
        <v>104126831</v>
      </c>
      <c r="K959" s="92" t="s">
        <v>1061</v>
      </c>
      <c r="L959" s="92">
        <v>0</v>
      </c>
      <c r="M959" s="92">
        <v>0</v>
      </c>
      <c r="N959" s="92">
        <v>1257</v>
      </c>
      <c r="O959" s="92">
        <v>1257</v>
      </c>
      <c r="P959" s="92">
        <v>0</v>
      </c>
      <c r="Q959" s="92">
        <v>0</v>
      </c>
      <c r="R959" s="92">
        <v>0</v>
      </c>
      <c r="S959" s="92">
        <v>80</v>
      </c>
      <c r="T959" s="92">
        <v>0</v>
      </c>
      <c r="U959" s="92">
        <v>0</v>
      </c>
      <c r="V959" s="92">
        <v>0</v>
      </c>
      <c r="W959" s="92">
        <v>0</v>
      </c>
      <c r="X959" s="92">
        <v>0</v>
      </c>
      <c r="Y959" s="92">
        <v>0</v>
      </c>
      <c r="Z959" s="92">
        <v>0</v>
      </c>
      <c r="AA959" s="92">
        <v>0</v>
      </c>
      <c r="AB959" s="92">
        <v>505797</v>
      </c>
      <c r="AC959" s="92">
        <v>522233</v>
      </c>
      <c r="AD959" s="92">
        <v>541764</v>
      </c>
      <c r="AE959" s="92">
        <v>0</v>
      </c>
      <c r="AF959" s="92">
        <v>0</v>
      </c>
      <c r="AG959" s="92">
        <v>0</v>
      </c>
      <c r="AH959" s="92"/>
      <c r="AI959">
        <v>2.25551E-4</v>
      </c>
    </row>
    <row r="960" spans="1:35" x14ac:dyDescent="0.25">
      <c r="A960" t="str">
        <f t="shared" si="18"/>
        <v>9-9-132</v>
      </c>
      <c r="B960">
        <v>9</v>
      </c>
      <c r="C960" s="92" t="s">
        <v>1022</v>
      </c>
      <c r="D960" s="92">
        <v>9</v>
      </c>
      <c r="E960" s="92" t="s">
        <v>588</v>
      </c>
      <c r="F960" s="92">
        <v>132</v>
      </c>
      <c r="G960" s="92" t="s">
        <v>715</v>
      </c>
      <c r="H960" s="92"/>
      <c r="I960" s="92">
        <v>54014</v>
      </c>
      <c r="J960" s="92">
        <v>681344</v>
      </c>
      <c r="K960" s="92" t="s">
        <v>1061</v>
      </c>
      <c r="L960" s="92">
        <v>0</v>
      </c>
      <c r="M960" s="92">
        <v>1126</v>
      </c>
      <c r="N960" s="92">
        <v>204</v>
      </c>
      <c r="O960" s="92">
        <v>204</v>
      </c>
      <c r="P960" s="92">
        <v>0</v>
      </c>
      <c r="Q960" s="92">
        <v>0</v>
      </c>
      <c r="R960" s="92">
        <v>0</v>
      </c>
      <c r="S960" s="92">
        <v>0</v>
      </c>
      <c r="T960" s="92">
        <v>176</v>
      </c>
      <c r="U960" s="92">
        <v>0</v>
      </c>
      <c r="V960" s="92">
        <v>0</v>
      </c>
      <c r="W960" s="92">
        <v>0</v>
      </c>
      <c r="X960" s="92">
        <v>0</v>
      </c>
      <c r="Y960" s="92">
        <v>0</v>
      </c>
      <c r="Z960" s="92">
        <v>0</v>
      </c>
      <c r="AA960" s="92">
        <v>0</v>
      </c>
      <c r="AB960" s="92">
        <v>347270</v>
      </c>
      <c r="AC960" s="92">
        <v>374900</v>
      </c>
      <c r="AD960" s="92">
        <v>396200</v>
      </c>
      <c r="AE960" s="92">
        <v>0</v>
      </c>
      <c r="AF960" s="92">
        <v>0</v>
      </c>
      <c r="AG960" s="92">
        <v>0</v>
      </c>
      <c r="AI960" s="250">
        <v>3.5974299999999999E-4</v>
      </c>
    </row>
    <row r="961" spans="1:35" x14ac:dyDescent="0.25">
      <c r="A961" t="str">
        <f t="shared" si="18"/>
        <v>9-17-27</v>
      </c>
      <c r="B961">
        <v>9</v>
      </c>
      <c r="C961" s="92" t="s">
        <v>1022</v>
      </c>
      <c r="D961" s="92">
        <v>17</v>
      </c>
      <c r="E961" s="92" t="s">
        <v>593</v>
      </c>
      <c r="F961" s="92">
        <v>27</v>
      </c>
      <c r="G961" s="92" t="s">
        <v>192</v>
      </c>
      <c r="H961" s="92"/>
      <c r="I961" s="92">
        <v>41237</v>
      </c>
      <c r="J961" s="92">
        <v>2710540</v>
      </c>
      <c r="K961" s="92" t="s">
        <v>1061</v>
      </c>
      <c r="L961" s="92">
        <v>0</v>
      </c>
      <c r="M961" s="92">
        <v>700</v>
      </c>
      <c r="N961" s="92">
        <v>149</v>
      </c>
      <c r="O961" s="92">
        <v>149</v>
      </c>
      <c r="P961" s="92">
        <v>0</v>
      </c>
      <c r="Q961" s="92">
        <v>0</v>
      </c>
      <c r="R961" s="92">
        <v>0</v>
      </c>
      <c r="S961" s="92">
        <v>0</v>
      </c>
      <c r="T961" s="92">
        <v>133</v>
      </c>
      <c r="U961" s="92">
        <v>0</v>
      </c>
      <c r="V961" s="92">
        <v>0</v>
      </c>
      <c r="W961" s="92">
        <v>0</v>
      </c>
      <c r="X961" s="92">
        <v>0</v>
      </c>
      <c r="Y961" s="92">
        <v>0</v>
      </c>
      <c r="Z961" s="92">
        <v>0</v>
      </c>
      <c r="AA961" s="92">
        <v>0</v>
      </c>
      <c r="AB961" s="92">
        <v>274521</v>
      </c>
      <c r="AC961" s="92">
        <v>308145</v>
      </c>
      <c r="AD961" s="92">
        <v>315929</v>
      </c>
      <c r="AE961" s="92">
        <v>0</v>
      </c>
      <c r="AF961" s="92">
        <v>8795</v>
      </c>
      <c r="AG961" s="92">
        <v>0</v>
      </c>
    </row>
    <row r="962" spans="1:35" x14ac:dyDescent="0.25">
      <c r="A962" t="str">
        <f t="shared" si="18"/>
        <v>6-7-145</v>
      </c>
      <c r="B962">
        <v>6</v>
      </c>
      <c r="C962" s="92" t="s">
        <v>1020</v>
      </c>
      <c r="D962" s="92">
        <v>7</v>
      </c>
      <c r="E962" s="92" t="s">
        <v>586</v>
      </c>
      <c r="F962" s="92">
        <v>145</v>
      </c>
      <c r="G962" s="92" t="s">
        <v>144</v>
      </c>
      <c r="H962" s="92"/>
      <c r="I962" s="92">
        <v>7992</v>
      </c>
      <c r="J962" s="92">
        <v>19111579</v>
      </c>
      <c r="K962" s="92" t="s">
        <v>1061</v>
      </c>
      <c r="L962" s="92">
        <v>818</v>
      </c>
      <c r="M962" s="92">
        <v>948</v>
      </c>
      <c r="N962" s="92">
        <v>198</v>
      </c>
      <c r="O962" s="92">
        <v>198</v>
      </c>
      <c r="P962" s="92">
        <v>0</v>
      </c>
      <c r="Q962" s="92">
        <v>0</v>
      </c>
      <c r="R962" s="92">
        <v>0</v>
      </c>
      <c r="S962" s="92">
        <v>0</v>
      </c>
      <c r="T962" s="92">
        <v>0</v>
      </c>
      <c r="U962" s="92">
        <v>0</v>
      </c>
      <c r="V962" s="92">
        <v>0</v>
      </c>
      <c r="W962" s="92">
        <v>0</v>
      </c>
      <c r="X962" s="92">
        <v>0</v>
      </c>
      <c r="Y962" s="92">
        <v>0</v>
      </c>
      <c r="Z962" s="92">
        <v>0</v>
      </c>
      <c r="AA962" s="92">
        <v>0</v>
      </c>
      <c r="AB962" s="92">
        <v>88767</v>
      </c>
      <c r="AC962" s="92">
        <v>93880</v>
      </c>
      <c r="AD962" s="92">
        <v>98718</v>
      </c>
      <c r="AE962" s="92">
        <v>0</v>
      </c>
      <c r="AF962" s="92">
        <v>0</v>
      </c>
      <c r="AG962" s="92">
        <v>0</v>
      </c>
    </row>
    <row r="963" spans="1:35" x14ac:dyDescent="0.25">
      <c r="A963" t="str">
        <f t="shared" si="18"/>
        <v>6-9-79</v>
      </c>
      <c r="B963">
        <v>6</v>
      </c>
      <c r="C963" s="92" t="s">
        <v>1020</v>
      </c>
      <c r="D963" s="92">
        <v>9</v>
      </c>
      <c r="E963" s="92" t="s">
        <v>588</v>
      </c>
      <c r="F963" s="92">
        <v>79</v>
      </c>
      <c r="G963" s="92" t="s">
        <v>685</v>
      </c>
      <c r="H963" s="92"/>
      <c r="I963" s="92">
        <v>0</v>
      </c>
      <c r="J963" s="92">
        <v>0</v>
      </c>
      <c r="K963" s="92" t="s">
        <v>1061</v>
      </c>
      <c r="L963" s="92">
        <v>7205</v>
      </c>
      <c r="M963" s="92">
        <v>3613</v>
      </c>
      <c r="N963" s="92">
        <v>705</v>
      </c>
      <c r="O963" s="92">
        <v>705</v>
      </c>
      <c r="P963" s="92">
        <v>0</v>
      </c>
      <c r="Q963" s="92">
        <v>0</v>
      </c>
      <c r="R963" s="92">
        <v>0</v>
      </c>
      <c r="S963" s="92">
        <v>0</v>
      </c>
      <c r="T963" s="92">
        <v>0</v>
      </c>
      <c r="U963" s="92">
        <v>0</v>
      </c>
      <c r="V963" s="92">
        <v>0</v>
      </c>
      <c r="W963" s="92">
        <v>0</v>
      </c>
      <c r="X963" s="92">
        <v>0</v>
      </c>
      <c r="Y963" s="92">
        <v>0</v>
      </c>
      <c r="Z963" s="92">
        <v>0</v>
      </c>
      <c r="AA963" s="92">
        <v>0</v>
      </c>
      <c r="AB963" s="92">
        <v>434151</v>
      </c>
      <c r="AC963" s="92">
        <v>461074</v>
      </c>
      <c r="AD963" s="92">
        <v>490381</v>
      </c>
      <c r="AE963" s="92">
        <v>0</v>
      </c>
      <c r="AF963" s="92">
        <v>0</v>
      </c>
      <c r="AG963" s="92">
        <v>0</v>
      </c>
      <c r="AI963" s="250">
        <v>3.2799000000000001E-4</v>
      </c>
    </row>
    <row r="964" spans="1:35" x14ac:dyDescent="0.25">
      <c r="A964" t="str">
        <f t="shared" si="18"/>
        <v>6-4-22</v>
      </c>
      <c r="B964">
        <v>6</v>
      </c>
      <c r="C964" s="92" t="s">
        <v>1020</v>
      </c>
      <c r="D964" s="92">
        <v>4</v>
      </c>
      <c r="E964" s="92" t="s">
        <v>66</v>
      </c>
      <c r="F964" s="92">
        <v>22</v>
      </c>
      <c r="G964" s="92" t="s">
        <v>679</v>
      </c>
      <c r="H964" s="92"/>
      <c r="I964" s="92">
        <v>0</v>
      </c>
      <c r="J964" s="92">
        <v>30907271</v>
      </c>
      <c r="K964" s="92">
        <v>1</v>
      </c>
      <c r="L964" s="92">
        <v>18695</v>
      </c>
      <c r="M964" s="92">
        <v>20733</v>
      </c>
      <c r="N964" s="92">
        <v>7523</v>
      </c>
      <c r="O964" s="92">
        <v>7523</v>
      </c>
      <c r="P964" s="92">
        <v>0</v>
      </c>
      <c r="Q964" s="92">
        <v>0</v>
      </c>
      <c r="R964" s="92">
        <v>0</v>
      </c>
      <c r="S964" s="92">
        <v>0</v>
      </c>
      <c r="T964" s="92">
        <v>0</v>
      </c>
      <c r="U964" s="92">
        <v>0</v>
      </c>
      <c r="V964" s="92">
        <v>0</v>
      </c>
      <c r="W964" s="92">
        <v>0</v>
      </c>
      <c r="X964" s="92">
        <v>0</v>
      </c>
      <c r="Y964" s="92">
        <v>0</v>
      </c>
      <c r="Z964" s="92">
        <v>0</v>
      </c>
      <c r="AA964" s="92">
        <v>0</v>
      </c>
      <c r="AB964" s="92">
        <v>82304</v>
      </c>
      <c r="AC964" s="92">
        <v>88144</v>
      </c>
      <c r="AD964" s="92">
        <v>93335</v>
      </c>
      <c r="AE964" s="92">
        <v>0</v>
      </c>
      <c r="AF964" s="92">
        <v>0</v>
      </c>
      <c r="AG964" s="92">
        <v>0</v>
      </c>
    </row>
    <row r="965" spans="1:35" x14ac:dyDescent="0.25">
      <c r="A965" t="str">
        <f t="shared" si="18"/>
        <v>10-4-22</v>
      </c>
      <c r="B965">
        <v>10</v>
      </c>
      <c r="C965" s="92" t="s">
        <v>1023</v>
      </c>
      <c r="D965" s="92">
        <v>4</v>
      </c>
      <c r="E965" s="92" t="s">
        <v>66</v>
      </c>
      <c r="F965" s="92">
        <v>22</v>
      </c>
      <c r="G965" s="92" t="s">
        <v>679</v>
      </c>
      <c r="H965" s="92"/>
      <c r="I965" s="92">
        <v>0</v>
      </c>
      <c r="J965" s="92">
        <v>6810301</v>
      </c>
      <c r="K965" s="92">
        <v>1</v>
      </c>
      <c r="L965" s="92">
        <v>18695</v>
      </c>
      <c r="M965" s="92">
        <v>20733</v>
      </c>
      <c r="N965" s="92">
        <v>7523</v>
      </c>
      <c r="O965" s="92">
        <v>7523</v>
      </c>
      <c r="P965" s="92">
        <v>0</v>
      </c>
      <c r="Q965" s="92">
        <v>0</v>
      </c>
      <c r="R965" s="92">
        <v>0</v>
      </c>
      <c r="S965" s="92">
        <v>0</v>
      </c>
      <c r="T965" s="92">
        <v>0</v>
      </c>
      <c r="U965" s="92">
        <v>0</v>
      </c>
      <c r="V965" s="92">
        <v>0</v>
      </c>
      <c r="W965" s="92">
        <v>0</v>
      </c>
      <c r="X965" s="92">
        <v>0</v>
      </c>
      <c r="Y965" s="92">
        <v>0</v>
      </c>
      <c r="Z965" s="92">
        <v>0</v>
      </c>
      <c r="AA965" s="92">
        <v>0</v>
      </c>
      <c r="AB965" s="92">
        <v>82304</v>
      </c>
      <c r="AC965" s="92">
        <v>88144</v>
      </c>
      <c r="AD965" s="92">
        <v>93335</v>
      </c>
      <c r="AE965" s="92">
        <v>0</v>
      </c>
      <c r="AF965" s="92">
        <v>0</v>
      </c>
      <c r="AG965" s="92">
        <v>0</v>
      </c>
    </row>
    <row r="966" spans="1:35" x14ac:dyDescent="0.25">
      <c r="A966" t="str">
        <f t="shared" si="18"/>
        <v>10-7-147</v>
      </c>
      <c r="B966">
        <v>10</v>
      </c>
      <c r="C966" s="92" t="s">
        <v>1023</v>
      </c>
      <c r="D966" s="92">
        <v>7</v>
      </c>
      <c r="E966" s="92" t="s">
        <v>586</v>
      </c>
      <c r="F966" s="92">
        <v>147</v>
      </c>
      <c r="G966" s="92" t="s">
        <v>206</v>
      </c>
      <c r="H966" s="92"/>
      <c r="I966" s="92">
        <v>0</v>
      </c>
      <c r="J966" s="92">
        <v>6168429</v>
      </c>
      <c r="K966" s="92">
        <v>1</v>
      </c>
      <c r="L966" s="92">
        <v>1580</v>
      </c>
      <c r="M966" s="92">
        <v>284</v>
      </c>
      <c r="N966" s="92">
        <v>121</v>
      </c>
      <c r="O966" s="92">
        <v>121</v>
      </c>
      <c r="P966" s="92">
        <v>0</v>
      </c>
      <c r="Q966" s="92">
        <v>0</v>
      </c>
      <c r="R966" s="92">
        <v>0</v>
      </c>
      <c r="S966" s="92">
        <v>0</v>
      </c>
      <c r="T966" s="92">
        <v>0</v>
      </c>
      <c r="U966" s="92">
        <v>0</v>
      </c>
      <c r="V966" s="92">
        <v>0</v>
      </c>
      <c r="W966" s="92">
        <v>0</v>
      </c>
      <c r="X966" s="92">
        <v>0</v>
      </c>
      <c r="Y966" s="92">
        <v>0</v>
      </c>
      <c r="Z966" s="92">
        <v>0</v>
      </c>
      <c r="AA966" s="92">
        <v>0</v>
      </c>
      <c r="AB966" s="92">
        <v>51237</v>
      </c>
      <c r="AC966" s="92">
        <v>53802</v>
      </c>
      <c r="AD966" s="92">
        <v>56157</v>
      </c>
      <c r="AE966" s="92">
        <v>0</v>
      </c>
      <c r="AF966" s="92">
        <v>0</v>
      </c>
      <c r="AG966" s="92">
        <v>0</v>
      </c>
    </row>
    <row r="967" spans="1:35" x14ac:dyDescent="0.25">
      <c r="A967" t="str">
        <f t="shared" si="18"/>
        <v>26-7-147</v>
      </c>
      <c r="B967">
        <v>26</v>
      </c>
      <c r="C967" s="92" t="s">
        <v>1039</v>
      </c>
      <c r="D967" s="92">
        <v>7</v>
      </c>
      <c r="E967" s="92" t="s">
        <v>586</v>
      </c>
      <c r="F967" s="92">
        <v>147</v>
      </c>
      <c r="G967" s="92" t="s">
        <v>206</v>
      </c>
      <c r="H967" s="92"/>
      <c r="I967" s="92">
        <v>0</v>
      </c>
      <c r="J967" s="92">
        <v>2984521</v>
      </c>
      <c r="K967" s="92">
        <v>1</v>
      </c>
      <c r="L967" s="92">
        <v>1580</v>
      </c>
      <c r="M967" s="92">
        <v>284</v>
      </c>
      <c r="N967" s="92">
        <v>121</v>
      </c>
      <c r="O967" s="92">
        <v>121</v>
      </c>
      <c r="P967" s="92">
        <v>0</v>
      </c>
      <c r="Q967" s="92">
        <v>0</v>
      </c>
      <c r="R967" s="92">
        <v>0</v>
      </c>
      <c r="S967" s="92">
        <v>0</v>
      </c>
      <c r="T967" s="92">
        <v>0</v>
      </c>
      <c r="U967" s="92">
        <v>0</v>
      </c>
      <c r="V967" s="92">
        <v>0</v>
      </c>
      <c r="W967" s="92">
        <v>0</v>
      </c>
      <c r="X967" s="92">
        <v>0</v>
      </c>
      <c r="Y967" s="92">
        <v>0</v>
      </c>
      <c r="Z967" s="92">
        <v>0</v>
      </c>
      <c r="AA967" s="92">
        <v>0</v>
      </c>
      <c r="AB967" s="92">
        <v>51237</v>
      </c>
      <c r="AC967" s="92">
        <v>53802</v>
      </c>
      <c r="AD967" s="92">
        <v>56157</v>
      </c>
      <c r="AE967" s="92">
        <v>0</v>
      </c>
      <c r="AF967" s="92">
        <v>0</v>
      </c>
      <c r="AG967" s="92">
        <v>0</v>
      </c>
    </row>
    <row r="968" spans="1:35" x14ac:dyDescent="0.25">
      <c r="A968" t="str">
        <f t="shared" si="18"/>
        <v>32-9-98</v>
      </c>
      <c r="B968">
        <v>32</v>
      </c>
      <c r="C968" s="92" t="s">
        <v>1045</v>
      </c>
      <c r="D968" s="92">
        <v>9</v>
      </c>
      <c r="E968" s="92" t="s">
        <v>588</v>
      </c>
      <c r="F968" s="92">
        <v>98</v>
      </c>
      <c r="G968" s="92" t="s">
        <v>934</v>
      </c>
      <c r="H968" s="92"/>
      <c r="I968" s="92">
        <v>172</v>
      </c>
      <c r="J968" s="92">
        <v>1973000</v>
      </c>
      <c r="K968" s="92" t="s">
        <v>1061</v>
      </c>
      <c r="L968" s="92">
        <v>10396</v>
      </c>
      <c r="M968" s="92">
        <v>4249</v>
      </c>
      <c r="N968" s="92">
        <v>999</v>
      </c>
      <c r="O968" s="92">
        <v>999</v>
      </c>
      <c r="P968" s="92">
        <v>0</v>
      </c>
      <c r="Q968" s="92">
        <v>0</v>
      </c>
      <c r="R968" s="92">
        <v>0</v>
      </c>
      <c r="S968" s="92">
        <v>218.94</v>
      </c>
      <c r="T968" s="92">
        <v>264</v>
      </c>
      <c r="U968" s="92">
        <v>549</v>
      </c>
      <c r="V968" s="92">
        <v>0</v>
      </c>
      <c r="W968" s="92">
        <v>0</v>
      </c>
      <c r="X968" s="92">
        <v>0</v>
      </c>
      <c r="Y968" s="92">
        <v>0</v>
      </c>
      <c r="Z968" s="92">
        <v>0</v>
      </c>
      <c r="AA968" s="92">
        <v>0</v>
      </c>
      <c r="AB968" s="92">
        <v>211103</v>
      </c>
      <c r="AC968" s="92">
        <v>221439</v>
      </c>
      <c r="AD968" s="92">
        <v>231476</v>
      </c>
      <c r="AE968" s="92">
        <v>0</v>
      </c>
      <c r="AF968" s="92">
        <v>0</v>
      </c>
      <c r="AG968" s="92">
        <v>0</v>
      </c>
      <c r="AI968" s="250">
        <v>1.1622290000000001E-3</v>
      </c>
    </row>
    <row r="969" spans="1:35" x14ac:dyDescent="0.25">
      <c r="A969" t="str">
        <f t="shared" si="18"/>
        <v>40-2-40</v>
      </c>
      <c r="B969">
        <v>40</v>
      </c>
      <c r="C969" s="92" t="s">
        <v>1051</v>
      </c>
      <c r="D969" s="92">
        <v>2</v>
      </c>
      <c r="E969" s="92" t="s">
        <v>53</v>
      </c>
      <c r="F969" s="92">
        <v>40</v>
      </c>
      <c r="G969" s="92" t="s">
        <v>531</v>
      </c>
      <c r="H969" s="92"/>
      <c r="I969" s="92">
        <v>510382</v>
      </c>
      <c r="J969" s="92">
        <v>104126831</v>
      </c>
      <c r="K969" s="92" t="s">
        <v>1061</v>
      </c>
      <c r="L969" s="92">
        <v>819</v>
      </c>
      <c r="M969" s="92">
        <v>69398</v>
      </c>
      <c r="N969" s="92">
        <v>13307</v>
      </c>
      <c r="O969" s="92">
        <v>13307</v>
      </c>
      <c r="P969" s="92">
        <v>0</v>
      </c>
      <c r="Q969" s="92">
        <v>0</v>
      </c>
      <c r="R969" s="92">
        <v>0</v>
      </c>
      <c r="S969" s="92">
        <v>995.24</v>
      </c>
      <c r="T969" s="92">
        <v>0</v>
      </c>
      <c r="U969" s="92">
        <v>0</v>
      </c>
      <c r="V969" s="92">
        <v>0</v>
      </c>
      <c r="W969" s="92">
        <v>0</v>
      </c>
      <c r="X969" s="92">
        <v>0</v>
      </c>
      <c r="Y969" s="92">
        <v>0</v>
      </c>
      <c r="Z969" s="92">
        <v>0</v>
      </c>
      <c r="AA969" s="92">
        <v>0</v>
      </c>
      <c r="AB969" s="92">
        <v>5274331</v>
      </c>
      <c r="AC969" s="92">
        <v>5449200</v>
      </c>
      <c r="AD969" s="92">
        <v>5650869</v>
      </c>
      <c r="AE969" s="92">
        <v>0</v>
      </c>
      <c r="AF969" s="92">
        <v>0</v>
      </c>
      <c r="AG969" s="92">
        <v>0</v>
      </c>
      <c r="AH969" s="92" t="s">
        <v>1121</v>
      </c>
    </row>
    <row r="970" spans="1:35" x14ac:dyDescent="0.25">
      <c r="A970" t="str">
        <f t="shared" si="18"/>
        <v>28-9-21</v>
      </c>
      <c r="B970">
        <v>28</v>
      </c>
      <c r="C970" s="92" t="s">
        <v>1041</v>
      </c>
      <c r="D970" s="92">
        <v>9</v>
      </c>
      <c r="E970" s="92" t="s">
        <v>588</v>
      </c>
      <c r="F970" s="92">
        <v>21</v>
      </c>
      <c r="G970" s="92" t="s">
        <v>890</v>
      </c>
      <c r="H970" s="92"/>
      <c r="I970" s="92">
        <v>103</v>
      </c>
      <c r="J970" s="92">
        <v>28018108</v>
      </c>
      <c r="K970" s="92">
        <v>1</v>
      </c>
      <c r="L970" s="92">
        <v>1083</v>
      </c>
      <c r="M970" s="92">
        <v>16628</v>
      </c>
      <c r="N970" s="92">
        <v>3196</v>
      </c>
      <c r="O970" s="92">
        <v>3196</v>
      </c>
      <c r="P970" s="92">
        <v>0</v>
      </c>
      <c r="Q970" s="92">
        <v>0</v>
      </c>
      <c r="R970" s="92">
        <v>0</v>
      </c>
      <c r="S970" s="92">
        <v>756</v>
      </c>
      <c r="T970" s="92">
        <v>0</v>
      </c>
      <c r="U970" s="92">
        <v>0</v>
      </c>
      <c r="V970" s="92">
        <v>0</v>
      </c>
      <c r="W970" s="92">
        <v>0</v>
      </c>
      <c r="X970" s="92">
        <v>0</v>
      </c>
      <c r="Y970" s="92">
        <v>0</v>
      </c>
      <c r="Z970" s="92">
        <v>0</v>
      </c>
      <c r="AA970" s="92">
        <v>0</v>
      </c>
      <c r="AB970" s="92">
        <v>1213361</v>
      </c>
      <c r="AC970" s="92">
        <v>1213361</v>
      </c>
      <c r="AD970" s="92">
        <v>1214117</v>
      </c>
      <c r="AE970" s="92">
        <v>0</v>
      </c>
      <c r="AF970" s="92">
        <v>0</v>
      </c>
      <c r="AG970" s="92">
        <v>0</v>
      </c>
      <c r="AI970" s="250">
        <v>9.0649199999999995E-4</v>
      </c>
    </row>
    <row r="971" spans="1:35" x14ac:dyDescent="0.25">
      <c r="A971" t="str">
        <f t="shared" si="18"/>
        <v>40-9-21</v>
      </c>
      <c r="B971">
        <v>40</v>
      </c>
      <c r="C971" s="92" t="s">
        <v>1051</v>
      </c>
      <c r="D971" s="92">
        <v>9</v>
      </c>
      <c r="E971" s="92" t="s">
        <v>588</v>
      </c>
      <c r="F971" s="92">
        <v>21</v>
      </c>
      <c r="G971" s="92" t="s">
        <v>890</v>
      </c>
      <c r="H971" s="92"/>
      <c r="I971" s="92">
        <v>103</v>
      </c>
      <c r="J971" s="92">
        <v>27828528</v>
      </c>
      <c r="K971" s="92">
        <v>1</v>
      </c>
      <c r="L971" s="92">
        <v>1083</v>
      </c>
      <c r="M971" s="92">
        <v>16628</v>
      </c>
      <c r="N971" s="92">
        <v>3196</v>
      </c>
      <c r="O971" s="92">
        <v>3196</v>
      </c>
      <c r="P971" s="92">
        <v>0</v>
      </c>
      <c r="Q971" s="92">
        <v>0</v>
      </c>
      <c r="R971" s="92">
        <v>0</v>
      </c>
      <c r="S971" s="92">
        <v>756</v>
      </c>
      <c r="T971" s="92">
        <v>0</v>
      </c>
      <c r="U971" s="92">
        <v>0</v>
      </c>
      <c r="V971" s="92">
        <v>0</v>
      </c>
      <c r="W971" s="92">
        <v>0</v>
      </c>
      <c r="X971" s="92">
        <v>0</v>
      </c>
      <c r="Y971" s="92">
        <v>0</v>
      </c>
      <c r="Z971" s="92">
        <v>0</v>
      </c>
      <c r="AA971" s="92">
        <v>0</v>
      </c>
      <c r="AB971" s="92">
        <v>1213361</v>
      </c>
      <c r="AC971" s="92">
        <v>1213361</v>
      </c>
      <c r="AD971" s="92">
        <v>1214117</v>
      </c>
      <c r="AE971" s="92">
        <v>0</v>
      </c>
      <c r="AF971" s="92">
        <v>0</v>
      </c>
      <c r="AG971" s="92">
        <v>0</v>
      </c>
      <c r="AI971" s="250">
        <v>9.0649199999999995E-4</v>
      </c>
    </row>
    <row r="972" spans="1:35" x14ac:dyDescent="0.25">
      <c r="A972" t="str">
        <f t="shared" si="18"/>
        <v>40-11-100</v>
      </c>
      <c r="B972">
        <v>40</v>
      </c>
      <c r="C972" s="92" t="s">
        <v>1051</v>
      </c>
      <c r="D972" s="92">
        <v>11</v>
      </c>
      <c r="E972" s="92" t="s">
        <v>1062</v>
      </c>
      <c r="F972" s="92">
        <v>100</v>
      </c>
      <c r="G972" s="92" t="s">
        <v>1104</v>
      </c>
      <c r="H972" s="92">
        <v>1</v>
      </c>
      <c r="I972" s="92">
        <v>0</v>
      </c>
      <c r="J972" s="92">
        <v>103750172</v>
      </c>
      <c r="K972" s="92"/>
      <c r="L972" s="92">
        <v>0</v>
      </c>
      <c r="M972" s="92">
        <v>0</v>
      </c>
      <c r="N972" s="92">
        <v>0</v>
      </c>
      <c r="O972" s="92">
        <v>0</v>
      </c>
      <c r="P972" s="92">
        <v>0</v>
      </c>
      <c r="Q972" s="92">
        <v>0</v>
      </c>
      <c r="R972" s="92">
        <v>0</v>
      </c>
      <c r="S972" s="92">
        <v>0</v>
      </c>
      <c r="T972" s="92">
        <v>0</v>
      </c>
      <c r="U972" s="92">
        <v>0</v>
      </c>
      <c r="V972" s="92">
        <v>0</v>
      </c>
      <c r="W972" s="92">
        <v>0</v>
      </c>
      <c r="X972" s="92">
        <v>0</v>
      </c>
      <c r="Y972" s="92">
        <v>0</v>
      </c>
      <c r="Z972" s="92">
        <v>0</v>
      </c>
      <c r="AA972" s="92">
        <v>0</v>
      </c>
      <c r="AB972" s="92">
        <v>0</v>
      </c>
      <c r="AC972" s="92">
        <v>0</v>
      </c>
      <c r="AD972" s="92">
        <v>4753</v>
      </c>
      <c r="AE972" s="92">
        <v>0</v>
      </c>
      <c r="AF972" s="92">
        <v>0</v>
      </c>
      <c r="AG972" s="92">
        <v>0</v>
      </c>
    </row>
    <row r="973" spans="1:35" x14ac:dyDescent="0.25">
      <c r="A973" t="str">
        <f t="shared" si="18"/>
        <v>40-9-18</v>
      </c>
      <c r="B973">
        <v>40</v>
      </c>
      <c r="C973" s="92" t="s">
        <v>1051</v>
      </c>
      <c r="D973" s="92">
        <v>9</v>
      </c>
      <c r="E973" s="92" t="s">
        <v>588</v>
      </c>
      <c r="F973" s="92">
        <v>18</v>
      </c>
      <c r="G973" s="92" t="s">
        <v>540</v>
      </c>
      <c r="H973" s="92"/>
      <c r="I973" s="92">
        <v>14805</v>
      </c>
      <c r="J973" s="92">
        <v>17749516</v>
      </c>
      <c r="K973" s="92" t="s">
        <v>1061</v>
      </c>
      <c r="L973" s="92">
        <v>0</v>
      </c>
      <c r="M973" s="92">
        <v>4092</v>
      </c>
      <c r="N973" s="92">
        <v>1731</v>
      </c>
      <c r="O973" s="92">
        <v>1731</v>
      </c>
      <c r="P973" s="92">
        <v>0</v>
      </c>
      <c r="Q973" s="92">
        <v>0</v>
      </c>
      <c r="R973" s="92">
        <v>0</v>
      </c>
      <c r="S973" s="92">
        <v>0</v>
      </c>
      <c r="T973" s="92">
        <v>0</v>
      </c>
      <c r="U973" s="92">
        <v>0</v>
      </c>
      <c r="V973" s="92">
        <v>0</v>
      </c>
      <c r="W973" s="92">
        <v>0</v>
      </c>
      <c r="X973" s="92">
        <v>0</v>
      </c>
      <c r="Y973" s="92">
        <v>0</v>
      </c>
      <c r="Z973" s="92">
        <v>0</v>
      </c>
      <c r="AA973" s="92">
        <v>0</v>
      </c>
      <c r="AB973" s="92">
        <v>484301</v>
      </c>
      <c r="AC973" s="92">
        <v>484301</v>
      </c>
      <c r="AD973" s="92">
        <v>501813</v>
      </c>
      <c r="AE973" s="92">
        <v>0</v>
      </c>
      <c r="AF973" s="92">
        <v>0</v>
      </c>
      <c r="AG973" s="92">
        <v>0</v>
      </c>
      <c r="AI973" s="250">
        <v>1.0264510000000001E-3</v>
      </c>
    </row>
    <row r="974" spans="1:35" x14ac:dyDescent="0.25">
      <c r="A974" t="str">
        <f t="shared" si="18"/>
        <v>40-9-23</v>
      </c>
      <c r="B974">
        <v>40</v>
      </c>
      <c r="C974" s="92" t="s">
        <v>1051</v>
      </c>
      <c r="D974" s="92">
        <v>9</v>
      </c>
      <c r="E974" s="92" t="s">
        <v>588</v>
      </c>
      <c r="F974" s="92">
        <v>23</v>
      </c>
      <c r="G974" s="92" t="s">
        <v>975</v>
      </c>
      <c r="H974" s="92"/>
      <c r="I974" s="92">
        <v>6627</v>
      </c>
      <c r="J974" s="92">
        <v>1878305</v>
      </c>
      <c r="K974" s="92" t="s">
        <v>1061</v>
      </c>
      <c r="L974" s="92">
        <v>37</v>
      </c>
      <c r="M974" s="92">
        <v>784</v>
      </c>
      <c r="N974" s="92">
        <v>9</v>
      </c>
      <c r="O974" s="92">
        <v>9</v>
      </c>
      <c r="P974" s="92">
        <v>0</v>
      </c>
      <c r="Q974" s="92">
        <v>0</v>
      </c>
      <c r="R974" s="92">
        <v>0</v>
      </c>
      <c r="S974" s="92">
        <v>0</v>
      </c>
      <c r="T974" s="92">
        <v>0</v>
      </c>
      <c r="U974" s="92">
        <v>0</v>
      </c>
      <c r="V974" s="92">
        <v>0</v>
      </c>
      <c r="W974" s="92">
        <v>0</v>
      </c>
      <c r="X974" s="92">
        <v>0</v>
      </c>
      <c r="Y974" s="92">
        <v>0</v>
      </c>
      <c r="Z974" s="92">
        <v>0</v>
      </c>
      <c r="AA974" s="92">
        <v>0</v>
      </c>
      <c r="AB974" s="92">
        <v>39650</v>
      </c>
      <c r="AC974" s="92">
        <v>40955</v>
      </c>
      <c r="AD974" s="92">
        <v>42065</v>
      </c>
      <c r="AE974" s="92">
        <v>0</v>
      </c>
      <c r="AF974" s="92">
        <v>0</v>
      </c>
      <c r="AG974" s="92">
        <v>0</v>
      </c>
      <c r="AI974" s="250">
        <v>4.8055500000000002E-4</v>
      </c>
    </row>
    <row r="975" spans="1:35" x14ac:dyDescent="0.25">
      <c r="A975" t="str">
        <f t="shared" si="18"/>
        <v>32-11-60</v>
      </c>
      <c r="B975">
        <v>32</v>
      </c>
      <c r="C975" s="92" t="s">
        <v>1045</v>
      </c>
      <c r="D975" s="92">
        <v>11</v>
      </c>
      <c r="E975" s="92" t="s">
        <v>1062</v>
      </c>
      <c r="F975" s="92">
        <v>60</v>
      </c>
      <c r="G975" s="92" t="s">
        <v>475</v>
      </c>
      <c r="H975" s="92"/>
      <c r="I975" s="92">
        <v>0</v>
      </c>
      <c r="J975" s="92">
        <v>79785531</v>
      </c>
      <c r="K975" s="92" t="s">
        <v>1061</v>
      </c>
      <c r="L975" s="92">
        <v>7321</v>
      </c>
      <c r="M975" s="92">
        <v>4281</v>
      </c>
      <c r="N975" s="92">
        <v>1803</v>
      </c>
      <c r="O975" s="92">
        <v>1566</v>
      </c>
      <c r="P975" s="92">
        <v>0</v>
      </c>
      <c r="Q975" s="92">
        <v>0</v>
      </c>
      <c r="R975" s="92">
        <v>0</v>
      </c>
      <c r="S975" s="92">
        <v>170.34</v>
      </c>
      <c r="T975" s="92">
        <v>235</v>
      </c>
      <c r="U975" s="92">
        <v>326</v>
      </c>
      <c r="V975" s="92">
        <v>0</v>
      </c>
      <c r="W975" s="92">
        <v>0</v>
      </c>
      <c r="X975" s="92">
        <v>0</v>
      </c>
      <c r="Y975" s="92">
        <v>0</v>
      </c>
      <c r="Z975" s="92">
        <v>0</v>
      </c>
      <c r="AA975" s="92">
        <v>0</v>
      </c>
      <c r="AB975" s="92">
        <v>307800</v>
      </c>
      <c r="AC975" s="92">
        <v>320104</v>
      </c>
      <c r="AD975" s="92">
        <v>335109</v>
      </c>
      <c r="AE975" s="92">
        <v>0</v>
      </c>
      <c r="AF975" s="92">
        <v>0</v>
      </c>
      <c r="AG975" s="92">
        <v>0</v>
      </c>
    </row>
    <row r="976" spans="1:35" x14ac:dyDescent="0.25">
      <c r="A976" t="str">
        <f t="shared" si="18"/>
        <v>27-4-128</v>
      </c>
      <c r="B976">
        <v>27</v>
      </c>
      <c r="C976" s="92" t="s">
        <v>1040</v>
      </c>
      <c r="D976" s="92">
        <v>4</v>
      </c>
      <c r="E976" s="92" t="s">
        <v>66</v>
      </c>
      <c r="F976" s="92">
        <v>128</v>
      </c>
      <c r="G976" s="92" t="s">
        <v>882</v>
      </c>
      <c r="H976" s="92"/>
      <c r="I976" s="92">
        <v>0</v>
      </c>
      <c r="J976" s="92">
        <v>7240311</v>
      </c>
      <c r="K976" s="92">
        <v>1</v>
      </c>
      <c r="L976" s="92">
        <v>30114</v>
      </c>
      <c r="M976" s="92">
        <v>14676</v>
      </c>
      <c r="N976" s="92">
        <v>1987</v>
      </c>
      <c r="O976" s="92">
        <v>1987</v>
      </c>
      <c r="P976" s="92">
        <v>0</v>
      </c>
      <c r="Q976" s="92">
        <v>0</v>
      </c>
      <c r="R976" s="92">
        <v>0</v>
      </c>
      <c r="S976" s="92">
        <v>0</v>
      </c>
      <c r="T976" s="92">
        <v>81</v>
      </c>
      <c r="U976" s="92">
        <v>35</v>
      </c>
      <c r="V976" s="92">
        <v>0</v>
      </c>
      <c r="W976" s="92">
        <v>0</v>
      </c>
      <c r="X976" s="92">
        <v>0</v>
      </c>
      <c r="Y976" s="92">
        <v>0</v>
      </c>
      <c r="Z976" s="92">
        <v>0</v>
      </c>
      <c r="AA976" s="92">
        <v>0</v>
      </c>
      <c r="AB976" s="92">
        <v>50472</v>
      </c>
      <c r="AC976" s="92">
        <v>50472</v>
      </c>
      <c r="AD976" s="92">
        <v>52680</v>
      </c>
      <c r="AE976" s="92">
        <v>0</v>
      </c>
      <c r="AF976" s="92">
        <v>0</v>
      </c>
      <c r="AG976" s="92">
        <v>0</v>
      </c>
    </row>
    <row r="977" spans="1:35" x14ac:dyDescent="0.25">
      <c r="A977" t="str">
        <f t="shared" si="18"/>
        <v>32-4-128</v>
      </c>
      <c r="B977">
        <v>32</v>
      </c>
      <c r="C977" s="92" t="s">
        <v>1045</v>
      </c>
      <c r="D977" s="92">
        <v>4</v>
      </c>
      <c r="E977" s="92" t="s">
        <v>66</v>
      </c>
      <c r="F977" s="92">
        <v>128</v>
      </c>
      <c r="G977" s="92" t="s">
        <v>882</v>
      </c>
      <c r="H977" s="92"/>
      <c r="I977" s="92">
        <v>0</v>
      </c>
      <c r="J977" s="92">
        <v>94562574</v>
      </c>
      <c r="K977" s="92">
        <v>1</v>
      </c>
      <c r="L977" s="92">
        <v>30114</v>
      </c>
      <c r="M977" s="92">
        <v>14676</v>
      </c>
      <c r="N977" s="92">
        <v>1987</v>
      </c>
      <c r="O977" s="92">
        <v>1987</v>
      </c>
      <c r="P977" s="92">
        <v>0</v>
      </c>
      <c r="Q977" s="92">
        <v>0</v>
      </c>
      <c r="R977" s="92">
        <v>0</v>
      </c>
      <c r="S977" s="92">
        <v>0</v>
      </c>
      <c r="T977" s="92">
        <v>81</v>
      </c>
      <c r="U977" s="92">
        <v>35</v>
      </c>
      <c r="V977" s="92">
        <v>0</v>
      </c>
      <c r="W977" s="92">
        <v>0</v>
      </c>
      <c r="X977" s="92">
        <v>0</v>
      </c>
      <c r="Y977" s="92">
        <v>0</v>
      </c>
      <c r="Z977" s="92">
        <v>0</v>
      </c>
      <c r="AA977" s="92">
        <v>0</v>
      </c>
      <c r="AB977" s="92">
        <v>50472</v>
      </c>
      <c r="AC977" s="92">
        <v>50472</v>
      </c>
      <c r="AD977" s="92">
        <v>52680</v>
      </c>
      <c r="AE977" s="92">
        <v>0</v>
      </c>
      <c r="AF977" s="92">
        <v>0</v>
      </c>
      <c r="AG977" s="92">
        <v>0</v>
      </c>
    </row>
    <row r="978" spans="1:35" x14ac:dyDescent="0.25">
      <c r="A978" t="str">
        <f t="shared" si="18"/>
        <v>7-9-178</v>
      </c>
      <c r="B978">
        <v>7</v>
      </c>
      <c r="C978" s="92" t="s">
        <v>1057</v>
      </c>
      <c r="D978" s="92">
        <v>9</v>
      </c>
      <c r="E978" s="92" t="s">
        <v>588</v>
      </c>
      <c r="F978" s="92">
        <v>178</v>
      </c>
      <c r="G978" s="92" t="s">
        <v>693</v>
      </c>
      <c r="H978" s="92"/>
      <c r="I978" s="92">
        <v>0</v>
      </c>
      <c r="J978" s="92">
        <v>0</v>
      </c>
      <c r="K978" s="92" t="s">
        <v>1061</v>
      </c>
      <c r="L978" s="92">
        <v>0</v>
      </c>
      <c r="M978" s="92">
        <v>77</v>
      </c>
      <c r="N978" s="92">
        <v>0</v>
      </c>
      <c r="O978" s="92">
        <v>0</v>
      </c>
      <c r="P978" s="92">
        <v>0</v>
      </c>
      <c r="Q978" s="92">
        <v>0</v>
      </c>
      <c r="R978" s="92">
        <v>0</v>
      </c>
      <c r="S978" s="92">
        <v>0</v>
      </c>
      <c r="T978" s="92">
        <v>0</v>
      </c>
      <c r="U978" s="92">
        <v>0</v>
      </c>
      <c r="V978" s="92">
        <v>0</v>
      </c>
      <c r="W978" s="92">
        <v>0</v>
      </c>
      <c r="X978" s="92">
        <v>0</v>
      </c>
      <c r="Y978" s="92">
        <v>0</v>
      </c>
      <c r="Z978" s="92">
        <v>0</v>
      </c>
      <c r="AA978" s="92">
        <v>0</v>
      </c>
      <c r="AB978" s="92">
        <v>76475</v>
      </c>
      <c r="AC978" s="92">
        <v>78772</v>
      </c>
      <c r="AD978" s="92">
        <v>81137</v>
      </c>
      <c r="AE978" s="92">
        <v>0</v>
      </c>
      <c r="AF978" s="92">
        <v>0</v>
      </c>
      <c r="AG978" s="92">
        <v>0</v>
      </c>
      <c r="AI978" s="250">
        <v>7.8286199999999995E-4</v>
      </c>
    </row>
    <row r="979" spans="1:35" x14ac:dyDescent="0.25">
      <c r="A979" t="str">
        <f t="shared" si="18"/>
        <v>6-14-38</v>
      </c>
      <c r="B979">
        <v>6</v>
      </c>
      <c r="C979" s="92" t="s">
        <v>1020</v>
      </c>
      <c r="D979" s="92">
        <v>14</v>
      </c>
      <c r="E979" s="92" t="s">
        <v>571</v>
      </c>
      <c r="F979" s="92">
        <v>38</v>
      </c>
      <c r="G979" s="92" t="s">
        <v>151</v>
      </c>
      <c r="H979" s="92"/>
      <c r="I979" s="92">
        <v>0</v>
      </c>
      <c r="J979" s="92">
        <v>51607477</v>
      </c>
      <c r="K979" s="92" t="s">
        <v>1061</v>
      </c>
      <c r="L979" s="92">
        <v>15186</v>
      </c>
      <c r="M979" s="92">
        <v>2577</v>
      </c>
      <c r="N979" s="92">
        <v>1285</v>
      </c>
      <c r="O979" s="92">
        <v>1285</v>
      </c>
      <c r="P979" s="92">
        <v>0</v>
      </c>
      <c r="Q979" s="92">
        <v>0</v>
      </c>
      <c r="R979" s="92">
        <v>0</v>
      </c>
      <c r="S979" s="92">
        <v>0</v>
      </c>
      <c r="T979" s="92">
        <v>0</v>
      </c>
      <c r="U979" s="92">
        <v>0</v>
      </c>
      <c r="V979" s="92">
        <v>0</v>
      </c>
      <c r="W979" s="92">
        <v>0</v>
      </c>
      <c r="X979" s="92">
        <v>0</v>
      </c>
      <c r="Y979" s="92">
        <v>0</v>
      </c>
      <c r="Z979" s="92">
        <v>0</v>
      </c>
      <c r="AA979" s="92">
        <v>0</v>
      </c>
      <c r="AB979" s="92">
        <v>298565</v>
      </c>
      <c r="AC979" s="92">
        <v>313286</v>
      </c>
      <c r="AD979" s="92">
        <v>313286</v>
      </c>
      <c r="AE979" s="92">
        <v>0</v>
      </c>
      <c r="AF979" s="92">
        <v>0</v>
      </c>
      <c r="AG979" s="92">
        <v>0</v>
      </c>
      <c r="AI979" s="250">
        <v>2.9828299999999999E-4</v>
      </c>
    </row>
    <row r="980" spans="1:35" x14ac:dyDescent="0.25">
      <c r="A980" t="str">
        <f t="shared" si="18"/>
        <v>6-4-18</v>
      </c>
      <c r="B980">
        <v>6</v>
      </c>
      <c r="C980" s="92" t="s">
        <v>1020</v>
      </c>
      <c r="D980" s="92">
        <v>4</v>
      </c>
      <c r="E980" s="92" t="s">
        <v>66</v>
      </c>
      <c r="F980" s="92">
        <v>18</v>
      </c>
      <c r="G980" s="92" t="s">
        <v>675</v>
      </c>
      <c r="H980" s="92"/>
      <c r="I980" s="92">
        <v>0</v>
      </c>
      <c r="J980" s="92">
        <v>51607477</v>
      </c>
      <c r="K980" s="92" t="s">
        <v>1061</v>
      </c>
      <c r="L980" s="92">
        <v>157066</v>
      </c>
      <c r="M980" s="92">
        <v>29000</v>
      </c>
      <c r="N980" s="92">
        <v>10336</v>
      </c>
      <c r="O980" s="92">
        <v>10336</v>
      </c>
      <c r="P980" s="92">
        <v>0</v>
      </c>
      <c r="Q980" s="92">
        <v>0</v>
      </c>
      <c r="R980" s="92">
        <v>0</v>
      </c>
      <c r="S980" s="92">
        <v>0</v>
      </c>
      <c r="T980" s="92">
        <v>0</v>
      </c>
      <c r="U980" s="92">
        <v>0</v>
      </c>
      <c r="V980" s="92">
        <v>0</v>
      </c>
      <c r="W980" s="92">
        <v>0</v>
      </c>
      <c r="X980" s="92">
        <v>0</v>
      </c>
      <c r="Y980" s="92">
        <v>0</v>
      </c>
      <c r="Z980" s="92">
        <v>0</v>
      </c>
      <c r="AA980" s="92">
        <v>0</v>
      </c>
      <c r="AB980" s="92">
        <v>164275</v>
      </c>
      <c r="AC980" s="92">
        <v>171889</v>
      </c>
      <c r="AD980" s="92">
        <v>179496</v>
      </c>
      <c r="AE980" s="92">
        <v>0</v>
      </c>
      <c r="AF980" s="92">
        <v>0</v>
      </c>
      <c r="AG980" s="92">
        <v>0</v>
      </c>
    </row>
    <row r="981" spans="1:35" x14ac:dyDescent="0.25">
      <c r="A981" t="str">
        <f t="shared" si="18"/>
        <v>4-4-54</v>
      </c>
      <c r="B981">
        <v>4</v>
      </c>
      <c r="C981" s="92" t="s">
        <v>1194</v>
      </c>
      <c r="D981" s="92">
        <v>4</v>
      </c>
      <c r="E981" s="92" t="s">
        <v>66</v>
      </c>
      <c r="F981" s="92">
        <v>54</v>
      </c>
      <c r="G981" s="92" t="s">
        <v>657</v>
      </c>
      <c r="H981" s="92"/>
      <c r="I981" s="92">
        <v>0</v>
      </c>
      <c r="J981" s="92">
        <v>6243130</v>
      </c>
      <c r="K981" s="92">
        <v>1</v>
      </c>
      <c r="L981" s="92">
        <v>22469</v>
      </c>
      <c r="M981" s="92">
        <v>20696</v>
      </c>
      <c r="N981" s="92">
        <v>7698</v>
      </c>
      <c r="O981" s="92">
        <v>7698</v>
      </c>
      <c r="P981" s="92">
        <v>0</v>
      </c>
      <c r="Q981" s="92">
        <v>0</v>
      </c>
      <c r="R981" s="92">
        <v>0</v>
      </c>
      <c r="S981" s="92">
        <v>0</v>
      </c>
      <c r="T981" s="92">
        <v>0</v>
      </c>
      <c r="U981" s="92">
        <v>0</v>
      </c>
      <c r="V981" s="92">
        <v>0</v>
      </c>
      <c r="W981" s="92">
        <v>0</v>
      </c>
      <c r="X981" s="92">
        <v>0</v>
      </c>
      <c r="Y981" s="92">
        <v>0</v>
      </c>
      <c r="Z981" s="92">
        <v>0</v>
      </c>
      <c r="AA981" s="92">
        <v>0</v>
      </c>
      <c r="AB981" s="92">
        <v>49148</v>
      </c>
      <c r="AC981" s="92">
        <v>51067</v>
      </c>
      <c r="AD981" s="92">
        <v>53138</v>
      </c>
      <c r="AE981" s="92">
        <v>0</v>
      </c>
      <c r="AF981" s="92">
        <v>0</v>
      </c>
      <c r="AG981" s="92">
        <v>0</v>
      </c>
    </row>
    <row r="982" spans="1:35" x14ac:dyDescent="0.25">
      <c r="A982" t="str">
        <f t="shared" si="18"/>
        <v>10-4-54</v>
      </c>
      <c r="B982">
        <v>10</v>
      </c>
      <c r="C982" s="92" t="s">
        <v>1023</v>
      </c>
      <c r="D982" s="92">
        <v>4</v>
      </c>
      <c r="E982" s="92" t="s">
        <v>66</v>
      </c>
      <c r="F982" s="92">
        <v>54</v>
      </c>
      <c r="G982" s="92" t="s">
        <v>657</v>
      </c>
      <c r="H982" s="92"/>
      <c r="I982" s="92">
        <v>0</v>
      </c>
      <c r="J982" s="92">
        <v>231103</v>
      </c>
      <c r="K982" s="92">
        <v>1</v>
      </c>
      <c r="L982" s="92">
        <v>22469</v>
      </c>
      <c r="M982" s="92">
        <v>20696</v>
      </c>
      <c r="N982" s="92">
        <v>7698</v>
      </c>
      <c r="O982" s="92">
        <v>7698</v>
      </c>
      <c r="P982" s="92">
        <v>0</v>
      </c>
      <c r="Q982" s="92">
        <v>0</v>
      </c>
      <c r="R982" s="92">
        <v>0</v>
      </c>
      <c r="S982" s="92">
        <v>0</v>
      </c>
      <c r="T982" s="92">
        <v>0</v>
      </c>
      <c r="U982" s="92">
        <v>0</v>
      </c>
      <c r="V982" s="92">
        <v>0</v>
      </c>
      <c r="W982" s="92">
        <v>0</v>
      </c>
      <c r="X982" s="92">
        <v>0</v>
      </c>
      <c r="Y982" s="92">
        <v>0</v>
      </c>
      <c r="Z982" s="92">
        <v>0</v>
      </c>
      <c r="AA982" s="92">
        <v>0</v>
      </c>
      <c r="AB982" s="92">
        <v>49148</v>
      </c>
      <c r="AC982" s="92">
        <v>51067</v>
      </c>
      <c r="AD982" s="92">
        <v>53138</v>
      </c>
      <c r="AE982" s="92">
        <v>0</v>
      </c>
      <c r="AF982" s="92">
        <v>0</v>
      </c>
      <c r="AG982" s="92">
        <v>0</v>
      </c>
    </row>
    <row r="983" spans="1:35" x14ac:dyDescent="0.25">
      <c r="A983" t="str">
        <f t="shared" si="18"/>
        <v>15-4-54</v>
      </c>
      <c r="B983">
        <v>15</v>
      </c>
      <c r="C983" s="92" t="s">
        <v>1028</v>
      </c>
      <c r="D983" s="92">
        <v>4</v>
      </c>
      <c r="E983" s="92" t="s">
        <v>66</v>
      </c>
      <c r="F983" s="92">
        <v>54</v>
      </c>
      <c r="G983" s="92" t="s">
        <v>657</v>
      </c>
      <c r="H983" s="92"/>
      <c r="I983" s="92">
        <v>0</v>
      </c>
      <c r="J983" s="92">
        <v>110252987</v>
      </c>
      <c r="K983" s="92">
        <v>1</v>
      </c>
      <c r="L983" s="92">
        <v>22469</v>
      </c>
      <c r="M983" s="92">
        <v>20696</v>
      </c>
      <c r="N983" s="92">
        <v>7698</v>
      </c>
      <c r="O983" s="92">
        <v>7698</v>
      </c>
      <c r="P983" s="92">
        <v>0</v>
      </c>
      <c r="Q983" s="92">
        <v>0</v>
      </c>
      <c r="R983" s="92">
        <v>0</v>
      </c>
      <c r="S983" s="92">
        <v>0</v>
      </c>
      <c r="T983" s="92">
        <v>0</v>
      </c>
      <c r="U983" s="92">
        <v>0</v>
      </c>
      <c r="V983" s="92">
        <v>0</v>
      </c>
      <c r="W983" s="92">
        <v>0</v>
      </c>
      <c r="X983" s="92">
        <v>0</v>
      </c>
      <c r="Y983" s="92">
        <v>0</v>
      </c>
      <c r="Z983" s="92">
        <v>0</v>
      </c>
      <c r="AA983" s="92">
        <v>0</v>
      </c>
      <c r="AB983" s="92">
        <v>49148</v>
      </c>
      <c r="AC983" s="92">
        <v>51067</v>
      </c>
      <c r="AD983" s="92">
        <v>53138</v>
      </c>
      <c r="AE983" s="92">
        <v>0</v>
      </c>
      <c r="AF983" s="92">
        <v>0</v>
      </c>
      <c r="AG983" s="92">
        <v>0</v>
      </c>
    </row>
    <row r="984" spans="1:35" x14ac:dyDescent="0.25">
      <c r="A984" t="str">
        <f t="shared" si="18"/>
        <v>11-9-175</v>
      </c>
      <c r="B984">
        <v>11</v>
      </c>
      <c r="C984" s="92" t="s">
        <v>1024</v>
      </c>
      <c r="D984" s="92">
        <v>9</v>
      </c>
      <c r="E984" s="92" t="s">
        <v>588</v>
      </c>
      <c r="F984" s="92">
        <v>175</v>
      </c>
      <c r="G984" s="92" t="s">
        <v>739</v>
      </c>
      <c r="H984" s="92"/>
      <c r="I984" s="92">
        <v>0</v>
      </c>
      <c r="J984" s="92">
        <v>1060205</v>
      </c>
      <c r="K984" s="92" t="s">
        <v>1061</v>
      </c>
      <c r="L984" s="92">
        <v>0</v>
      </c>
      <c r="M984" s="92">
        <v>1293</v>
      </c>
      <c r="N984" s="92">
        <v>224</v>
      </c>
      <c r="O984" s="92">
        <v>224</v>
      </c>
      <c r="P984" s="92">
        <v>0</v>
      </c>
      <c r="Q984" s="92">
        <v>0</v>
      </c>
      <c r="R984" s="92">
        <v>0</v>
      </c>
      <c r="S984" s="92">
        <v>0</v>
      </c>
      <c r="T984" s="92">
        <v>0</v>
      </c>
      <c r="U984" s="92">
        <v>0</v>
      </c>
      <c r="V984" s="92">
        <v>0</v>
      </c>
      <c r="W984" s="92">
        <v>0</v>
      </c>
      <c r="X984" s="92">
        <v>0</v>
      </c>
      <c r="Y984" s="92">
        <v>0</v>
      </c>
      <c r="Z984" s="92">
        <v>0</v>
      </c>
      <c r="AA984" s="92">
        <v>0</v>
      </c>
      <c r="AB984" s="92">
        <v>236082</v>
      </c>
      <c r="AC984" s="92">
        <v>245822</v>
      </c>
      <c r="AD984" s="92">
        <v>259186</v>
      </c>
      <c r="AE984" s="92">
        <v>0</v>
      </c>
      <c r="AF984" s="92">
        <v>0</v>
      </c>
      <c r="AG984" s="92">
        <v>0</v>
      </c>
      <c r="AI984" s="250">
        <v>7.6064199999999996E-4</v>
      </c>
    </row>
    <row r="985" spans="1:35" x14ac:dyDescent="0.25">
      <c r="A985" t="str">
        <f t="shared" si="18"/>
        <v>29-11-58</v>
      </c>
      <c r="B985">
        <v>29</v>
      </c>
      <c r="C985" s="92" t="s">
        <v>1042</v>
      </c>
      <c r="D985" s="92">
        <v>11</v>
      </c>
      <c r="E985" s="92" t="s">
        <v>1062</v>
      </c>
      <c r="F985" s="92">
        <v>58</v>
      </c>
      <c r="G985" s="92" t="s">
        <v>913</v>
      </c>
      <c r="H985" s="92"/>
      <c r="I985" s="92">
        <v>50574</v>
      </c>
      <c r="J985" s="92">
        <v>11893522</v>
      </c>
      <c r="K985" s="92">
        <v>1</v>
      </c>
      <c r="L985" s="92">
        <v>14777</v>
      </c>
      <c r="M985" s="92">
        <v>1972</v>
      </c>
      <c r="N985" s="92">
        <v>1289</v>
      </c>
      <c r="O985" s="92">
        <v>951</v>
      </c>
      <c r="P985" s="92">
        <v>0</v>
      </c>
      <c r="Q985" s="92">
        <v>0</v>
      </c>
      <c r="R985" s="92">
        <v>0</v>
      </c>
      <c r="S985" s="92">
        <v>273</v>
      </c>
      <c r="T985" s="92">
        <v>246</v>
      </c>
      <c r="U985" s="92">
        <v>0</v>
      </c>
      <c r="V985" s="92">
        <v>0</v>
      </c>
      <c r="W985" s="92">
        <v>0</v>
      </c>
      <c r="X985" s="92">
        <v>0</v>
      </c>
      <c r="Y985" s="92">
        <v>0</v>
      </c>
      <c r="Z985" s="92">
        <v>0</v>
      </c>
      <c r="AA985" s="92">
        <v>0</v>
      </c>
      <c r="AB985" s="92">
        <v>426766</v>
      </c>
      <c r="AC985" s="92">
        <v>429985</v>
      </c>
      <c r="AD985" s="92">
        <v>415097</v>
      </c>
      <c r="AE985" s="92">
        <v>0</v>
      </c>
      <c r="AF985" s="92">
        <v>0</v>
      </c>
      <c r="AG985" s="92">
        <v>0</v>
      </c>
    </row>
    <row r="986" spans="1:35" x14ac:dyDescent="0.25">
      <c r="A986" t="str">
        <f t="shared" ref="A986:A1050" si="19">B986&amp;"-"&amp;D986&amp;"-"&amp;F986</f>
        <v>35-11-58</v>
      </c>
      <c r="B986">
        <v>35</v>
      </c>
      <c r="C986" s="92" t="s">
        <v>1195</v>
      </c>
      <c r="D986" s="92">
        <v>11</v>
      </c>
      <c r="E986" s="92" t="s">
        <v>1062</v>
      </c>
      <c r="F986" s="92">
        <v>58</v>
      </c>
      <c r="G986" s="92" t="s">
        <v>913</v>
      </c>
      <c r="H986" s="92"/>
      <c r="I986" s="92">
        <v>50574</v>
      </c>
      <c r="J986" s="92">
        <v>1483753</v>
      </c>
      <c r="K986" s="92">
        <v>1</v>
      </c>
      <c r="L986" s="92">
        <v>14777</v>
      </c>
      <c r="M986" s="92">
        <v>1972</v>
      </c>
      <c r="N986" s="92">
        <v>1289</v>
      </c>
      <c r="O986" s="92">
        <v>951</v>
      </c>
      <c r="P986" s="92">
        <v>0</v>
      </c>
      <c r="Q986" s="92">
        <v>0</v>
      </c>
      <c r="R986" s="92">
        <v>0</v>
      </c>
      <c r="S986" s="92">
        <v>273</v>
      </c>
      <c r="T986" s="92">
        <v>246</v>
      </c>
      <c r="U986" s="92">
        <v>0</v>
      </c>
      <c r="V986" s="92">
        <v>0</v>
      </c>
      <c r="W986" s="92">
        <v>0</v>
      </c>
      <c r="X986" s="92">
        <v>0</v>
      </c>
      <c r="Y986" s="92">
        <v>0</v>
      </c>
      <c r="Z986" s="92">
        <v>0</v>
      </c>
      <c r="AA986" s="92">
        <v>0</v>
      </c>
      <c r="AB986" s="92">
        <v>426766</v>
      </c>
      <c r="AC986" s="92">
        <v>429985</v>
      </c>
      <c r="AD986" s="92">
        <v>415097</v>
      </c>
      <c r="AE986" s="92">
        <v>0</v>
      </c>
      <c r="AF986" s="92">
        <v>0</v>
      </c>
      <c r="AG986" s="92">
        <v>0</v>
      </c>
    </row>
    <row r="987" spans="1:35" x14ac:dyDescent="0.25">
      <c r="A987" t="str">
        <f t="shared" si="19"/>
        <v>27-13-4</v>
      </c>
      <c r="B987">
        <v>27</v>
      </c>
      <c r="C987" s="92" t="s">
        <v>1040</v>
      </c>
      <c r="D987" s="92">
        <v>13</v>
      </c>
      <c r="E987" s="92" t="s">
        <v>209</v>
      </c>
      <c r="F987" s="92">
        <v>4</v>
      </c>
      <c r="G987" s="92" t="s">
        <v>1266</v>
      </c>
      <c r="H987" s="92"/>
      <c r="I987" s="92">
        <v>0</v>
      </c>
      <c r="J987" s="92">
        <v>147899680</v>
      </c>
      <c r="K987" s="92">
        <v>1</v>
      </c>
      <c r="L987" s="92">
        <v>151485</v>
      </c>
      <c r="M987" s="92">
        <v>68611</v>
      </c>
      <c r="N987" s="92">
        <v>24271</v>
      </c>
      <c r="O987" s="92">
        <v>24271</v>
      </c>
      <c r="P987" s="92">
        <v>349</v>
      </c>
      <c r="Q987" s="92">
        <v>21828</v>
      </c>
      <c r="R987" s="92">
        <v>45928</v>
      </c>
      <c r="S987" s="92">
        <v>1016</v>
      </c>
      <c r="T987" s="92">
        <v>607</v>
      </c>
      <c r="U987" s="92">
        <v>2224</v>
      </c>
      <c r="V987" s="92">
        <v>0</v>
      </c>
      <c r="W987" s="92">
        <v>4431</v>
      </c>
      <c r="X987" s="92">
        <v>0</v>
      </c>
      <c r="Y987" s="92">
        <v>0</v>
      </c>
      <c r="Z987" s="92">
        <v>0</v>
      </c>
      <c r="AA987" s="92">
        <v>0</v>
      </c>
      <c r="AB987" s="92">
        <v>9987305</v>
      </c>
      <c r="AC987" s="92">
        <v>10448088</v>
      </c>
      <c r="AD987" s="92">
        <v>10982344</v>
      </c>
      <c r="AE987" s="92">
        <v>0</v>
      </c>
      <c r="AF987" s="92">
        <v>0</v>
      </c>
      <c r="AG987" s="92">
        <v>0</v>
      </c>
    </row>
    <row r="988" spans="1:35" x14ac:dyDescent="0.25">
      <c r="A988" t="str">
        <f t="shared" si="19"/>
        <v>42-13-4</v>
      </c>
      <c r="B988">
        <v>42</v>
      </c>
      <c r="C988" s="92" t="s">
        <v>1196</v>
      </c>
      <c r="D988" s="92">
        <v>13</v>
      </c>
      <c r="E988" s="92" t="s">
        <v>209</v>
      </c>
      <c r="F988" s="92">
        <v>4</v>
      </c>
      <c r="G988" s="92" t="s">
        <v>1266</v>
      </c>
      <c r="H988" s="92"/>
      <c r="I988" s="92">
        <v>0</v>
      </c>
      <c r="J988" s="92">
        <v>327479746</v>
      </c>
      <c r="K988" s="92">
        <v>1</v>
      </c>
      <c r="L988" s="92">
        <v>151485</v>
      </c>
      <c r="M988" s="92">
        <v>68611</v>
      </c>
      <c r="N988" s="92">
        <v>24271</v>
      </c>
      <c r="O988" s="92">
        <v>24271</v>
      </c>
      <c r="P988" s="92">
        <v>349</v>
      </c>
      <c r="Q988" s="92">
        <v>21828</v>
      </c>
      <c r="R988" s="92">
        <v>45928</v>
      </c>
      <c r="S988" s="92">
        <v>1016</v>
      </c>
      <c r="T988" s="92">
        <v>607</v>
      </c>
      <c r="U988" s="92">
        <v>2224</v>
      </c>
      <c r="V988" s="92">
        <v>0</v>
      </c>
      <c r="W988" s="92">
        <v>4431</v>
      </c>
      <c r="X988" s="92">
        <v>0</v>
      </c>
      <c r="Y988" s="92">
        <v>0</v>
      </c>
      <c r="Z988" s="92">
        <v>0</v>
      </c>
      <c r="AA988" s="92">
        <v>0</v>
      </c>
      <c r="AB988" s="92">
        <v>9987305</v>
      </c>
      <c r="AC988" s="92">
        <v>10448088</v>
      </c>
      <c r="AD988" s="92">
        <v>10982344</v>
      </c>
      <c r="AE988" s="92">
        <v>0</v>
      </c>
      <c r="AF988" s="92">
        <v>0</v>
      </c>
      <c r="AG988" s="92">
        <v>0</v>
      </c>
    </row>
    <row r="989" spans="1:35" x14ac:dyDescent="0.25">
      <c r="A989" t="str">
        <f t="shared" si="19"/>
        <v>9-20-20</v>
      </c>
      <c r="B989">
        <v>9</v>
      </c>
      <c r="C989" s="92" t="s">
        <v>1022</v>
      </c>
      <c r="D989" s="92">
        <v>20</v>
      </c>
      <c r="E989" s="92" t="s">
        <v>153</v>
      </c>
      <c r="F989" s="92">
        <v>20</v>
      </c>
      <c r="G989" s="92" t="s">
        <v>1100</v>
      </c>
      <c r="H989" s="92"/>
      <c r="I989" s="92">
        <v>0</v>
      </c>
      <c r="J989" s="92">
        <v>9181609</v>
      </c>
      <c r="K989" s="92" t="s">
        <v>1061</v>
      </c>
      <c r="L989" s="92">
        <v>0</v>
      </c>
      <c r="M989" s="92">
        <v>0</v>
      </c>
      <c r="N989" s="92">
        <v>27</v>
      </c>
      <c r="O989" s="92">
        <v>27</v>
      </c>
      <c r="P989" s="92">
        <v>0</v>
      </c>
      <c r="Q989" s="92">
        <v>0</v>
      </c>
      <c r="R989" s="92">
        <v>0</v>
      </c>
      <c r="S989" s="92">
        <v>0</v>
      </c>
      <c r="T989" s="92">
        <v>0</v>
      </c>
      <c r="U989" s="92">
        <v>65</v>
      </c>
      <c r="V989" s="92">
        <v>0</v>
      </c>
      <c r="W989" s="92">
        <v>0</v>
      </c>
      <c r="X989" s="92">
        <v>0</v>
      </c>
      <c r="Y989" s="92">
        <v>0</v>
      </c>
      <c r="Z989" s="92">
        <v>0</v>
      </c>
      <c r="AA989" s="92">
        <v>0</v>
      </c>
      <c r="AB989" s="92">
        <v>124977</v>
      </c>
      <c r="AC989" s="92">
        <v>124973</v>
      </c>
      <c r="AD989" s="92">
        <v>128658</v>
      </c>
      <c r="AE989" s="92">
        <v>0</v>
      </c>
      <c r="AF989" s="92">
        <v>0</v>
      </c>
      <c r="AG989" s="92">
        <v>0</v>
      </c>
    </row>
    <row r="990" spans="1:35" x14ac:dyDescent="0.25">
      <c r="A990" t="str">
        <f t="shared" si="19"/>
        <v>18-7-148</v>
      </c>
      <c r="B990">
        <v>18</v>
      </c>
      <c r="C990" s="92" t="s">
        <v>1031</v>
      </c>
      <c r="D990" s="92">
        <v>7</v>
      </c>
      <c r="E990" s="92" t="s">
        <v>586</v>
      </c>
      <c r="F990" s="92">
        <v>148</v>
      </c>
      <c r="G990" s="92" t="s">
        <v>294</v>
      </c>
      <c r="H990" s="92"/>
      <c r="I990" s="92">
        <v>1670</v>
      </c>
      <c r="J990" s="92">
        <v>180677</v>
      </c>
      <c r="K990" s="92">
        <v>1</v>
      </c>
      <c r="L990" s="92">
        <v>44</v>
      </c>
      <c r="M990" s="92">
        <v>26</v>
      </c>
      <c r="N990" s="92">
        <v>7</v>
      </c>
      <c r="O990" s="92">
        <v>7</v>
      </c>
      <c r="P990" s="92">
        <v>0</v>
      </c>
      <c r="Q990" s="92">
        <v>0</v>
      </c>
      <c r="R990" s="92">
        <v>0</v>
      </c>
      <c r="S990" s="92">
        <v>0</v>
      </c>
      <c r="T990" s="92">
        <v>0</v>
      </c>
      <c r="U990" s="92">
        <v>11</v>
      </c>
      <c r="V990" s="92">
        <v>0</v>
      </c>
      <c r="W990" s="92">
        <v>0</v>
      </c>
      <c r="X990" s="92">
        <v>0</v>
      </c>
      <c r="Y990" s="92">
        <v>0</v>
      </c>
      <c r="Z990" s="92">
        <v>0</v>
      </c>
      <c r="AA990" s="92">
        <v>0</v>
      </c>
      <c r="AB990" s="92">
        <v>1423</v>
      </c>
      <c r="AC990" s="92">
        <v>1474</v>
      </c>
      <c r="AD990" s="92">
        <v>1412</v>
      </c>
      <c r="AE990" s="92">
        <v>0</v>
      </c>
      <c r="AF990" s="92">
        <v>0</v>
      </c>
      <c r="AG990" s="92">
        <v>0</v>
      </c>
    </row>
    <row r="991" spans="1:35" x14ac:dyDescent="0.25">
      <c r="A991" t="str">
        <f t="shared" si="19"/>
        <v>35-7-148</v>
      </c>
      <c r="B991">
        <v>35</v>
      </c>
      <c r="C991" s="92" t="s">
        <v>1195</v>
      </c>
      <c r="D991" s="92">
        <v>7</v>
      </c>
      <c r="E991" s="92" t="s">
        <v>586</v>
      </c>
      <c r="F991" s="92">
        <v>148</v>
      </c>
      <c r="G991" s="92" t="s">
        <v>294</v>
      </c>
      <c r="H991" s="92"/>
      <c r="I991" s="92">
        <v>1670</v>
      </c>
      <c r="J991" s="92">
        <v>122202</v>
      </c>
      <c r="K991" s="92">
        <v>1</v>
      </c>
      <c r="L991" s="92">
        <v>44</v>
      </c>
      <c r="M991" s="92">
        <v>26</v>
      </c>
      <c r="N991" s="92">
        <v>7</v>
      </c>
      <c r="O991" s="92">
        <v>7</v>
      </c>
      <c r="P991" s="92">
        <v>0</v>
      </c>
      <c r="Q991" s="92">
        <v>0</v>
      </c>
      <c r="R991" s="92">
        <v>0</v>
      </c>
      <c r="S991" s="92">
        <v>0</v>
      </c>
      <c r="T991" s="92">
        <v>0</v>
      </c>
      <c r="U991" s="92">
        <v>11</v>
      </c>
      <c r="V991" s="92">
        <v>0</v>
      </c>
      <c r="W991" s="92">
        <v>0</v>
      </c>
      <c r="X991" s="92">
        <v>0</v>
      </c>
      <c r="Y991" s="92">
        <v>0</v>
      </c>
      <c r="Z991" s="92">
        <v>0</v>
      </c>
      <c r="AA991" s="92">
        <v>0</v>
      </c>
      <c r="AB991" s="92">
        <v>1423</v>
      </c>
      <c r="AC991" s="92">
        <v>1474</v>
      </c>
      <c r="AD991" s="92">
        <v>1412</v>
      </c>
      <c r="AE991" s="92">
        <v>0</v>
      </c>
      <c r="AF991" s="92">
        <v>0</v>
      </c>
      <c r="AG991" s="92">
        <v>0</v>
      </c>
    </row>
    <row r="992" spans="1:35" x14ac:dyDescent="0.25">
      <c r="A992" t="str">
        <f t="shared" si="19"/>
        <v>9-9-81</v>
      </c>
      <c r="B992">
        <v>9</v>
      </c>
      <c r="C992" s="92" t="s">
        <v>1022</v>
      </c>
      <c r="D992" s="92">
        <v>9</v>
      </c>
      <c r="E992" s="92" t="s">
        <v>588</v>
      </c>
      <c r="F992" s="92">
        <v>81</v>
      </c>
      <c r="G992" s="92" t="s">
        <v>421</v>
      </c>
      <c r="H992" s="92"/>
      <c r="I992" s="92">
        <v>0</v>
      </c>
      <c r="J992" s="92">
        <v>19277236</v>
      </c>
      <c r="K992" s="92">
        <v>1</v>
      </c>
      <c r="L992" s="92">
        <v>767</v>
      </c>
      <c r="M992" s="92">
        <v>3674</v>
      </c>
      <c r="N992" s="92">
        <v>217</v>
      </c>
      <c r="O992" s="92">
        <v>217</v>
      </c>
      <c r="P992" s="92">
        <v>0</v>
      </c>
      <c r="Q992" s="92">
        <v>0</v>
      </c>
      <c r="R992" s="92">
        <v>0</v>
      </c>
      <c r="S992" s="92">
        <v>86</v>
      </c>
      <c r="T992" s="92">
        <v>320</v>
      </c>
      <c r="U992" s="92">
        <v>0</v>
      </c>
      <c r="V992" s="92">
        <v>0</v>
      </c>
      <c r="W992" s="92">
        <v>0</v>
      </c>
      <c r="X992" s="92">
        <v>0</v>
      </c>
      <c r="Y992" s="92">
        <v>0</v>
      </c>
      <c r="Z992" s="92">
        <v>0</v>
      </c>
      <c r="AA992" s="92">
        <v>0</v>
      </c>
      <c r="AB992" s="92">
        <v>949526</v>
      </c>
      <c r="AC992" s="92">
        <v>996870</v>
      </c>
      <c r="AD992" s="92">
        <v>1077287</v>
      </c>
      <c r="AE992" s="92">
        <v>0</v>
      </c>
      <c r="AF992" s="92">
        <v>0</v>
      </c>
      <c r="AG992" s="92">
        <v>0</v>
      </c>
      <c r="AI992" s="250">
        <v>4.9912100000000005E-4</v>
      </c>
    </row>
    <row r="993" spans="1:35" x14ac:dyDescent="0.25">
      <c r="A993" t="str">
        <f t="shared" si="19"/>
        <v>28-9-81</v>
      </c>
      <c r="B993">
        <v>28</v>
      </c>
      <c r="C993" s="92" t="s">
        <v>1041</v>
      </c>
      <c r="D993" s="92">
        <v>9</v>
      </c>
      <c r="E993" s="92" t="s">
        <v>588</v>
      </c>
      <c r="F993" s="92">
        <v>81</v>
      </c>
      <c r="G993" s="92" t="s">
        <v>421</v>
      </c>
      <c r="H993" s="92"/>
      <c r="I993" s="92">
        <v>0</v>
      </c>
      <c r="J993" s="92">
        <v>8645698</v>
      </c>
      <c r="K993" s="92">
        <v>1</v>
      </c>
      <c r="L993" s="92">
        <v>767</v>
      </c>
      <c r="M993" s="92">
        <v>3674</v>
      </c>
      <c r="N993" s="92">
        <v>217</v>
      </c>
      <c r="O993" s="92">
        <v>217</v>
      </c>
      <c r="P993" s="92">
        <v>0</v>
      </c>
      <c r="Q993" s="92">
        <v>0</v>
      </c>
      <c r="R993" s="92">
        <v>0</v>
      </c>
      <c r="S993" s="92">
        <v>86</v>
      </c>
      <c r="T993" s="92">
        <v>320</v>
      </c>
      <c r="U993" s="92">
        <v>0</v>
      </c>
      <c r="V993" s="92">
        <v>0</v>
      </c>
      <c r="W993" s="92">
        <v>0</v>
      </c>
      <c r="X993" s="92">
        <v>0</v>
      </c>
      <c r="Y993" s="92">
        <v>0</v>
      </c>
      <c r="Z993" s="92">
        <v>0</v>
      </c>
      <c r="AA993" s="92">
        <v>0</v>
      </c>
      <c r="AB993" s="92">
        <v>949526</v>
      </c>
      <c r="AC993" s="92">
        <v>996870</v>
      </c>
      <c r="AD993" s="92">
        <v>1077287</v>
      </c>
      <c r="AE993" s="92">
        <v>0</v>
      </c>
      <c r="AF993" s="92">
        <v>0</v>
      </c>
      <c r="AG993" s="92">
        <v>0</v>
      </c>
      <c r="AI993" s="250">
        <v>4.9912100000000005E-4</v>
      </c>
    </row>
    <row r="994" spans="1:35" x14ac:dyDescent="0.25">
      <c r="A994" t="str">
        <f t="shared" si="19"/>
        <v>1-30-2</v>
      </c>
      <c r="B994">
        <v>1</v>
      </c>
      <c r="C994" s="92" t="s">
        <v>1016</v>
      </c>
      <c r="D994" s="92">
        <v>30</v>
      </c>
      <c r="E994" s="92" t="s">
        <v>590</v>
      </c>
      <c r="F994" s="92">
        <v>2</v>
      </c>
      <c r="G994" s="92" t="s">
        <v>620</v>
      </c>
      <c r="H994" s="92"/>
      <c r="I994" s="92">
        <v>0</v>
      </c>
      <c r="J994" s="92">
        <v>0</v>
      </c>
      <c r="K994" s="92" t="s">
        <v>1061</v>
      </c>
      <c r="L994" s="92">
        <v>0</v>
      </c>
      <c r="M994" s="92">
        <v>0</v>
      </c>
      <c r="N994" s="92">
        <v>0</v>
      </c>
      <c r="O994" s="92">
        <v>0</v>
      </c>
      <c r="P994" s="92">
        <v>0</v>
      </c>
      <c r="Q994" s="92">
        <v>0</v>
      </c>
      <c r="R994" s="92">
        <v>0</v>
      </c>
      <c r="S994" s="92">
        <v>0</v>
      </c>
      <c r="T994" s="92">
        <v>0</v>
      </c>
      <c r="U994" s="92">
        <v>0</v>
      </c>
      <c r="V994" s="92">
        <v>0</v>
      </c>
      <c r="W994" s="92">
        <v>0</v>
      </c>
      <c r="X994" s="92">
        <v>0</v>
      </c>
      <c r="Y994" s="92">
        <v>0</v>
      </c>
      <c r="Z994" s="92">
        <v>0</v>
      </c>
      <c r="AA994" s="92">
        <v>0</v>
      </c>
      <c r="AB994" s="92">
        <v>0</v>
      </c>
      <c r="AC994" s="92">
        <v>0</v>
      </c>
      <c r="AD994" s="92">
        <v>0</v>
      </c>
      <c r="AE994" s="92">
        <v>0</v>
      </c>
      <c r="AF994" s="92">
        <v>0</v>
      </c>
      <c r="AG994" s="92">
        <v>0</v>
      </c>
    </row>
    <row r="995" spans="1:35" x14ac:dyDescent="0.25">
      <c r="A995" t="str">
        <f t="shared" si="19"/>
        <v>6-7-150</v>
      </c>
      <c r="B995">
        <v>6</v>
      </c>
      <c r="C995" s="92" t="s">
        <v>1020</v>
      </c>
      <c r="D995" s="92">
        <v>7</v>
      </c>
      <c r="E995" s="92" t="s">
        <v>586</v>
      </c>
      <c r="F995" s="92">
        <v>150</v>
      </c>
      <c r="G995" s="92" t="s">
        <v>145</v>
      </c>
      <c r="H995" s="92"/>
      <c r="I995" s="92">
        <v>59</v>
      </c>
      <c r="J995" s="92">
        <v>15475657</v>
      </c>
      <c r="K995" s="92" t="s">
        <v>1061</v>
      </c>
      <c r="L995" s="92">
        <v>526</v>
      </c>
      <c r="M995" s="92">
        <v>100</v>
      </c>
      <c r="N995" s="92">
        <v>51</v>
      </c>
      <c r="O995" s="92">
        <v>51</v>
      </c>
      <c r="P995" s="92">
        <v>0</v>
      </c>
      <c r="Q995" s="92">
        <v>0</v>
      </c>
      <c r="R995" s="92">
        <v>0</v>
      </c>
      <c r="S995" s="92">
        <v>0</v>
      </c>
      <c r="T995" s="92">
        <v>0</v>
      </c>
      <c r="U995" s="92">
        <v>0</v>
      </c>
      <c r="V995" s="92">
        <v>0</v>
      </c>
      <c r="W995" s="92">
        <v>0</v>
      </c>
      <c r="X995" s="92">
        <v>0</v>
      </c>
      <c r="Y995" s="92">
        <v>0</v>
      </c>
      <c r="Z995" s="92">
        <v>0</v>
      </c>
      <c r="AA995" s="92">
        <v>0</v>
      </c>
      <c r="AB995" s="92">
        <v>8742</v>
      </c>
      <c r="AC995" s="92">
        <v>9475</v>
      </c>
      <c r="AD995" s="92">
        <v>9780</v>
      </c>
      <c r="AE995" s="92">
        <v>0</v>
      </c>
      <c r="AF995" s="92">
        <v>0</v>
      </c>
      <c r="AG995" s="92">
        <v>0</v>
      </c>
    </row>
    <row r="996" spans="1:35" x14ac:dyDescent="0.25">
      <c r="A996" t="str">
        <f t="shared" si="19"/>
        <v>22-7-152</v>
      </c>
      <c r="B996">
        <v>22</v>
      </c>
      <c r="C996" s="92" t="s">
        <v>1035</v>
      </c>
      <c r="D996" s="92">
        <v>7</v>
      </c>
      <c r="E996" s="92" t="s">
        <v>586</v>
      </c>
      <c r="F996" s="92">
        <v>152</v>
      </c>
      <c r="G996" s="92" t="s">
        <v>841</v>
      </c>
      <c r="H996" s="92"/>
      <c r="I996" s="92">
        <v>2770</v>
      </c>
      <c r="J996" s="92">
        <v>2620930</v>
      </c>
      <c r="K996" s="92" t="s">
        <v>1061</v>
      </c>
      <c r="L996" s="92">
        <v>679</v>
      </c>
      <c r="M996" s="92">
        <v>15</v>
      </c>
      <c r="N996" s="92">
        <v>0</v>
      </c>
      <c r="O996" s="92">
        <v>0</v>
      </c>
      <c r="P996" s="92">
        <v>0</v>
      </c>
      <c r="Q996" s="92">
        <v>0</v>
      </c>
      <c r="R996" s="92">
        <v>0</v>
      </c>
      <c r="S996" s="92">
        <v>0</v>
      </c>
      <c r="T996" s="92">
        <v>0</v>
      </c>
      <c r="U996" s="92">
        <v>0</v>
      </c>
      <c r="V996" s="92">
        <v>0</v>
      </c>
      <c r="W996" s="92">
        <v>0</v>
      </c>
      <c r="X996" s="92">
        <v>0</v>
      </c>
      <c r="Y996" s="92">
        <v>0</v>
      </c>
      <c r="Z996" s="92">
        <v>0</v>
      </c>
      <c r="AA996" s="92">
        <v>0</v>
      </c>
      <c r="AB996" s="92">
        <v>11974</v>
      </c>
      <c r="AC996" s="92">
        <v>9600</v>
      </c>
      <c r="AD996" s="92">
        <v>9416</v>
      </c>
      <c r="AE996" s="92">
        <v>0</v>
      </c>
      <c r="AF996" s="92">
        <v>0</v>
      </c>
      <c r="AG996" s="92">
        <v>0</v>
      </c>
    </row>
    <row r="997" spans="1:35" x14ac:dyDescent="0.25">
      <c r="A997" t="str">
        <f t="shared" si="19"/>
        <v>5-4-14</v>
      </c>
      <c r="B997">
        <v>5</v>
      </c>
      <c r="C997" s="92" t="s">
        <v>1019</v>
      </c>
      <c r="D997" s="92">
        <v>4</v>
      </c>
      <c r="E997" s="92" t="s">
        <v>66</v>
      </c>
      <c r="F997" s="92">
        <v>14</v>
      </c>
      <c r="G997" s="92" t="s">
        <v>665</v>
      </c>
      <c r="H997" s="92"/>
      <c r="I997" s="92">
        <v>0</v>
      </c>
      <c r="J997" s="92">
        <v>16414759</v>
      </c>
      <c r="K997" s="92">
        <v>1</v>
      </c>
      <c r="L997" s="92">
        <v>3048</v>
      </c>
      <c r="M997" s="92">
        <v>43285</v>
      </c>
      <c r="N997" s="92">
        <v>6007</v>
      </c>
      <c r="O997" s="92">
        <v>6007</v>
      </c>
      <c r="P997" s="92">
        <v>0</v>
      </c>
      <c r="Q997" s="92">
        <v>0</v>
      </c>
      <c r="R997" s="92">
        <v>0</v>
      </c>
      <c r="S997" s="92">
        <v>0</v>
      </c>
      <c r="T997" s="92">
        <v>0</v>
      </c>
      <c r="U997" s="92">
        <v>0</v>
      </c>
      <c r="V997" s="92">
        <v>0</v>
      </c>
      <c r="W997" s="92">
        <v>0</v>
      </c>
      <c r="X997" s="92">
        <v>0</v>
      </c>
      <c r="Y997" s="92">
        <v>0</v>
      </c>
      <c r="Z997" s="92">
        <v>0</v>
      </c>
      <c r="AA997" s="92">
        <v>0</v>
      </c>
      <c r="AB997" s="92">
        <v>72863</v>
      </c>
      <c r="AC997" s="92">
        <v>76523</v>
      </c>
      <c r="AD997" s="92">
        <v>79735</v>
      </c>
      <c r="AE997" s="92">
        <v>0</v>
      </c>
      <c r="AF997" s="92">
        <v>0</v>
      </c>
      <c r="AG997" s="92">
        <v>0</v>
      </c>
    </row>
    <row r="998" spans="1:35" x14ac:dyDescent="0.25">
      <c r="A998" t="str">
        <f t="shared" si="19"/>
        <v>40-4-14</v>
      </c>
      <c r="B998">
        <v>40</v>
      </c>
      <c r="C998" s="92" t="s">
        <v>1051</v>
      </c>
      <c r="D998" s="92">
        <v>4</v>
      </c>
      <c r="E998" s="92" t="s">
        <v>66</v>
      </c>
      <c r="F998" s="92">
        <v>14</v>
      </c>
      <c r="G998" s="92" t="s">
        <v>665</v>
      </c>
      <c r="H998" s="92"/>
      <c r="I998" s="92">
        <v>0</v>
      </c>
      <c r="J998" s="92">
        <v>176320</v>
      </c>
      <c r="K998" s="92">
        <v>1</v>
      </c>
      <c r="L998" s="92">
        <v>3048</v>
      </c>
      <c r="M998" s="92">
        <v>43285</v>
      </c>
      <c r="N998" s="92">
        <v>6007</v>
      </c>
      <c r="O998" s="92">
        <v>6007</v>
      </c>
      <c r="P998" s="92">
        <v>0</v>
      </c>
      <c r="Q998" s="92">
        <v>0</v>
      </c>
      <c r="R998" s="92">
        <v>0</v>
      </c>
      <c r="S998" s="92">
        <v>0</v>
      </c>
      <c r="T998" s="92">
        <v>0</v>
      </c>
      <c r="U998" s="92">
        <v>0</v>
      </c>
      <c r="V998" s="92">
        <v>0</v>
      </c>
      <c r="W998" s="92">
        <v>0</v>
      </c>
      <c r="X998" s="92">
        <v>0</v>
      </c>
      <c r="Y998" s="92">
        <v>0</v>
      </c>
      <c r="Z998" s="92">
        <v>0</v>
      </c>
      <c r="AA998" s="92">
        <v>0</v>
      </c>
      <c r="AB998" s="92">
        <v>72863</v>
      </c>
      <c r="AC998" s="92">
        <v>76523</v>
      </c>
      <c r="AD998" s="92">
        <v>79735</v>
      </c>
      <c r="AE998" s="92">
        <v>0</v>
      </c>
      <c r="AF998" s="92">
        <v>0</v>
      </c>
      <c r="AG998" s="92">
        <v>0</v>
      </c>
    </row>
    <row r="999" spans="1:35" x14ac:dyDescent="0.25">
      <c r="A999" t="str">
        <f t="shared" si="19"/>
        <v>4-7-140</v>
      </c>
      <c r="B999">
        <v>4</v>
      </c>
      <c r="C999" s="92" t="s">
        <v>1194</v>
      </c>
      <c r="D999" s="92">
        <v>7</v>
      </c>
      <c r="E999" s="92" t="s">
        <v>586</v>
      </c>
      <c r="F999" s="92">
        <v>140</v>
      </c>
      <c r="G999" s="92" t="s">
        <v>127</v>
      </c>
      <c r="H999" s="92"/>
      <c r="I999" s="92">
        <v>0</v>
      </c>
      <c r="J999" s="92">
        <v>3081825</v>
      </c>
      <c r="K999" s="92" t="s">
        <v>1061</v>
      </c>
      <c r="L999" s="92">
        <v>60</v>
      </c>
      <c r="M999" s="92">
        <v>17</v>
      </c>
      <c r="N999" s="92">
        <v>2</v>
      </c>
      <c r="O999" s="92">
        <v>2</v>
      </c>
      <c r="P999" s="92">
        <v>0</v>
      </c>
      <c r="Q999" s="92">
        <v>0</v>
      </c>
      <c r="R999" s="92">
        <v>0</v>
      </c>
      <c r="S999" s="92">
        <v>0</v>
      </c>
      <c r="T999" s="92">
        <v>0</v>
      </c>
      <c r="U999" s="92">
        <v>0</v>
      </c>
      <c r="V999" s="92">
        <v>0</v>
      </c>
      <c r="W999" s="92">
        <v>0</v>
      </c>
      <c r="X999" s="92">
        <v>0</v>
      </c>
      <c r="Y999" s="92">
        <v>0</v>
      </c>
      <c r="Z999" s="92">
        <v>0</v>
      </c>
      <c r="AA999" s="92">
        <v>0</v>
      </c>
      <c r="AB999" s="92">
        <v>11118</v>
      </c>
      <c r="AC999" s="92">
        <v>11816</v>
      </c>
      <c r="AD999" s="92">
        <v>11816</v>
      </c>
      <c r="AE999" s="92">
        <v>0</v>
      </c>
      <c r="AF999" s="92">
        <v>0</v>
      </c>
      <c r="AG999" s="92">
        <v>0</v>
      </c>
    </row>
    <row r="1000" spans="1:35" x14ac:dyDescent="0.25">
      <c r="A1000" t="str">
        <f t="shared" si="19"/>
        <v>40-9-82</v>
      </c>
      <c r="B1000">
        <v>40</v>
      </c>
      <c r="C1000" s="92" t="s">
        <v>1051</v>
      </c>
      <c r="D1000" s="92">
        <v>9</v>
      </c>
      <c r="E1000" s="92" t="s">
        <v>588</v>
      </c>
      <c r="F1000" s="92">
        <v>82</v>
      </c>
      <c r="G1000" s="92" t="s">
        <v>976</v>
      </c>
      <c r="H1000" s="92"/>
      <c r="I1000" s="92">
        <v>5018</v>
      </c>
      <c r="J1000" s="92">
        <v>3917070</v>
      </c>
      <c r="K1000" s="92" t="s">
        <v>1061</v>
      </c>
      <c r="L1000" s="92">
        <v>0</v>
      </c>
      <c r="M1000" s="92">
        <v>11</v>
      </c>
      <c r="N1000" s="92">
        <v>2</v>
      </c>
      <c r="O1000" s="92">
        <v>2</v>
      </c>
      <c r="P1000" s="92">
        <v>0</v>
      </c>
      <c r="Q1000" s="92">
        <v>0</v>
      </c>
      <c r="R1000" s="92">
        <v>0</v>
      </c>
      <c r="S1000" s="92">
        <v>0</v>
      </c>
      <c r="T1000" s="92">
        <v>0</v>
      </c>
      <c r="U1000" s="92">
        <v>0</v>
      </c>
      <c r="V1000" s="92">
        <v>0</v>
      </c>
      <c r="W1000" s="92">
        <v>0</v>
      </c>
      <c r="X1000" s="92">
        <v>0</v>
      </c>
      <c r="Y1000" s="92">
        <v>0</v>
      </c>
      <c r="Z1000" s="92">
        <v>0</v>
      </c>
      <c r="AA1000" s="92">
        <v>0</v>
      </c>
      <c r="AB1000" s="92">
        <v>12902</v>
      </c>
      <c r="AC1000" s="92">
        <v>13347</v>
      </c>
      <c r="AD1000" s="92">
        <v>14168</v>
      </c>
      <c r="AE1000" s="92">
        <v>0</v>
      </c>
      <c r="AF1000" s="92">
        <v>0</v>
      </c>
      <c r="AG1000" s="92">
        <v>413</v>
      </c>
      <c r="AI1000" s="250">
        <v>1.69918E-4</v>
      </c>
    </row>
    <row r="1001" spans="1:35" x14ac:dyDescent="0.25">
      <c r="A1001" t="str">
        <f t="shared" si="19"/>
        <v>36-7-141</v>
      </c>
      <c r="B1001">
        <v>36</v>
      </c>
      <c r="C1001" s="92" t="s">
        <v>1048</v>
      </c>
      <c r="D1001" s="92">
        <v>7</v>
      </c>
      <c r="E1001" s="92" t="s">
        <v>586</v>
      </c>
      <c r="F1001" s="92">
        <v>141</v>
      </c>
      <c r="G1001" s="92" t="s">
        <v>506</v>
      </c>
      <c r="H1001" s="92"/>
      <c r="I1001" s="92">
        <v>693</v>
      </c>
      <c r="J1001" s="92">
        <v>4463214</v>
      </c>
      <c r="K1001" s="92" t="s">
        <v>1061</v>
      </c>
      <c r="L1001" s="92">
        <v>303</v>
      </c>
      <c r="M1001" s="92">
        <v>15</v>
      </c>
      <c r="N1001" s="92">
        <v>15</v>
      </c>
      <c r="O1001" s="92">
        <v>15</v>
      </c>
      <c r="P1001" s="92">
        <v>0</v>
      </c>
      <c r="Q1001" s="92">
        <v>0</v>
      </c>
      <c r="R1001" s="92">
        <v>0</v>
      </c>
      <c r="S1001" s="92">
        <v>0</v>
      </c>
      <c r="T1001" s="92">
        <v>0</v>
      </c>
      <c r="U1001" s="92">
        <v>0</v>
      </c>
      <c r="V1001" s="92">
        <v>0</v>
      </c>
      <c r="W1001" s="92">
        <v>0</v>
      </c>
      <c r="X1001" s="92">
        <v>0</v>
      </c>
      <c r="Y1001" s="92">
        <v>0</v>
      </c>
      <c r="Z1001" s="92">
        <v>0</v>
      </c>
      <c r="AA1001" s="92">
        <v>0</v>
      </c>
      <c r="AB1001" s="92">
        <v>7792</v>
      </c>
      <c r="AC1001" s="92">
        <v>7828</v>
      </c>
      <c r="AD1001" s="92">
        <v>8359</v>
      </c>
      <c r="AE1001" s="92">
        <v>0</v>
      </c>
      <c r="AF1001" s="92">
        <v>0</v>
      </c>
      <c r="AG1001" s="92">
        <v>0</v>
      </c>
    </row>
    <row r="1002" spans="1:35" x14ac:dyDescent="0.25">
      <c r="A1002" t="str">
        <f t="shared" si="19"/>
        <v>5-9-83</v>
      </c>
      <c r="B1002">
        <v>5</v>
      </c>
      <c r="C1002" s="92" t="s">
        <v>1019</v>
      </c>
      <c r="D1002" s="92">
        <v>9</v>
      </c>
      <c r="E1002" s="92" t="s">
        <v>588</v>
      </c>
      <c r="F1002" s="92">
        <v>83</v>
      </c>
      <c r="G1002" s="92" t="s">
        <v>422</v>
      </c>
      <c r="H1002" s="92"/>
      <c r="I1002" s="92">
        <v>10062</v>
      </c>
      <c r="J1002" s="92">
        <v>8619029</v>
      </c>
      <c r="K1002" s="92">
        <v>1</v>
      </c>
      <c r="L1002" s="92">
        <v>352</v>
      </c>
      <c r="M1002" s="92">
        <v>6674</v>
      </c>
      <c r="N1002" s="92">
        <v>951</v>
      </c>
      <c r="O1002" s="92">
        <v>951</v>
      </c>
      <c r="P1002" s="92">
        <v>0</v>
      </c>
      <c r="Q1002" s="92">
        <v>0</v>
      </c>
      <c r="R1002" s="92">
        <v>0</v>
      </c>
      <c r="S1002" s="92">
        <v>0</v>
      </c>
      <c r="T1002" s="92">
        <v>0</v>
      </c>
      <c r="U1002" s="92">
        <v>0</v>
      </c>
      <c r="V1002" s="92">
        <v>0</v>
      </c>
      <c r="W1002" s="92">
        <v>0</v>
      </c>
      <c r="X1002" s="92">
        <v>0</v>
      </c>
      <c r="Y1002" s="92">
        <v>0</v>
      </c>
      <c r="Z1002" s="92">
        <v>0</v>
      </c>
      <c r="AA1002" s="92">
        <v>0</v>
      </c>
      <c r="AB1002" s="92">
        <v>484049</v>
      </c>
      <c r="AC1002" s="92">
        <v>503900</v>
      </c>
      <c r="AD1002" s="92">
        <v>516457</v>
      </c>
      <c r="AE1002" s="92">
        <v>6048</v>
      </c>
      <c r="AF1002" s="92">
        <v>0</v>
      </c>
      <c r="AG1002" s="92">
        <v>0</v>
      </c>
      <c r="AI1002" s="250">
        <v>5.61518E-4</v>
      </c>
    </row>
    <row r="1003" spans="1:35" x14ac:dyDescent="0.25">
      <c r="A1003" t="str">
        <f t="shared" si="19"/>
        <v>28-9-83</v>
      </c>
      <c r="B1003">
        <v>28</v>
      </c>
      <c r="C1003" s="92" t="s">
        <v>1041</v>
      </c>
      <c r="D1003" s="92">
        <v>9</v>
      </c>
      <c r="E1003" s="92" t="s">
        <v>588</v>
      </c>
      <c r="F1003" s="92">
        <v>83</v>
      </c>
      <c r="G1003" s="92" t="s">
        <v>422</v>
      </c>
      <c r="H1003" s="92"/>
      <c r="I1003" s="92">
        <v>10062</v>
      </c>
      <c r="J1003" s="92">
        <v>10502751</v>
      </c>
      <c r="K1003" s="92">
        <v>1</v>
      </c>
      <c r="L1003" s="92">
        <v>352</v>
      </c>
      <c r="M1003" s="92">
        <v>6674</v>
      </c>
      <c r="N1003" s="92">
        <v>951</v>
      </c>
      <c r="O1003" s="92">
        <v>951</v>
      </c>
      <c r="P1003" s="92">
        <v>0</v>
      </c>
      <c r="Q1003" s="92">
        <v>0</v>
      </c>
      <c r="R1003" s="92">
        <v>0</v>
      </c>
      <c r="S1003" s="92">
        <v>0</v>
      </c>
      <c r="T1003" s="92">
        <v>0</v>
      </c>
      <c r="U1003" s="92">
        <v>0</v>
      </c>
      <c r="V1003" s="92">
        <v>0</v>
      </c>
      <c r="W1003" s="92">
        <v>0</v>
      </c>
      <c r="X1003" s="92">
        <v>0</v>
      </c>
      <c r="Y1003" s="92">
        <v>0</v>
      </c>
      <c r="Z1003" s="92">
        <v>0</v>
      </c>
      <c r="AA1003" s="92">
        <v>0</v>
      </c>
      <c r="AB1003" s="92">
        <v>484049</v>
      </c>
      <c r="AC1003" s="92">
        <v>503900</v>
      </c>
      <c r="AD1003" s="92">
        <v>516457</v>
      </c>
      <c r="AE1003" s="92">
        <v>6048</v>
      </c>
      <c r="AF1003" s="92">
        <v>0</v>
      </c>
      <c r="AG1003" s="92">
        <v>0</v>
      </c>
      <c r="AI1003" s="250">
        <v>5.61518E-4</v>
      </c>
    </row>
    <row r="1004" spans="1:35" x14ac:dyDescent="0.25">
      <c r="A1004" t="str">
        <f t="shared" si="19"/>
        <v>19-14-59</v>
      </c>
      <c r="B1004">
        <v>19</v>
      </c>
      <c r="C1004" s="92" t="s">
        <v>1032</v>
      </c>
      <c r="D1004" s="92">
        <v>14</v>
      </c>
      <c r="E1004" s="92" t="s">
        <v>571</v>
      </c>
      <c r="F1004" s="92">
        <v>59</v>
      </c>
      <c r="G1004" s="92" t="s">
        <v>305</v>
      </c>
      <c r="H1004" s="92"/>
      <c r="I1004" s="92">
        <v>2064</v>
      </c>
      <c r="J1004" s="92">
        <v>1718192</v>
      </c>
      <c r="K1004" s="92" t="s">
        <v>1061</v>
      </c>
      <c r="L1004" s="92">
        <v>24</v>
      </c>
      <c r="M1004" s="92">
        <v>453</v>
      </c>
      <c r="N1004" s="92">
        <v>182</v>
      </c>
      <c r="O1004" s="92">
        <v>182</v>
      </c>
      <c r="P1004" s="92">
        <v>0</v>
      </c>
      <c r="Q1004" s="92">
        <v>0</v>
      </c>
      <c r="R1004" s="92">
        <v>0</v>
      </c>
      <c r="S1004" s="92">
        <v>0</v>
      </c>
      <c r="T1004" s="92">
        <v>0</v>
      </c>
      <c r="U1004" s="92">
        <v>0</v>
      </c>
      <c r="V1004" s="92">
        <v>0</v>
      </c>
      <c r="W1004" s="92">
        <v>0</v>
      </c>
      <c r="X1004" s="92">
        <v>0</v>
      </c>
      <c r="Y1004" s="92">
        <v>0</v>
      </c>
      <c r="Z1004" s="92">
        <v>0</v>
      </c>
      <c r="AA1004" s="92">
        <v>0</v>
      </c>
      <c r="AB1004" s="92">
        <v>69717</v>
      </c>
      <c r="AC1004" s="92">
        <v>72124</v>
      </c>
      <c r="AD1004" s="92">
        <v>74307</v>
      </c>
      <c r="AE1004" s="92">
        <v>0</v>
      </c>
      <c r="AF1004" s="92">
        <v>0</v>
      </c>
      <c r="AG1004" s="92">
        <v>0</v>
      </c>
      <c r="AI1004" s="250">
        <v>1.9445700000000001E-4</v>
      </c>
    </row>
    <row r="1005" spans="1:35" x14ac:dyDescent="0.25">
      <c r="A1005" t="str">
        <f t="shared" si="19"/>
        <v>1-7-151</v>
      </c>
      <c r="B1005">
        <v>1</v>
      </c>
      <c r="C1005" s="92" t="s">
        <v>1016</v>
      </c>
      <c r="D1005" s="92">
        <v>7</v>
      </c>
      <c r="E1005" s="92" t="s">
        <v>586</v>
      </c>
      <c r="F1005" s="92">
        <v>151</v>
      </c>
      <c r="G1005" s="92" t="s">
        <v>88</v>
      </c>
      <c r="H1005" s="92"/>
      <c r="I1005" s="92">
        <v>45058</v>
      </c>
      <c r="J1005" s="92">
        <v>68082005</v>
      </c>
      <c r="K1005" s="92" t="s">
        <v>1061</v>
      </c>
      <c r="L1005" s="92">
        <v>309</v>
      </c>
      <c r="M1005" s="92">
        <v>193</v>
      </c>
      <c r="N1005" s="92">
        <v>36</v>
      </c>
      <c r="O1005" s="92">
        <v>36</v>
      </c>
      <c r="P1005" s="92">
        <v>0</v>
      </c>
      <c r="Q1005" s="92">
        <v>0</v>
      </c>
      <c r="R1005" s="92">
        <v>0</v>
      </c>
      <c r="S1005" s="92">
        <v>0</v>
      </c>
      <c r="T1005" s="92">
        <v>0</v>
      </c>
      <c r="U1005" s="92">
        <v>8</v>
      </c>
      <c r="V1005" s="92">
        <v>0</v>
      </c>
      <c r="W1005" s="92">
        <v>0</v>
      </c>
      <c r="X1005" s="92">
        <v>0</v>
      </c>
      <c r="Y1005" s="92">
        <v>0</v>
      </c>
      <c r="Z1005" s="92">
        <v>0</v>
      </c>
      <c r="AA1005" s="92">
        <v>0</v>
      </c>
      <c r="AB1005" s="92">
        <v>148614</v>
      </c>
      <c r="AC1005" s="92">
        <v>159780</v>
      </c>
      <c r="AD1005" s="92">
        <v>159780</v>
      </c>
      <c r="AE1005" s="92">
        <v>0</v>
      </c>
      <c r="AF1005" s="92">
        <v>0</v>
      </c>
      <c r="AG1005" s="92">
        <v>0</v>
      </c>
    </row>
    <row r="1006" spans="1:35" x14ac:dyDescent="0.25">
      <c r="A1006" t="str">
        <f t="shared" si="19"/>
        <v>1-9-84</v>
      </c>
      <c r="B1006">
        <v>1</v>
      </c>
      <c r="C1006" s="92" t="s">
        <v>1016</v>
      </c>
      <c r="D1006" s="92">
        <v>9</v>
      </c>
      <c r="E1006" s="92" t="s">
        <v>588</v>
      </c>
      <c r="F1006" s="92">
        <v>84</v>
      </c>
      <c r="G1006" s="92" t="s">
        <v>241</v>
      </c>
      <c r="H1006" s="92"/>
      <c r="I1006" s="92">
        <v>0</v>
      </c>
      <c r="J1006" s="92">
        <v>0</v>
      </c>
      <c r="K1006" s="92">
        <v>1</v>
      </c>
      <c r="L1006" s="92">
        <v>5201</v>
      </c>
      <c r="M1006" s="92">
        <v>5978</v>
      </c>
      <c r="N1006" s="92">
        <v>1003</v>
      </c>
      <c r="O1006" s="92">
        <v>1003</v>
      </c>
      <c r="P1006" s="92">
        <v>0</v>
      </c>
      <c r="Q1006" s="92">
        <v>0</v>
      </c>
      <c r="R1006" s="92">
        <v>0</v>
      </c>
      <c r="S1006" s="92">
        <v>0</v>
      </c>
      <c r="T1006" s="92">
        <v>0</v>
      </c>
      <c r="U1006" s="92">
        <v>0</v>
      </c>
      <c r="V1006" s="92">
        <v>0</v>
      </c>
      <c r="W1006" s="92">
        <v>0</v>
      </c>
      <c r="X1006" s="92">
        <v>0</v>
      </c>
      <c r="Y1006" s="92">
        <v>0</v>
      </c>
      <c r="Z1006" s="92">
        <v>0</v>
      </c>
      <c r="AA1006" s="92">
        <v>0</v>
      </c>
      <c r="AB1006" s="92">
        <v>3756511</v>
      </c>
      <c r="AC1006" s="92">
        <v>4058006</v>
      </c>
      <c r="AD1006" s="92">
        <v>4383621</v>
      </c>
      <c r="AE1006" s="92">
        <v>0</v>
      </c>
      <c r="AF1006" s="92">
        <v>0</v>
      </c>
      <c r="AG1006" s="92">
        <v>0</v>
      </c>
      <c r="AI1006" s="250">
        <v>7.4263200000000001E-4</v>
      </c>
    </row>
    <row r="1007" spans="1:35" x14ac:dyDescent="0.25">
      <c r="A1007" t="str">
        <f t="shared" si="19"/>
        <v>14-9-84</v>
      </c>
      <c r="B1007">
        <v>14</v>
      </c>
      <c r="C1007" s="92" t="s">
        <v>1027</v>
      </c>
      <c r="D1007" s="92">
        <v>9</v>
      </c>
      <c r="E1007" s="92" t="s">
        <v>588</v>
      </c>
      <c r="F1007" s="92">
        <v>84</v>
      </c>
      <c r="G1007" s="92" t="s">
        <v>241</v>
      </c>
      <c r="H1007" s="92"/>
      <c r="I1007" s="92">
        <v>0</v>
      </c>
      <c r="J1007" s="92">
        <v>0</v>
      </c>
      <c r="K1007" s="92">
        <v>1</v>
      </c>
      <c r="L1007" s="92">
        <v>5201</v>
      </c>
      <c r="M1007" s="92">
        <v>5978</v>
      </c>
      <c r="N1007" s="92">
        <v>1003</v>
      </c>
      <c r="O1007" s="92">
        <v>1003</v>
      </c>
      <c r="P1007" s="92">
        <v>0</v>
      </c>
      <c r="Q1007" s="92">
        <v>0</v>
      </c>
      <c r="R1007" s="92">
        <v>0</v>
      </c>
      <c r="S1007" s="92">
        <v>0</v>
      </c>
      <c r="T1007" s="92">
        <v>0</v>
      </c>
      <c r="U1007" s="92">
        <v>0</v>
      </c>
      <c r="V1007" s="92">
        <v>0</v>
      </c>
      <c r="W1007" s="92">
        <v>0</v>
      </c>
      <c r="X1007" s="92">
        <v>0</v>
      </c>
      <c r="Y1007" s="92">
        <v>0</v>
      </c>
      <c r="Z1007" s="92">
        <v>0</v>
      </c>
      <c r="AA1007" s="92">
        <v>0</v>
      </c>
      <c r="AB1007" s="92">
        <v>3756511</v>
      </c>
      <c r="AC1007" s="92">
        <v>4058006</v>
      </c>
      <c r="AD1007" s="92">
        <v>4383621</v>
      </c>
      <c r="AE1007" s="92">
        <v>0</v>
      </c>
      <c r="AF1007" s="92">
        <v>0</v>
      </c>
      <c r="AG1007" s="92">
        <v>0</v>
      </c>
      <c r="AI1007" s="250">
        <v>7.4263200000000001E-4</v>
      </c>
    </row>
    <row r="1008" spans="1:35" x14ac:dyDescent="0.25">
      <c r="A1008" t="str">
        <f t="shared" si="19"/>
        <v>1-20-17</v>
      </c>
      <c r="B1008">
        <v>1</v>
      </c>
      <c r="C1008" s="92" t="s">
        <v>1016</v>
      </c>
      <c r="D1008" s="92">
        <v>20</v>
      </c>
      <c r="E1008" s="92" t="s">
        <v>153</v>
      </c>
      <c r="F1008" s="92">
        <v>17</v>
      </c>
      <c r="G1008" s="92" t="s">
        <v>618</v>
      </c>
      <c r="H1008" s="92"/>
      <c r="I1008" s="92">
        <v>1111</v>
      </c>
      <c r="J1008" s="92">
        <v>20991725</v>
      </c>
      <c r="K1008" s="92">
        <v>1</v>
      </c>
      <c r="L1008" s="92">
        <v>131</v>
      </c>
      <c r="M1008" s="92">
        <v>1100</v>
      </c>
      <c r="N1008" s="92">
        <v>198</v>
      </c>
      <c r="O1008" s="92">
        <v>198</v>
      </c>
      <c r="P1008" s="92">
        <v>0</v>
      </c>
      <c r="Q1008" s="92">
        <v>0</v>
      </c>
      <c r="R1008" s="92">
        <v>0</v>
      </c>
      <c r="S1008" s="92">
        <v>0</v>
      </c>
      <c r="T1008" s="92">
        <v>0</v>
      </c>
      <c r="U1008" s="92">
        <v>0</v>
      </c>
      <c r="V1008" s="92">
        <v>0</v>
      </c>
      <c r="W1008" s="92">
        <v>0</v>
      </c>
      <c r="X1008" s="92">
        <v>0</v>
      </c>
      <c r="Y1008" s="92">
        <v>0</v>
      </c>
      <c r="Z1008" s="92">
        <v>0</v>
      </c>
      <c r="AA1008" s="92">
        <v>0</v>
      </c>
      <c r="AB1008" s="92">
        <v>954038</v>
      </c>
      <c r="AC1008" s="92">
        <v>1030475</v>
      </c>
      <c r="AD1008" s="92">
        <v>1113027</v>
      </c>
      <c r="AE1008" s="92">
        <v>0</v>
      </c>
      <c r="AF1008" s="92">
        <v>0</v>
      </c>
      <c r="AG1008" s="92">
        <v>0</v>
      </c>
    </row>
    <row r="1009" spans="1:35" x14ac:dyDescent="0.25">
      <c r="A1009" t="str">
        <f t="shared" si="19"/>
        <v>14-20-17</v>
      </c>
      <c r="B1009">
        <v>14</v>
      </c>
      <c r="C1009" s="92" t="s">
        <v>1027</v>
      </c>
      <c r="D1009" s="92">
        <v>20</v>
      </c>
      <c r="E1009" s="92" t="s">
        <v>153</v>
      </c>
      <c r="F1009" s="92">
        <v>17</v>
      </c>
      <c r="G1009" s="92" t="s">
        <v>618</v>
      </c>
      <c r="H1009" s="92"/>
      <c r="I1009" s="92">
        <v>1111</v>
      </c>
      <c r="J1009" s="92">
        <v>933194</v>
      </c>
      <c r="K1009" s="92">
        <v>1</v>
      </c>
      <c r="L1009" s="92">
        <v>131</v>
      </c>
      <c r="M1009" s="92">
        <v>1100</v>
      </c>
      <c r="N1009" s="92">
        <v>198</v>
      </c>
      <c r="O1009" s="92">
        <v>198</v>
      </c>
      <c r="P1009" s="92">
        <v>0</v>
      </c>
      <c r="Q1009" s="92">
        <v>0</v>
      </c>
      <c r="R1009" s="92">
        <v>0</v>
      </c>
      <c r="S1009" s="92">
        <v>0</v>
      </c>
      <c r="T1009" s="92">
        <v>0</v>
      </c>
      <c r="U1009" s="92">
        <v>0</v>
      </c>
      <c r="V1009" s="92">
        <v>0</v>
      </c>
      <c r="W1009" s="92">
        <v>0</v>
      </c>
      <c r="X1009" s="92">
        <v>0</v>
      </c>
      <c r="Y1009" s="92">
        <v>0</v>
      </c>
      <c r="Z1009" s="92">
        <v>0</v>
      </c>
      <c r="AA1009" s="92">
        <v>0</v>
      </c>
      <c r="AB1009" s="92">
        <v>954038</v>
      </c>
      <c r="AC1009" s="92">
        <v>1030475</v>
      </c>
      <c r="AD1009" s="92">
        <v>1113027</v>
      </c>
      <c r="AE1009" s="92">
        <v>0</v>
      </c>
      <c r="AF1009" s="92">
        <v>0</v>
      </c>
      <c r="AG1009" s="92">
        <v>0</v>
      </c>
    </row>
    <row r="1010" spans="1:35" x14ac:dyDescent="0.25">
      <c r="A1010" t="str">
        <f t="shared" si="19"/>
        <v>16-7-194</v>
      </c>
      <c r="B1010">
        <v>16</v>
      </c>
      <c r="C1010" s="92" t="s">
        <v>1029</v>
      </c>
      <c r="D1010" s="92">
        <v>7</v>
      </c>
      <c r="E1010" s="92" t="s">
        <v>586</v>
      </c>
      <c r="F1010" s="92">
        <v>194</v>
      </c>
      <c r="G1010" s="92" t="s">
        <v>273</v>
      </c>
      <c r="H1010" s="92"/>
      <c r="I1010" s="92">
        <v>0</v>
      </c>
      <c r="J1010" s="92">
        <v>2580461</v>
      </c>
      <c r="K1010" s="92" t="s">
        <v>1061</v>
      </c>
      <c r="L1010" s="92">
        <v>0</v>
      </c>
      <c r="M1010" s="92">
        <v>22</v>
      </c>
      <c r="N1010" s="92">
        <v>2</v>
      </c>
      <c r="O1010" s="92">
        <v>2</v>
      </c>
      <c r="P1010" s="92">
        <v>0</v>
      </c>
      <c r="Q1010" s="92">
        <v>0</v>
      </c>
      <c r="R1010" s="92">
        <v>0</v>
      </c>
      <c r="S1010" s="92">
        <v>0</v>
      </c>
      <c r="T1010" s="92">
        <v>0</v>
      </c>
      <c r="U1010" s="92">
        <v>0</v>
      </c>
      <c r="V1010" s="92">
        <v>0</v>
      </c>
      <c r="W1010" s="92">
        <v>0</v>
      </c>
      <c r="X1010" s="92">
        <v>0</v>
      </c>
      <c r="Y1010" s="92">
        <v>0</v>
      </c>
      <c r="Z1010" s="92">
        <v>0</v>
      </c>
      <c r="AA1010" s="92">
        <v>0</v>
      </c>
      <c r="AB1010" s="92">
        <v>1534</v>
      </c>
      <c r="AC1010" s="92">
        <v>1581</v>
      </c>
      <c r="AD1010" s="92">
        <v>1581</v>
      </c>
      <c r="AE1010" s="92">
        <v>0</v>
      </c>
      <c r="AF1010" s="92">
        <v>0</v>
      </c>
      <c r="AG1010" s="92">
        <v>0</v>
      </c>
    </row>
    <row r="1011" spans="1:35" x14ac:dyDescent="0.25">
      <c r="A1011" t="str">
        <f t="shared" si="19"/>
        <v>33-7-153</v>
      </c>
      <c r="B1011">
        <v>33</v>
      </c>
      <c r="C1011" s="92" t="s">
        <v>1046</v>
      </c>
      <c r="D1011" s="92">
        <v>7</v>
      </c>
      <c r="E1011" s="92" t="s">
        <v>586</v>
      </c>
      <c r="F1011" s="92">
        <v>153</v>
      </c>
      <c r="G1011" s="92" t="s">
        <v>484</v>
      </c>
      <c r="H1011" s="92"/>
      <c r="I1011" s="92">
        <v>0</v>
      </c>
      <c r="J1011" s="92">
        <v>6916396</v>
      </c>
      <c r="K1011" s="92" t="s">
        <v>1061</v>
      </c>
      <c r="L1011" s="92">
        <v>269</v>
      </c>
      <c r="M1011" s="92">
        <v>202</v>
      </c>
      <c r="N1011" s="92">
        <v>72</v>
      </c>
      <c r="O1011" s="92">
        <v>72</v>
      </c>
      <c r="P1011" s="92">
        <v>0</v>
      </c>
      <c r="Q1011" s="92">
        <v>0</v>
      </c>
      <c r="R1011" s="92">
        <v>0</v>
      </c>
      <c r="S1011" s="92">
        <v>0</v>
      </c>
      <c r="T1011" s="92">
        <v>0</v>
      </c>
      <c r="U1011" s="92">
        <v>0</v>
      </c>
      <c r="V1011" s="92">
        <v>0</v>
      </c>
      <c r="W1011" s="92">
        <v>0</v>
      </c>
      <c r="X1011" s="92">
        <v>0</v>
      </c>
      <c r="Y1011" s="92">
        <v>0</v>
      </c>
      <c r="Z1011" s="92">
        <v>0</v>
      </c>
      <c r="AA1011" s="92">
        <v>0</v>
      </c>
      <c r="AB1011" s="92">
        <v>30468</v>
      </c>
      <c r="AC1011" s="92">
        <v>32572</v>
      </c>
      <c r="AD1011" s="92">
        <v>35221</v>
      </c>
      <c r="AE1011" s="92">
        <v>0</v>
      </c>
      <c r="AF1011" s="92">
        <v>0</v>
      </c>
      <c r="AG1011" s="92">
        <v>0</v>
      </c>
    </row>
    <row r="1012" spans="1:35" x14ac:dyDescent="0.25">
      <c r="A1012" t="str">
        <f t="shared" si="19"/>
        <v>22-14-47</v>
      </c>
      <c r="B1012">
        <v>22</v>
      </c>
      <c r="C1012" s="92" t="s">
        <v>1035</v>
      </c>
      <c r="D1012" s="92">
        <v>14</v>
      </c>
      <c r="E1012" s="92" t="s">
        <v>571</v>
      </c>
      <c r="F1012" s="92">
        <v>47</v>
      </c>
      <c r="G1012" s="92" t="s">
        <v>846</v>
      </c>
      <c r="H1012" s="92"/>
      <c r="I1012" s="92">
        <v>38092</v>
      </c>
      <c r="J1012" s="92">
        <v>4336876</v>
      </c>
      <c r="K1012" s="92">
        <v>1</v>
      </c>
      <c r="L1012" s="92">
        <v>3865</v>
      </c>
      <c r="M1012" s="92">
        <v>405</v>
      </c>
      <c r="N1012" s="92">
        <v>134</v>
      </c>
      <c r="O1012" s="92">
        <v>134</v>
      </c>
      <c r="P1012" s="92">
        <v>0</v>
      </c>
      <c r="Q1012" s="92">
        <v>0</v>
      </c>
      <c r="R1012" s="92">
        <v>0</v>
      </c>
      <c r="S1012" s="92">
        <v>0</v>
      </c>
      <c r="T1012" s="92">
        <v>0</v>
      </c>
      <c r="U1012" s="92">
        <v>0</v>
      </c>
      <c r="V1012" s="92">
        <v>0</v>
      </c>
      <c r="W1012" s="92">
        <v>0</v>
      </c>
      <c r="X1012" s="92">
        <v>0</v>
      </c>
      <c r="Y1012" s="92">
        <v>0</v>
      </c>
      <c r="Z1012" s="92">
        <v>0</v>
      </c>
      <c r="AA1012" s="92">
        <v>0</v>
      </c>
      <c r="AB1012" s="92">
        <v>56396</v>
      </c>
      <c r="AC1012" s="92">
        <v>60037</v>
      </c>
      <c r="AD1012" s="92">
        <v>65079</v>
      </c>
      <c r="AE1012" s="92">
        <v>0</v>
      </c>
      <c r="AF1012" s="92">
        <v>0</v>
      </c>
      <c r="AG1012" s="92">
        <v>0</v>
      </c>
      <c r="AI1012" s="250">
        <v>9.0620999999999999E-5</v>
      </c>
    </row>
    <row r="1013" spans="1:35" x14ac:dyDescent="0.25">
      <c r="A1013" t="str">
        <f t="shared" si="19"/>
        <v>33-14-47</v>
      </c>
      <c r="B1013">
        <v>33</v>
      </c>
      <c r="C1013" s="92" t="s">
        <v>1046</v>
      </c>
      <c r="D1013" s="92">
        <v>14</v>
      </c>
      <c r="E1013" s="92" t="s">
        <v>571</v>
      </c>
      <c r="F1013" s="92">
        <v>47</v>
      </c>
      <c r="G1013" s="92" t="s">
        <v>846</v>
      </c>
      <c r="H1013" s="92"/>
      <c r="I1013" s="92">
        <v>38092</v>
      </c>
      <c r="J1013" s="92">
        <v>14293940</v>
      </c>
      <c r="K1013" s="92">
        <v>1</v>
      </c>
      <c r="L1013" s="92">
        <v>3865</v>
      </c>
      <c r="M1013" s="92">
        <v>405</v>
      </c>
      <c r="N1013" s="92">
        <v>134</v>
      </c>
      <c r="O1013" s="92">
        <v>134</v>
      </c>
      <c r="P1013" s="92">
        <v>0</v>
      </c>
      <c r="Q1013" s="92">
        <v>0</v>
      </c>
      <c r="R1013" s="92">
        <v>0</v>
      </c>
      <c r="S1013" s="92">
        <v>0</v>
      </c>
      <c r="T1013" s="92">
        <v>0</v>
      </c>
      <c r="U1013" s="92">
        <v>0</v>
      </c>
      <c r="V1013" s="92">
        <v>0</v>
      </c>
      <c r="W1013" s="92">
        <v>0</v>
      </c>
      <c r="X1013" s="92">
        <v>0</v>
      </c>
      <c r="Y1013" s="92">
        <v>0</v>
      </c>
      <c r="Z1013" s="92">
        <v>0</v>
      </c>
      <c r="AA1013" s="92">
        <v>0</v>
      </c>
      <c r="AB1013" s="92">
        <v>56396</v>
      </c>
      <c r="AC1013" s="92">
        <v>60037</v>
      </c>
      <c r="AD1013" s="92">
        <v>65079</v>
      </c>
      <c r="AE1013" s="92">
        <v>0</v>
      </c>
      <c r="AF1013" s="92">
        <v>0</v>
      </c>
      <c r="AG1013" s="92">
        <v>0</v>
      </c>
      <c r="AI1013" s="250">
        <v>9.0620999999999999E-5</v>
      </c>
    </row>
    <row r="1014" spans="1:35" x14ac:dyDescent="0.25">
      <c r="A1014" t="str">
        <f t="shared" si="19"/>
        <v>22-4-133</v>
      </c>
      <c r="B1014">
        <v>22</v>
      </c>
      <c r="C1014" s="92" t="s">
        <v>1035</v>
      </c>
      <c r="D1014" s="92">
        <v>4</v>
      </c>
      <c r="E1014" s="92" t="s">
        <v>66</v>
      </c>
      <c r="F1014" s="92">
        <v>133</v>
      </c>
      <c r="G1014" s="92" t="s">
        <v>838</v>
      </c>
      <c r="H1014" s="92"/>
      <c r="I1014" s="92">
        <v>0</v>
      </c>
      <c r="J1014" s="92">
        <v>4336876</v>
      </c>
      <c r="K1014" s="92">
        <v>1</v>
      </c>
      <c r="L1014" s="92">
        <v>33191</v>
      </c>
      <c r="M1014" s="92">
        <v>7435</v>
      </c>
      <c r="N1014" s="92">
        <v>2666</v>
      </c>
      <c r="O1014" s="92">
        <v>2666</v>
      </c>
      <c r="P1014" s="92">
        <v>0</v>
      </c>
      <c r="Q1014" s="92">
        <v>0</v>
      </c>
      <c r="R1014" s="92">
        <v>0</v>
      </c>
      <c r="S1014" s="92">
        <v>0</v>
      </c>
      <c r="T1014" s="92">
        <v>0</v>
      </c>
      <c r="U1014" s="92">
        <v>0</v>
      </c>
      <c r="V1014" s="92">
        <v>0</v>
      </c>
      <c r="W1014" s="92">
        <v>0</v>
      </c>
      <c r="X1014" s="92">
        <v>0</v>
      </c>
      <c r="Y1014" s="92">
        <v>0</v>
      </c>
      <c r="Z1014" s="92">
        <v>0</v>
      </c>
      <c r="AA1014" s="92">
        <v>0</v>
      </c>
      <c r="AB1014" s="92">
        <v>43292</v>
      </c>
      <c r="AC1014" s="92">
        <v>65696</v>
      </c>
      <c r="AD1014" s="92">
        <v>68292</v>
      </c>
      <c r="AE1014" s="92">
        <v>0</v>
      </c>
      <c r="AF1014" s="92">
        <v>0</v>
      </c>
      <c r="AG1014" s="92">
        <v>0</v>
      </c>
    </row>
    <row r="1015" spans="1:35" x14ac:dyDescent="0.25">
      <c r="A1015" t="str">
        <f t="shared" si="19"/>
        <v>33-4-133</v>
      </c>
      <c r="B1015">
        <v>33</v>
      </c>
      <c r="C1015" s="92" t="s">
        <v>1046</v>
      </c>
      <c r="D1015" s="92">
        <v>4</v>
      </c>
      <c r="E1015" s="92" t="s">
        <v>66</v>
      </c>
      <c r="F1015" s="92">
        <v>133</v>
      </c>
      <c r="G1015" s="92" t="s">
        <v>838</v>
      </c>
      <c r="H1015" s="92"/>
      <c r="I1015" s="92">
        <v>0</v>
      </c>
      <c r="J1015" s="92">
        <v>14293940</v>
      </c>
      <c r="K1015" s="92">
        <v>1</v>
      </c>
      <c r="L1015" s="92">
        <v>33191</v>
      </c>
      <c r="M1015" s="92">
        <v>7435</v>
      </c>
      <c r="N1015" s="92">
        <v>2666</v>
      </c>
      <c r="O1015" s="92">
        <v>2666</v>
      </c>
      <c r="P1015" s="92">
        <v>0</v>
      </c>
      <c r="Q1015" s="92">
        <v>0</v>
      </c>
      <c r="R1015" s="92">
        <v>0</v>
      </c>
      <c r="S1015" s="92">
        <v>0</v>
      </c>
      <c r="T1015" s="92">
        <v>0</v>
      </c>
      <c r="U1015" s="92">
        <v>0</v>
      </c>
      <c r="V1015" s="92">
        <v>0</v>
      </c>
      <c r="W1015" s="92">
        <v>0</v>
      </c>
      <c r="X1015" s="92">
        <v>0</v>
      </c>
      <c r="Y1015" s="92">
        <v>0</v>
      </c>
      <c r="Z1015" s="92">
        <v>0</v>
      </c>
      <c r="AA1015" s="92">
        <v>0</v>
      </c>
      <c r="AB1015" s="92">
        <v>43292</v>
      </c>
      <c r="AC1015" s="92">
        <v>65696</v>
      </c>
      <c r="AD1015" s="92">
        <v>68292</v>
      </c>
      <c r="AE1015" s="92">
        <v>0</v>
      </c>
      <c r="AF1015" s="92">
        <v>0</v>
      </c>
      <c r="AG1015" s="92">
        <v>0</v>
      </c>
    </row>
    <row r="1016" spans="1:35" x14ac:dyDescent="0.25">
      <c r="A1016" t="str">
        <f t="shared" si="19"/>
        <v>7-20-21</v>
      </c>
      <c r="B1016">
        <v>7</v>
      </c>
      <c r="C1016" s="92" t="s">
        <v>1057</v>
      </c>
      <c r="D1016" s="92">
        <v>20</v>
      </c>
      <c r="E1016" s="92" t="s">
        <v>153</v>
      </c>
      <c r="F1016" s="92">
        <v>21</v>
      </c>
      <c r="G1016" s="92" t="s">
        <v>697</v>
      </c>
      <c r="H1016" s="92"/>
      <c r="I1016" s="92">
        <v>20467</v>
      </c>
      <c r="J1016" s="92">
        <v>5099125</v>
      </c>
      <c r="K1016" s="92" t="s">
        <v>1061</v>
      </c>
      <c r="L1016" s="92">
        <v>0</v>
      </c>
      <c r="M1016" s="92">
        <v>851</v>
      </c>
      <c r="N1016" s="92">
        <v>107</v>
      </c>
      <c r="O1016" s="92">
        <v>107</v>
      </c>
      <c r="P1016" s="92">
        <v>0</v>
      </c>
      <c r="Q1016" s="92">
        <v>0</v>
      </c>
      <c r="R1016" s="92">
        <v>0</v>
      </c>
      <c r="S1016" s="92">
        <v>0</v>
      </c>
      <c r="T1016" s="92">
        <v>0</v>
      </c>
      <c r="U1016" s="92">
        <v>0</v>
      </c>
      <c r="V1016" s="92">
        <v>0</v>
      </c>
      <c r="W1016" s="92">
        <v>0</v>
      </c>
      <c r="X1016" s="92">
        <v>0</v>
      </c>
      <c r="Y1016" s="92">
        <v>0</v>
      </c>
      <c r="Z1016" s="92">
        <v>0</v>
      </c>
      <c r="AA1016" s="92">
        <v>0</v>
      </c>
      <c r="AB1016" s="92">
        <v>1150671</v>
      </c>
      <c r="AC1016" s="92">
        <v>1196893</v>
      </c>
      <c r="AD1016" s="92">
        <v>1232748</v>
      </c>
      <c r="AE1016" s="92">
        <v>0</v>
      </c>
      <c r="AF1016" s="92">
        <v>0</v>
      </c>
      <c r="AG1016" s="92">
        <v>0</v>
      </c>
    </row>
    <row r="1017" spans="1:35" x14ac:dyDescent="0.25">
      <c r="A1017" t="str">
        <f t="shared" si="19"/>
        <v>18-9-155</v>
      </c>
      <c r="B1017">
        <v>18</v>
      </c>
      <c r="C1017" s="92" t="s">
        <v>1031</v>
      </c>
      <c r="D1017" s="92">
        <v>9</v>
      </c>
      <c r="E1017" s="92" t="s">
        <v>588</v>
      </c>
      <c r="F1017" s="92">
        <v>155</v>
      </c>
      <c r="G1017" s="92" t="s">
        <v>799</v>
      </c>
      <c r="H1017" s="92"/>
      <c r="I1017" s="92">
        <v>1428</v>
      </c>
      <c r="J1017" s="92">
        <v>510996</v>
      </c>
      <c r="K1017" s="92">
        <v>1</v>
      </c>
      <c r="L1017" s="92">
        <v>0</v>
      </c>
      <c r="M1017" s="92">
        <v>0</v>
      </c>
      <c r="N1017" s="92">
        <v>2</v>
      </c>
      <c r="O1017" s="92">
        <v>2</v>
      </c>
      <c r="P1017" s="92">
        <v>0</v>
      </c>
      <c r="Q1017" s="92">
        <v>0</v>
      </c>
      <c r="R1017" s="92">
        <v>0</v>
      </c>
      <c r="S1017" s="92">
        <v>0</v>
      </c>
      <c r="T1017" s="92">
        <v>0</v>
      </c>
      <c r="U1017" s="92">
        <v>0</v>
      </c>
      <c r="V1017" s="92">
        <v>0</v>
      </c>
      <c r="W1017" s="92">
        <v>0</v>
      </c>
      <c r="X1017" s="92">
        <v>0</v>
      </c>
      <c r="Y1017" s="92">
        <v>0</v>
      </c>
      <c r="Z1017" s="92">
        <v>0</v>
      </c>
      <c r="AA1017" s="92">
        <v>0</v>
      </c>
      <c r="AB1017" s="92">
        <v>34534</v>
      </c>
      <c r="AC1017" s="92">
        <v>36906</v>
      </c>
      <c r="AD1017" s="92">
        <v>39535</v>
      </c>
      <c r="AE1017" s="92">
        <v>0</v>
      </c>
      <c r="AF1017" s="92">
        <v>0</v>
      </c>
      <c r="AG1017" s="92">
        <v>0</v>
      </c>
      <c r="AI1017" s="250">
        <v>8.8730500000000002E-4</v>
      </c>
    </row>
    <row r="1018" spans="1:35" x14ac:dyDescent="0.25">
      <c r="A1018" t="str">
        <f t="shared" si="19"/>
        <v>35-9-155</v>
      </c>
      <c r="B1018">
        <v>35</v>
      </c>
      <c r="C1018" s="92" t="s">
        <v>1195</v>
      </c>
      <c r="D1018" s="92">
        <v>9</v>
      </c>
      <c r="E1018" s="92" t="s">
        <v>588</v>
      </c>
      <c r="F1018" s="92">
        <v>155</v>
      </c>
      <c r="G1018" s="92" t="s">
        <v>799</v>
      </c>
      <c r="H1018" s="92"/>
      <c r="I1018" s="92">
        <v>1428</v>
      </c>
      <c r="J1018" s="92">
        <v>642690</v>
      </c>
      <c r="K1018" s="92">
        <v>1</v>
      </c>
      <c r="L1018" s="92">
        <v>0</v>
      </c>
      <c r="M1018" s="92">
        <v>0</v>
      </c>
      <c r="N1018" s="92">
        <v>2</v>
      </c>
      <c r="O1018" s="92">
        <v>2</v>
      </c>
      <c r="P1018" s="92">
        <v>0</v>
      </c>
      <c r="Q1018" s="92">
        <v>0</v>
      </c>
      <c r="R1018" s="92">
        <v>0</v>
      </c>
      <c r="S1018" s="92">
        <v>0</v>
      </c>
      <c r="T1018" s="92">
        <v>0</v>
      </c>
      <c r="U1018" s="92">
        <v>0</v>
      </c>
      <c r="V1018" s="92">
        <v>0</v>
      </c>
      <c r="W1018" s="92">
        <v>0</v>
      </c>
      <c r="X1018" s="92">
        <v>0</v>
      </c>
      <c r="Y1018" s="92">
        <v>0</v>
      </c>
      <c r="Z1018" s="92">
        <v>0</v>
      </c>
      <c r="AA1018" s="92">
        <v>0</v>
      </c>
      <c r="AB1018" s="92">
        <v>34534</v>
      </c>
      <c r="AC1018" s="92">
        <v>36906</v>
      </c>
      <c r="AD1018" s="92">
        <v>39535</v>
      </c>
      <c r="AE1018" s="92">
        <v>0</v>
      </c>
      <c r="AF1018" s="92">
        <v>0</v>
      </c>
      <c r="AG1018" s="92">
        <v>0</v>
      </c>
      <c r="AI1018" s="250">
        <v>8.8730500000000002E-4</v>
      </c>
    </row>
    <row r="1019" spans="1:35" x14ac:dyDescent="0.25">
      <c r="A1019" t="str">
        <f t="shared" si="19"/>
        <v>1-9-187</v>
      </c>
      <c r="B1019">
        <v>1</v>
      </c>
      <c r="C1019" s="92" t="s">
        <v>1016</v>
      </c>
      <c r="D1019" s="92">
        <v>9</v>
      </c>
      <c r="E1019" s="92" t="s">
        <v>588</v>
      </c>
      <c r="F1019" s="92">
        <v>187</v>
      </c>
      <c r="G1019" s="92" t="s">
        <v>613</v>
      </c>
      <c r="H1019" s="92"/>
      <c r="I1019" s="92">
        <v>0</v>
      </c>
      <c r="J1019" s="92">
        <v>0</v>
      </c>
      <c r="K1019" s="92" t="s">
        <v>1061</v>
      </c>
      <c r="L1019" s="92">
        <v>0</v>
      </c>
      <c r="M1019" s="92">
        <v>0</v>
      </c>
      <c r="N1019" s="92">
        <v>0</v>
      </c>
      <c r="O1019" s="92">
        <v>0</v>
      </c>
      <c r="P1019" s="92">
        <v>0</v>
      </c>
      <c r="Q1019" s="92">
        <v>0</v>
      </c>
      <c r="R1019" s="92">
        <v>0</v>
      </c>
      <c r="S1019" s="92">
        <v>193</v>
      </c>
      <c r="T1019" s="92">
        <v>0</v>
      </c>
      <c r="U1019" s="92">
        <v>0</v>
      </c>
      <c r="V1019" s="92">
        <v>0</v>
      </c>
      <c r="W1019" s="92">
        <v>0</v>
      </c>
      <c r="X1019" s="92">
        <v>0</v>
      </c>
      <c r="Y1019" s="92">
        <v>0</v>
      </c>
      <c r="Z1019" s="92">
        <v>0</v>
      </c>
      <c r="AA1019" s="92">
        <v>0</v>
      </c>
      <c r="AB1019" s="92">
        <v>65372</v>
      </c>
      <c r="AC1019" s="92">
        <v>67532</v>
      </c>
      <c r="AD1019" s="92">
        <v>70278</v>
      </c>
      <c r="AE1019" s="92">
        <v>0</v>
      </c>
      <c r="AF1019" s="92">
        <v>0</v>
      </c>
      <c r="AG1019" s="92">
        <v>0</v>
      </c>
      <c r="AI1019" s="250">
        <v>1.49563E-3</v>
      </c>
    </row>
    <row r="1020" spans="1:35" x14ac:dyDescent="0.25">
      <c r="A1020" t="str">
        <f t="shared" si="19"/>
        <v>33-7-154</v>
      </c>
      <c r="B1020">
        <v>33</v>
      </c>
      <c r="C1020" s="92" t="s">
        <v>1046</v>
      </c>
      <c r="D1020" s="92">
        <v>7</v>
      </c>
      <c r="E1020" s="92" t="s">
        <v>586</v>
      </c>
      <c r="F1020" s="92">
        <v>154</v>
      </c>
      <c r="G1020" s="92" t="s">
        <v>485</v>
      </c>
      <c r="H1020" s="92"/>
      <c r="I1020" s="92">
        <v>0</v>
      </c>
      <c r="J1020" s="92">
        <v>10238168</v>
      </c>
      <c r="K1020" s="92" t="s">
        <v>1061</v>
      </c>
      <c r="L1020" s="92">
        <v>717</v>
      </c>
      <c r="M1020" s="92">
        <v>93</v>
      </c>
      <c r="N1020" s="92">
        <v>36</v>
      </c>
      <c r="O1020" s="92">
        <v>36</v>
      </c>
      <c r="P1020" s="92">
        <v>0</v>
      </c>
      <c r="Q1020" s="92">
        <v>0</v>
      </c>
      <c r="R1020" s="92">
        <v>0</v>
      </c>
      <c r="S1020" s="92">
        <v>0</v>
      </c>
      <c r="T1020" s="92">
        <v>0</v>
      </c>
      <c r="U1020" s="92">
        <v>0</v>
      </c>
      <c r="V1020" s="92">
        <v>0</v>
      </c>
      <c r="W1020" s="92">
        <v>0</v>
      </c>
      <c r="X1020" s="92">
        <v>0</v>
      </c>
      <c r="Y1020" s="92">
        <v>0</v>
      </c>
      <c r="Z1020" s="92">
        <v>0</v>
      </c>
      <c r="AA1020" s="92">
        <v>0</v>
      </c>
      <c r="AB1020" s="92">
        <v>26366</v>
      </c>
      <c r="AC1020" s="92">
        <v>27847</v>
      </c>
      <c r="AD1020" s="92">
        <v>29168</v>
      </c>
      <c r="AE1020" s="92">
        <v>0</v>
      </c>
      <c r="AF1020" s="92">
        <v>0</v>
      </c>
      <c r="AG1020" s="92">
        <v>0</v>
      </c>
    </row>
    <row r="1021" spans="1:35" x14ac:dyDescent="0.25">
      <c r="A1021" t="str">
        <f t="shared" si="19"/>
        <v>3-7-155</v>
      </c>
      <c r="B1021">
        <v>3</v>
      </c>
      <c r="C1021" s="92" t="s">
        <v>1018</v>
      </c>
      <c r="D1021" s="92">
        <v>7</v>
      </c>
      <c r="E1021" s="92" t="s">
        <v>586</v>
      </c>
      <c r="F1021" s="92">
        <v>155</v>
      </c>
      <c r="G1021" s="92" t="s">
        <v>111</v>
      </c>
      <c r="H1021" s="92"/>
      <c r="I1021" s="92">
        <v>100</v>
      </c>
      <c r="J1021" s="92">
        <v>40670462</v>
      </c>
      <c r="K1021" s="92" t="s">
        <v>1061</v>
      </c>
      <c r="L1021" s="92">
        <v>227</v>
      </c>
      <c r="M1021" s="92">
        <v>17</v>
      </c>
      <c r="N1021" s="92">
        <v>24</v>
      </c>
      <c r="O1021" s="92">
        <v>24</v>
      </c>
      <c r="P1021" s="92">
        <v>0</v>
      </c>
      <c r="Q1021" s="92">
        <v>0</v>
      </c>
      <c r="R1021" s="92">
        <v>0</v>
      </c>
      <c r="S1021" s="92">
        <v>0</v>
      </c>
      <c r="T1021" s="92">
        <v>0</v>
      </c>
      <c r="U1021" s="92">
        <v>0</v>
      </c>
      <c r="V1021" s="92">
        <v>0</v>
      </c>
      <c r="W1021" s="92">
        <v>0</v>
      </c>
      <c r="X1021" s="92">
        <v>0</v>
      </c>
      <c r="Y1021" s="92">
        <v>0</v>
      </c>
      <c r="Z1021" s="92">
        <v>0</v>
      </c>
      <c r="AA1021" s="92">
        <v>0</v>
      </c>
      <c r="AB1021" s="92">
        <v>4292</v>
      </c>
      <c r="AC1021" s="92">
        <v>4450</v>
      </c>
      <c r="AD1021" s="92">
        <v>4592</v>
      </c>
      <c r="AE1021" s="92">
        <v>0</v>
      </c>
      <c r="AF1021" s="92">
        <v>0</v>
      </c>
      <c r="AG1021" s="92">
        <v>0</v>
      </c>
    </row>
    <row r="1022" spans="1:35" x14ac:dyDescent="0.25">
      <c r="A1022" t="str">
        <f t="shared" si="19"/>
        <v>10-7-203</v>
      </c>
      <c r="B1022">
        <v>10</v>
      </c>
      <c r="C1022" s="92" t="s">
        <v>1023</v>
      </c>
      <c r="D1022" s="92">
        <v>7</v>
      </c>
      <c r="E1022" s="92" t="s">
        <v>586</v>
      </c>
      <c r="F1022" s="92">
        <v>203</v>
      </c>
      <c r="G1022" s="92" t="s">
        <v>207</v>
      </c>
      <c r="H1022" s="92"/>
      <c r="I1022" s="92">
        <v>0</v>
      </c>
      <c r="J1022" s="92">
        <v>3176845</v>
      </c>
      <c r="K1022" s="92" t="s">
        <v>1061</v>
      </c>
      <c r="L1022" s="92">
        <v>0</v>
      </c>
      <c r="M1022" s="92">
        <v>24</v>
      </c>
      <c r="N1022" s="92">
        <v>7</v>
      </c>
      <c r="O1022" s="92">
        <v>7</v>
      </c>
      <c r="P1022" s="92">
        <v>0</v>
      </c>
      <c r="Q1022" s="92">
        <v>0</v>
      </c>
      <c r="R1022" s="92">
        <v>0</v>
      </c>
      <c r="S1022" s="92">
        <v>0</v>
      </c>
      <c r="T1022" s="92">
        <v>0</v>
      </c>
      <c r="U1022" s="92">
        <v>0</v>
      </c>
      <c r="V1022" s="92">
        <v>0</v>
      </c>
      <c r="W1022" s="92">
        <v>0</v>
      </c>
      <c r="X1022" s="92">
        <v>0</v>
      </c>
      <c r="Y1022" s="92">
        <v>0</v>
      </c>
      <c r="Z1022" s="92">
        <v>0</v>
      </c>
      <c r="AA1022" s="92">
        <v>0</v>
      </c>
      <c r="AB1022" s="92">
        <v>8993</v>
      </c>
      <c r="AC1022" s="92">
        <v>9391</v>
      </c>
      <c r="AD1022" s="92">
        <v>9982</v>
      </c>
      <c r="AE1022" s="92">
        <v>0</v>
      </c>
      <c r="AF1022" s="92">
        <v>0</v>
      </c>
      <c r="AG1022" s="92">
        <v>0</v>
      </c>
    </row>
    <row r="1023" spans="1:35" x14ac:dyDescent="0.25">
      <c r="A1023" t="str">
        <f t="shared" si="19"/>
        <v>10-4-30</v>
      </c>
      <c r="B1023">
        <v>10</v>
      </c>
      <c r="C1023" s="92" t="s">
        <v>1023</v>
      </c>
      <c r="D1023" s="92">
        <v>4</v>
      </c>
      <c r="E1023" s="92" t="s">
        <v>66</v>
      </c>
      <c r="F1023" s="92">
        <v>30</v>
      </c>
      <c r="G1023" s="92" t="s">
        <v>726</v>
      </c>
      <c r="H1023" s="92"/>
      <c r="I1023" s="92">
        <v>0</v>
      </c>
      <c r="J1023" s="92">
        <v>4209902</v>
      </c>
      <c r="K1023" s="92" t="s">
        <v>1061</v>
      </c>
      <c r="L1023" s="92">
        <v>1076</v>
      </c>
      <c r="M1023" s="92">
        <v>1225</v>
      </c>
      <c r="N1023" s="92">
        <v>265</v>
      </c>
      <c r="O1023" s="92">
        <v>265</v>
      </c>
      <c r="P1023" s="92">
        <v>0</v>
      </c>
      <c r="Q1023" s="92">
        <v>0</v>
      </c>
      <c r="R1023" s="92">
        <v>0</v>
      </c>
      <c r="S1023" s="92">
        <v>0</v>
      </c>
      <c r="T1023" s="92">
        <v>0</v>
      </c>
      <c r="U1023" s="92">
        <v>0</v>
      </c>
      <c r="V1023" s="92">
        <v>0</v>
      </c>
      <c r="W1023" s="92">
        <v>0</v>
      </c>
      <c r="X1023" s="92">
        <v>0</v>
      </c>
      <c r="Y1023" s="92">
        <v>0</v>
      </c>
      <c r="Z1023" s="92">
        <v>0</v>
      </c>
      <c r="AA1023" s="92">
        <v>0</v>
      </c>
      <c r="AB1023" s="92">
        <v>22815</v>
      </c>
      <c r="AC1023" s="92">
        <v>22815</v>
      </c>
      <c r="AD1023" s="92">
        <v>22815</v>
      </c>
      <c r="AE1023" s="92">
        <v>0</v>
      </c>
      <c r="AF1023" s="92">
        <v>0</v>
      </c>
      <c r="AG1023" s="92">
        <v>0</v>
      </c>
    </row>
    <row r="1024" spans="1:35" x14ac:dyDescent="0.25">
      <c r="A1024" t="str">
        <f t="shared" si="19"/>
        <v>23-7-156</v>
      </c>
      <c r="B1024">
        <v>23</v>
      </c>
      <c r="C1024" s="92" t="s">
        <v>1036</v>
      </c>
      <c r="D1024" s="92">
        <v>7</v>
      </c>
      <c r="E1024" s="92" t="s">
        <v>586</v>
      </c>
      <c r="F1024" s="92">
        <v>156</v>
      </c>
      <c r="G1024" s="92" t="s">
        <v>341</v>
      </c>
      <c r="H1024" s="92"/>
      <c r="I1024" s="92">
        <v>0</v>
      </c>
      <c r="J1024" s="92">
        <v>5997975</v>
      </c>
      <c r="K1024" s="92" t="s">
        <v>1061</v>
      </c>
      <c r="L1024" s="92">
        <v>78</v>
      </c>
      <c r="M1024" s="92">
        <v>55</v>
      </c>
      <c r="N1024" s="92">
        <v>1</v>
      </c>
      <c r="O1024" s="92">
        <v>1</v>
      </c>
      <c r="P1024" s="92">
        <v>0</v>
      </c>
      <c r="Q1024" s="92">
        <v>0</v>
      </c>
      <c r="R1024" s="92">
        <v>0</v>
      </c>
      <c r="S1024" s="92">
        <v>0</v>
      </c>
      <c r="T1024" s="92">
        <v>0</v>
      </c>
      <c r="U1024" s="92">
        <v>0</v>
      </c>
      <c r="V1024" s="92">
        <v>0</v>
      </c>
      <c r="W1024" s="92">
        <v>0</v>
      </c>
      <c r="X1024" s="92">
        <v>0</v>
      </c>
      <c r="Y1024" s="92">
        <v>0</v>
      </c>
      <c r="Z1024" s="92">
        <v>0</v>
      </c>
      <c r="AA1024" s="92">
        <v>0</v>
      </c>
      <c r="AB1024" s="92">
        <v>9522</v>
      </c>
      <c r="AC1024" s="92">
        <v>9522</v>
      </c>
      <c r="AD1024" s="92">
        <v>9522</v>
      </c>
      <c r="AE1024" s="92">
        <v>0</v>
      </c>
      <c r="AF1024" s="92">
        <v>0</v>
      </c>
      <c r="AG1024" s="92">
        <v>0</v>
      </c>
    </row>
    <row r="1025" spans="1:35" x14ac:dyDescent="0.25">
      <c r="A1025" t="str">
        <f t="shared" si="19"/>
        <v>25-12-9</v>
      </c>
      <c r="B1025">
        <v>25</v>
      </c>
      <c r="C1025" s="92" t="s">
        <v>1038</v>
      </c>
      <c r="D1025" s="92">
        <v>12</v>
      </c>
      <c r="E1025" s="92" t="s">
        <v>71</v>
      </c>
      <c r="F1025" s="92">
        <v>9</v>
      </c>
      <c r="G1025" s="92" t="s">
        <v>388</v>
      </c>
      <c r="H1025" s="92"/>
      <c r="I1025" s="92">
        <v>265</v>
      </c>
      <c r="J1025" s="92">
        <v>35234373</v>
      </c>
      <c r="K1025" s="92" t="s">
        <v>1061</v>
      </c>
      <c r="L1025" s="92">
        <v>4686</v>
      </c>
      <c r="M1025" s="92">
        <v>6625</v>
      </c>
      <c r="N1025" s="92">
        <v>736</v>
      </c>
      <c r="O1025" s="92">
        <v>736</v>
      </c>
      <c r="P1025" s="92">
        <v>0</v>
      </c>
      <c r="Q1025" s="92">
        <v>0</v>
      </c>
      <c r="R1025" s="92">
        <v>0</v>
      </c>
      <c r="S1025" s="92">
        <v>0</v>
      </c>
      <c r="T1025" s="92">
        <v>0</v>
      </c>
      <c r="U1025" s="92">
        <v>0</v>
      </c>
      <c r="V1025" s="92">
        <v>0</v>
      </c>
      <c r="W1025" s="92">
        <v>0</v>
      </c>
      <c r="X1025" s="92">
        <v>0</v>
      </c>
      <c r="Y1025" s="92">
        <v>0</v>
      </c>
      <c r="Z1025" s="92">
        <v>0</v>
      </c>
      <c r="AA1025" s="92">
        <v>0</v>
      </c>
      <c r="AB1025" s="92">
        <v>548561</v>
      </c>
      <c r="AC1025" s="92">
        <v>569722</v>
      </c>
      <c r="AD1025" s="92">
        <v>618422</v>
      </c>
      <c r="AE1025" s="92">
        <v>0</v>
      </c>
      <c r="AF1025" s="92">
        <v>0</v>
      </c>
      <c r="AG1025" s="92">
        <v>18187</v>
      </c>
    </row>
    <row r="1026" spans="1:35" x14ac:dyDescent="0.25">
      <c r="A1026" t="str">
        <f t="shared" si="19"/>
        <v>6-7-158</v>
      </c>
      <c r="B1026">
        <v>6</v>
      </c>
      <c r="C1026" s="92" t="s">
        <v>1020</v>
      </c>
      <c r="D1026" s="92">
        <v>7</v>
      </c>
      <c r="E1026" s="92" t="s">
        <v>586</v>
      </c>
      <c r="F1026" s="92">
        <v>158</v>
      </c>
      <c r="G1026" s="92" t="s">
        <v>146</v>
      </c>
      <c r="H1026" s="92"/>
      <c r="I1026" s="92">
        <v>15181</v>
      </c>
      <c r="J1026" s="92">
        <v>5137593</v>
      </c>
      <c r="K1026" s="92">
        <v>1</v>
      </c>
      <c r="L1026" s="92">
        <v>499</v>
      </c>
      <c r="M1026" s="92">
        <v>179</v>
      </c>
      <c r="N1026" s="92">
        <v>56</v>
      </c>
      <c r="O1026" s="92">
        <v>56</v>
      </c>
      <c r="P1026" s="92">
        <v>0</v>
      </c>
      <c r="Q1026" s="92">
        <v>0</v>
      </c>
      <c r="R1026" s="92">
        <v>0</v>
      </c>
      <c r="S1026" s="92">
        <v>0</v>
      </c>
      <c r="T1026" s="92">
        <v>0</v>
      </c>
      <c r="U1026" s="92">
        <v>0</v>
      </c>
      <c r="V1026" s="92">
        <v>0</v>
      </c>
      <c r="W1026" s="92">
        <v>0</v>
      </c>
      <c r="X1026" s="92">
        <v>0</v>
      </c>
      <c r="Y1026" s="92">
        <v>0</v>
      </c>
      <c r="Z1026" s="92">
        <v>0</v>
      </c>
      <c r="AA1026" s="92">
        <v>0</v>
      </c>
      <c r="AB1026" s="92">
        <v>68266</v>
      </c>
      <c r="AC1026" s="92">
        <v>69066</v>
      </c>
      <c r="AD1026" s="92">
        <v>68266</v>
      </c>
      <c r="AE1026" s="92">
        <v>0</v>
      </c>
      <c r="AF1026" s="92">
        <v>0</v>
      </c>
      <c r="AG1026" s="92">
        <v>0</v>
      </c>
    </row>
    <row r="1027" spans="1:35" x14ac:dyDescent="0.25">
      <c r="A1027" t="str">
        <f t="shared" si="19"/>
        <v>10-7-158</v>
      </c>
      <c r="B1027">
        <v>10</v>
      </c>
      <c r="C1027" s="92" t="s">
        <v>1023</v>
      </c>
      <c r="D1027" s="92">
        <v>7</v>
      </c>
      <c r="E1027" s="92" t="s">
        <v>586</v>
      </c>
      <c r="F1027" s="92">
        <v>158</v>
      </c>
      <c r="G1027" s="92" t="s">
        <v>146</v>
      </c>
      <c r="H1027" s="92"/>
      <c r="I1027" s="92">
        <v>15181</v>
      </c>
      <c r="J1027" s="92">
        <v>6695015</v>
      </c>
      <c r="K1027" s="92">
        <v>1</v>
      </c>
      <c r="L1027" s="92">
        <v>499</v>
      </c>
      <c r="M1027" s="92">
        <v>179</v>
      </c>
      <c r="N1027" s="92">
        <v>56</v>
      </c>
      <c r="O1027" s="92">
        <v>56</v>
      </c>
      <c r="P1027" s="92">
        <v>0</v>
      </c>
      <c r="Q1027" s="92">
        <v>0</v>
      </c>
      <c r="R1027" s="92">
        <v>0</v>
      </c>
      <c r="S1027" s="92">
        <v>0</v>
      </c>
      <c r="T1027" s="92">
        <v>0</v>
      </c>
      <c r="U1027" s="92">
        <v>0</v>
      </c>
      <c r="V1027" s="92">
        <v>0</v>
      </c>
      <c r="W1027" s="92">
        <v>0</v>
      </c>
      <c r="X1027" s="92">
        <v>0</v>
      </c>
      <c r="Y1027" s="92">
        <v>0</v>
      </c>
      <c r="Z1027" s="92">
        <v>0</v>
      </c>
      <c r="AA1027" s="92">
        <v>0</v>
      </c>
      <c r="AB1027" s="92">
        <v>68266</v>
      </c>
      <c r="AC1027" s="92">
        <v>69066</v>
      </c>
      <c r="AD1027" s="92">
        <v>68266</v>
      </c>
      <c r="AE1027" s="92">
        <v>0</v>
      </c>
      <c r="AF1027" s="92">
        <v>0</v>
      </c>
      <c r="AG1027" s="92">
        <v>0</v>
      </c>
    </row>
    <row r="1028" spans="1:35" x14ac:dyDescent="0.25">
      <c r="A1028" t="str">
        <f t="shared" si="19"/>
        <v>10-20-64</v>
      </c>
      <c r="B1028">
        <v>10</v>
      </c>
      <c r="C1028" s="92" t="s">
        <v>1023</v>
      </c>
      <c r="D1028" s="92">
        <v>20</v>
      </c>
      <c r="E1028" s="92" t="s">
        <v>153</v>
      </c>
      <c r="F1028" s="92">
        <v>64</v>
      </c>
      <c r="G1028" s="92" t="s">
        <v>1102</v>
      </c>
      <c r="H1028" s="92"/>
      <c r="I1028" s="92">
        <v>2613</v>
      </c>
      <c r="J1028" s="92">
        <v>1011609</v>
      </c>
      <c r="K1028" s="92"/>
      <c r="L1028" s="92">
        <v>0</v>
      </c>
      <c r="M1028" s="92">
        <v>0</v>
      </c>
      <c r="N1028" s="92">
        <v>0</v>
      </c>
      <c r="O1028" s="92">
        <v>0</v>
      </c>
      <c r="P1028" s="92">
        <v>0</v>
      </c>
      <c r="Q1028" s="92">
        <v>0</v>
      </c>
      <c r="R1028" s="92">
        <v>0</v>
      </c>
      <c r="S1028" s="92">
        <v>0</v>
      </c>
      <c r="T1028" s="92">
        <v>0</v>
      </c>
      <c r="U1028" s="92">
        <v>0</v>
      </c>
      <c r="V1028" s="92">
        <v>0</v>
      </c>
      <c r="W1028" s="92">
        <v>0</v>
      </c>
      <c r="X1028" s="92">
        <v>0</v>
      </c>
      <c r="Y1028" s="92">
        <v>0</v>
      </c>
      <c r="Z1028" s="92">
        <v>0</v>
      </c>
      <c r="AA1028" s="92">
        <v>0</v>
      </c>
      <c r="AB1028" s="92">
        <v>0</v>
      </c>
      <c r="AC1028" s="92">
        <v>0</v>
      </c>
      <c r="AD1028" s="92">
        <v>0</v>
      </c>
      <c r="AE1028" s="92">
        <v>0</v>
      </c>
      <c r="AF1028" s="92">
        <v>0</v>
      </c>
      <c r="AG1028" s="92">
        <v>0</v>
      </c>
    </row>
    <row r="1029" spans="1:35" x14ac:dyDescent="0.25">
      <c r="A1029" t="str">
        <f t="shared" si="19"/>
        <v>14-17-33</v>
      </c>
      <c r="B1029">
        <v>14</v>
      </c>
      <c r="C1029" s="92" t="s">
        <v>1027</v>
      </c>
      <c r="D1029" s="92">
        <v>17</v>
      </c>
      <c r="E1029" s="92" t="s">
        <v>593</v>
      </c>
      <c r="F1029" s="92">
        <v>33</v>
      </c>
      <c r="G1029" s="92" t="s">
        <v>251</v>
      </c>
      <c r="H1029" s="92"/>
      <c r="I1029" s="92">
        <v>0</v>
      </c>
      <c r="J1029" s="92">
        <v>17909455</v>
      </c>
      <c r="K1029" s="92" t="s">
        <v>1061</v>
      </c>
      <c r="L1029" s="92">
        <v>0</v>
      </c>
      <c r="M1029" s="92">
        <v>113</v>
      </c>
      <c r="N1029" s="92">
        <v>23</v>
      </c>
      <c r="O1029" s="92">
        <v>23</v>
      </c>
      <c r="P1029" s="92">
        <v>0</v>
      </c>
      <c r="Q1029" s="92">
        <v>0</v>
      </c>
      <c r="R1029" s="92">
        <v>0</v>
      </c>
      <c r="S1029" s="92">
        <v>0</v>
      </c>
      <c r="T1029" s="92">
        <v>0</v>
      </c>
      <c r="U1029" s="92">
        <v>0</v>
      </c>
      <c r="V1029" s="92">
        <v>0</v>
      </c>
      <c r="W1029" s="92">
        <v>0</v>
      </c>
      <c r="X1029" s="92">
        <v>0</v>
      </c>
      <c r="Y1029" s="92">
        <v>0</v>
      </c>
      <c r="Z1029" s="92">
        <v>0</v>
      </c>
      <c r="AA1029" s="92">
        <v>0</v>
      </c>
      <c r="AB1029" s="92">
        <v>16369</v>
      </c>
      <c r="AC1029" s="92">
        <v>17089</v>
      </c>
      <c r="AD1029" s="92">
        <v>17690</v>
      </c>
      <c r="AE1029" s="92">
        <v>0</v>
      </c>
      <c r="AF1029" s="92">
        <v>0</v>
      </c>
      <c r="AG1029" s="92">
        <v>0</v>
      </c>
    </row>
    <row r="1030" spans="1:35" x14ac:dyDescent="0.25">
      <c r="A1030" t="str">
        <f t="shared" si="19"/>
        <v>5-9-86</v>
      </c>
      <c r="B1030">
        <v>5</v>
      </c>
      <c r="C1030" s="92" t="s">
        <v>1019</v>
      </c>
      <c r="D1030" s="92">
        <v>9</v>
      </c>
      <c r="E1030" s="92" t="s">
        <v>588</v>
      </c>
      <c r="F1030" s="92">
        <v>86</v>
      </c>
      <c r="G1030" s="92" t="s">
        <v>669</v>
      </c>
      <c r="H1030" s="92"/>
      <c r="I1030" s="92">
        <v>14</v>
      </c>
      <c r="J1030" s="92">
        <v>0</v>
      </c>
      <c r="K1030" s="92" t="s">
        <v>1061</v>
      </c>
      <c r="L1030" s="92">
        <v>937</v>
      </c>
      <c r="M1030" s="92">
        <v>82</v>
      </c>
      <c r="N1030" s="92">
        <v>6</v>
      </c>
      <c r="O1030" s="92">
        <v>6</v>
      </c>
      <c r="P1030" s="92">
        <v>0</v>
      </c>
      <c r="Q1030" s="92">
        <v>0</v>
      </c>
      <c r="R1030" s="92">
        <v>0</v>
      </c>
      <c r="S1030" s="92">
        <v>0</v>
      </c>
      <c r="T1030" s="92">
        <v>0</v>
      </c>
      <c r="U1030" s="92">
        <v>0</v>
      </c>
      <c r="V1030" s="92">
        <v>0</v>
      </c>
      <c r="W1030" s="92">
        <v>0</v>
      </c>
      <c r="X1030" s="92">
        <v>0</v>
      </c>
      <c r="Y1030" s="92">
        <v>0</v>
      </c>
      <c r="Z1030" s="92">
        <v>0</v>
      </c>
      <c r="AA1030" s="92">
        <v>0</v>
      </c>
      <c r="AB1030" s="92">
        <v>20523</v>
      </c>
      <c r="AC1030" s="92">
        <v>20523</v>
      </c>
      <c r="AD1030" s="92">
        <v>20412</v>
      </c>
      <c r="AE1030" s="92">
        <v>0</v>
      </c>
      <c r="AF1030" s="92">
        <v>0</v>
      </c>
      <c r="AG1030" s="92">
        <v>0</v>
      </c>
      <c r="AI1030" s="250">
        <v>2.0408899999999999E-4</v>
      </c>
    </row>
    <row r="1031" spans="1:35" x14ac:dyDescent="0.25">
      <c r="A1031" t="str">
        <f t="shared" si="19"/>
        <v>41-15-23</v>
      </c>
      <c r="B1031">
        <v>41</v>
      </c>
      <c r="C1031" s="92" t="s">
        <v>1052</v>
      </c>
      <c r="D1031" s="92">
        <v>15</v>
      </c>
      <c r="E1031" s="92" t="s">
        <v>152</v>
      </c>
      <c r="F1031" s="92">
        <v>23</v>
      </c>
      <c r="G1031" s="92" t="s">
        <v>985</v>
      </c>
      <c r="H1031" s="92"/>
      <c r="I1031" s="92">
        <v>111618</v>
      </c>
      <c r="J1031" s="92">
        <v>14280407</v>
      </c>
      <c r="K1031" s="92" t="s">
        <v>1061</v>
      </c>
      <c r="L1031" s="92">
        <v>0</v>
      </c>
      <c r="M1031" s="92">
        <v>1451</v>
      </c>
      <c r="N1031" s="92">
        <v>139</v>
      </c>
      <c r="O1031" s="92">
        <v>139</v>
      </c>
      <c r="P1031" s="92">
        <v>0</v>
      </c>
      <c r="Q1031" s="92">
        <v>0</v>
      </c>
      <c r="R1031" s="92">
        <v>0</v>
      </c>
      <c r="S1031" s="92">
        <v>10</v>
      </c>
      <c r="T1031" s="92">
        <v>0</v>
      </c>
      <c r="U1031" s="92">
        <v>0</v>
      </c>
      <c r="V1031" s="92">
        <v>0</v>
      </c>
      <c r="W1031" s="92">
        <v>0</v>
      </c>
      <c r="X1031" s="92">
        <v>0</v>
      </c>
      <c r="Y1031" s="92">
        <v>0</v>
      </c>
      <c r="Z1031" s="92">
        <v>0</v>
      </c>
      <c r="AA1031" s="92">
        <v>0</v>
      </c>
      <c r="AB1031" s="92">
        <v>390031</v>
      </c>
      <c r="AC1031" s="92">
        <v>415227</v>
      </c>
      <c r="AD1031" s="92">
        <v>442378</v>
      </c>
      <c r="AE1031" s="92">
        <v>0</v>
      </c>
      <c r="AF1031" s="92">
        <v>0</v>
      </c>
      <c r="AG1031" s="92">
        <v>0</v>
      </c>
    </row>
    <row r="1032" spans="1:35" x14ac:dyDescent="0.25">
      <c r="A1032" t="str">
        <f t="shared" si="19"/>
        <v>41-2-41</v>
      </c>
      <c r="B1032">
        <v>41</v>
      </c>
      <c r="C1032" s="92" t="s">
        <v>1052</v>
      </c>
      <c r="D1032" s="92">
        <v>2</v>
      </c>
      <c r="E1032" s="92" t="s">
        <v>53</v>
      </c>
      <c r="F1032" s="92">
        <v>41</v>
      </c>
      <c r="G1032" s="92" t="s">
        <v>542</v>
      </c>
      <c r="H1032" s="92"/>
      <c r="I1032" s="92">
        <v>0</v>
      </c>
      <c r="J1032" s="92">
        <v>14280407</v>
      </c>
      <c r="K1032" s="92" t="s">
        <v>1061</v>
      </c>
      <c r="L1032" s="92">
        <v>24943</v>
      </c>
      <c r="M1032" s="92">
        <v>26933</v>
      </c>
      <c r="N1032" s="92">
        <v>2733</v>
      </c>
      <c r="O1032" s="92">
        <v>2683</v>
      </c>
      <c r="P1032" s="92">
        <v>0</v>
      </c>
      <c r="Q1032" s="92">
        <v>0</v>
      </c>
      <c r="R1032" s="92">
        <v>0</v>
      </c>
      <c r="S1032" s="92">
        <v>187</v>
      </c>
      <c r="T1032" s="92">
        <v>0</v>
      </c>
      <c r="U1032" s="92">
        <v>0</v>
      </c>
      <c r="V1032" s="92">
        <v>0</v>
      </c>
      <c r="W1032" s="92">
        <v>0</v>
      </c>
      <c r="X1032" s="92">
        <v>0</v>
      </c>
      <c r="Y1032" s="92">
        <v>0</v>
      </c>
      <c r="Z1032" s="92">
        <v>0</v>
      </c>
      <c r="AA1032" s="92">
        <v>0</v>
      </c>
      <c r="AB1032" s="92">
        <v>6068796</v>
      </c>
      <c r="AC1032" s="92">
        <v>6483981</v>
      </c>
      <c r="AD1032" s="92">
        <v>6909939</v>
      </c>
      <c r="AE1032" s="92">
        <v>0</v>
      </c>
      <c r="AF1032" s="92">
        <v>0</v>
      </c>
      <c r="AG1032" s="92">
        <v>0</v>
      </c>
    </row>
    <row r="1033" spans="1:35" x14ac:dyDescent="0.25">
      <c r="A1033" t="str">
        <f t="shared" si="19"/>
        <v>41-9-162</v>
      </c>
      <c r="B1033">
        <v>41</v>
      </c>
      <c r="C1033" s="92" t="s">
        <v>1052</v>
      </c>
      <c r="D1033" s="92">
        <v>9</v>
      </c>
      <c r="E1033" s="92" t="s">
        <v>588</v>
      </c>
      <c r="F1033" s="92">
        <v>162</v>
      </c>
      <c r="G1033" s="92" t="s">
        <v>983</v>
      </c>
      <c r="H1033" s="92"/>
      <c r="I1033" s="92">
        <v>0</v>
      </c>
      <c r="J1033" s="92">
        <v>0</v>
      </c>
      <c r="K1033" s="92" t="s">
        <v>1061</v>
      </c>
      <c r="L1033" s="92">
        <v>0</v>
      </c>
      <c r="M1033" s="92">
        <v>0</v>
      </c>
      <c r="N1033" s="92">
        <v>0</v>
      </c>
      <c r="O1033" s="92">
        <v>0</v>
      </c>
      <c r="P1033" s="92">
        <v>0</v>
      </c>
      <c r="Q1033" s="92">
        <v>0</v>
      </c>
      <c r="R1033" s="92">
        <v>0</v>
      </c>
      <c r="S1033" s="92">
        <v>94</v>
      </c>
      <c r="T1033" s="92">
        <v>0</v>
      </c>
      <c r="U1033" s="92">
        <v>0</v>
      </c>
      <c r="V1033" s="92">
        <v>0</v>
      </c>
      <c r="W1033" s="92">
        <v>0</v>
      </c>
      <c r="X1033" s="92">
        <v>0</v>
      </c>
      <c r="Y1033" s="92">
        <v>0</v>
      </c>
      <c r="Z1033" s="92">
        <v>0</v>
      </c>
      <c r="AA1033" s="92">
        <v>0</v>
      </c>
      <c r="AB1033" s="92">
        <v>3640904</v>
      </c>
      <c r="AC1033" s="92">
        <v>3889989</v>
      </c>
      <c r="AD1033" s="92">
        <v>4148516</v>
      </c>
      <c r="AE1033" s="92">
        <v>0</v>
      </c>
      <c r="AF1033" s="92">
        <v>0</v>
      </c>
      <c r="AG1033" s="92">
        <v>0</v>
      </c>
      <c r="AI1033" s="250">
        <v>6.2182299999999997E-4</v>
      </c>
    </row>
    <row r="1034" spans="1:35" x14ac:dyDescent="0.25">
      <c r="A1034" t="str">
        <f t="shared" si="19"/>
        <v>41-11-101</v>
      </c>
      <c r="B1034">
        <v>41</v>
      </c>
      <c r="C1034" s="92" t="s">
        <v>1052</v>
      </c>
      <c r="D1034" s="92">
        <v>11</v>
      </c>
      <c r="E1034" s="92" t="s">
        <v>1062</v>
      </c>
      <c r="F1034" s="92">
        <v>101</v>
      </c>
      <c r="G1034" s="92" t="s">
        <v>1256</v>
      </c>
      <c r="H1034" s="92">
        <v>1</v>
      </c>
      <c r="I1034" s="92">
        <v>0</v>
      </c>
      <c r="J1034" s="92">
        <v>14280407</v>
      </c>
      <c r="K1034" s="92" t="s">
        <v>1061</v>
      </c>
      <c r="L1034" s="92">
        <v>0</v>
      </c>
      <c r="M1034" s="92">
        <v>0</v>
      </c>
      <c r="N1034" s="92">
        <v>0</v>
      </c>
      <c r="O1034" s="92">
        <v>0</v>
      </c>
      <c r="P1034" s="92">
        <v>0</v>
      </c>
      <c r="Q1034" s="92">
        <v>0</v>
      </c>
      <c r="R1034" s="92">
        <v>0</v>
      </c>
      <c r="S1034" s="92">
        <v>0</v>
      </c>
      <c r="T1034" s="92">
        <v>0</v>
      </c>
      <c r="U1034" s="92">
        <v>0</v>
      </c>
      <c r="V1034" s="92">
        <v>0</v>
      </c>
      <c r="W1034" s="92">
        <v>0</v>
      </c>
      <c r="X1034" s="92">
        <v>0</v>
      </c>
      <c r="Y1034" s="92">
        <v>0</v>
      </c>
      <c r="Z1034" s="92">
        <v>0</v>
      </c>
      <c r="AA1034" s="92">
        <v>0</v>
      </c>
      <c r="AB1034" s="92">
        <v>0</v>
      </c>
      <c r="AC1034" s="92">
        <v>0</v>
      </c>
      <c r="AD1034" s="92">
        <v>0</v>
      </c>
      <c r="AE1034" s="92">
        <v>0</v>
      </c>
      <c r="AF1034" s="92">
        <v>0</v>
      </c>
      <c r="AG1034" s="92">
        <v>0</v>
      </c>
    </row>
    <row r="1035" spans="1:35" x14ac:dyDescent="0.25">
      <c r="A1035" t="str">
        <f t="shared" si="19"/>
        <v>41-10-21</v>
      </c>
      <c r="B1035">
        <v>41</v>
      </c>
      <c r="C1035" s="92" t="s">
        <v>1052</v>
      </c>
      <c r="D1035" s="92">
        <v>10</v>
      </c>
      <c r="E1035" s="92" t="s">
        <v>589</v>
      </c>
      <c r="F1035" s="92">
        <v>21</v>
      </c>
      <c r="G1035" s="92" t="s">
        <v>549</v>
      </c>
      <c r="H1035" s="92"/>
      <c r="I1035" s="92">
        <v>0</v>
      </c>
      <c r="J1035" s="92">
        <v>0</v>
      </c>
      <c r="K1035" s="92" t="s">
        <v>1061</v>
      </c>
      <c r="L1035" s="92">
        <v>0</v>
      </c>
      <c r="M1035" s="92">
        <v>0</v>
      </c>
      <c r="N1035" s="92">
        <v>0</v>
      </c>
      <c r="O1035" s="92">
        <v>0</v>
      </c>
      <c r="P1035" s="92">
        <v>0</v>
      </c>
      <c r="Q1035" s="92">
        <v>0</v>
      </c>
      <c r="R1035" s="92">
        <v>0</v>
      </c>
      <c r="S1035" s="92">
        <v>0</v>
      </c>
      <c r="T1035" s="92">
        <v>0</v>
      </c>
      <c r="U1035" s="92">
        <v>0</v>
      </c>
      <c r="V1035" s="92">
        <v>0</v>
      </c>
      <c r="W1035" s="92">
        <v>0</v>
      </c>
      <c r="X1035" s="92">
        <v>0</v>
      </c>
      <c r="Y1035" s="92">
        <v>0</v>
      </c>
      <c r="Z1035" s="92">
        <v>0</v>
      </c>
      <c r="AA1035" s="92">
        <v>0</v>
      </c>
      <c r="AB1035" s="92">
        <v>24405</v>
      </c>
      <c r="AC1035" s="92">
        <v>25000</v>
      </c>
      <c r="AD1035" s="92">
        <v>27000</v>
      </c>
      <c r="AE1035" s="92">
        <v>0</v>
      </c>
      <c r="AF1035" s="92">
        <v>0</v>
      </c>
      <c r="AG1035" s="92">
        <v>0</v>
      </c>
    </row>
    <row r="1036" spans="1:35" x14ac:dyDescent="0.25">
      <c r="A1036" t="str">
        <f t="shared" si="19"/>
        <v>41-4-164</v>
      </c>
      <c r="B1036">
        <v>41</v>
      </c>
      <c r="C1036" s="92" t="s">
        <v>1052</v>
      </c>
      <c r="D1036" s="92">
        <v>4</v>
      </c>
      <c r="E1036" s="92" t="s">
        <v>66</v>
      </c>
      <c r="F1036" s="92">
        <v>164</v>
      </c>
      <c r="G1036" s="92" t="s">
        <v>980</v>
      </c>
      <c r="H1036" s="92"/>
      <c r="I1036" s="92">
        <v>0</v>
      </c>
      <c r="J1036" s="92">
        <v>14280407</v>
      </c>
      <c r="K1036" s="92" t="s">
        <v>1061</v>
      </c>
      <c r="L1036" s="92">
        <v>5121</v>
      </c>
      <c r="M1036" s="92">
        <v>30410</v>
      </c>
      <c r="N1036" s="92">
        <v>3050</v>
      </c>
      <c r="O1036" s="92">
        <v>3050</v>
      </c>
      <c r="P1036" s="92">
        <v>0</v>
      </c>
      <c r="Q1036" s="92">
        <v>0</v>
      </c>
      <c r="R1036" s="92">
        <v>0</v>
      </c>
      <c r="S1036" s="92">
        <v>11</v>
      </c>
      <c r="T1036" s="92">
        <v>0</v>
      </c>
      <c r="U1036" s="92">
        <v>0</v>
      </c>
      <c r="V1036" s="92">
        <v>0</v>
      </c>
      <c r="W1036" s="92">
        <v>0</v>
      </c>
      <c r="X1036" s="92">
        <v>0</v>
      </c>
      <c r="Y1036" s="92">
        <v>0</v>
      </c>
      <c r="Z1036" s="92">
        <v>0</v>
      </c>
      <c r="AA1036" s="92">
        <v>0</v>
      </c>
      <c r="AB1036" s="92">
        <v>51822</v>
      </c>
      <c r="AC1036" s="92">
        <v>55334</v>
      </c>
      <c r="AD1036" s="92">
        <v>58938</v>
      </c>
      <c r="AE1036" s="92">
        <v>0</v>
      </c>
      <c r="AF1036" s="92">
        <v>0</v>
      </c>
      <c r="AG1036" s="92">
        <v>0</v>
      </c>
    </row>
    <row r="1037" spans="1:35" x14ac:dyDescent="0.25">
      <c r="A1037" t="str">
        <f t="shared" si="19"/>
        <v>22-7-160</v>
      </c>
      <c r="B1037">
        <v>22</v>
      </c>
      <c r="C1037" s="92" t="s">
        <v>1035</v>
      </c>
      <c r="D1037" s="92">
        <v>7</v>
      </c>
      <c r="E1037" s="92" t="s">
        <v>586</v>
      </c>
      <c r="F1037" s="92">
        <v>160</v>
      </c>
      <c r="G1037" s="92" t="s">
        <v>486</v>
      </c>
      <c r="H1037" s="92"/>
      <c r="I1037" s="92">
        <v>2388</v>
      </c>
      <c r="J1037" s="92">
        <v>1330944</v>
      </c>
      <c r="K1037" s="92">
        <v>1</v>
      </c>
      <c r="L1037" s="92">
        <v>1750</v>
      </c>
      <c r="M1037" s="92">
        <v>101</v>
      </c>
      <c r="N1037" s="92">
        <v>78</v>
      </c>
      <c r="O1037" s="92">
        <v>78</v>
      </c>
      <c r="P1037" s="92">
        <v>0</v>
      </c>
      <c r="Q1037" s="92">
        <v>0</v>
      </c>
      <c r="R1037" s="92">
        <v>0</v>
      </c>
      <c r="S1037" s="92">
        <v>0</v>
      </c>
      <c r="T1037" s="92">
        <v>0</v>
      </c>
      <c r="U1037" s="92">
        <v>0</v>
      </c>
      <c r="V1037" s="92">
        <v>0</v>
      </c>
      <c r="W1037" s="92">
        <v>0</v>
      </c>
      <c r="X1037" s="92">
        <v>0</v>
      </c>
      <c r="Y1037" s="92">
        <v>0</v>
      </c>
      <c r="Z1037" s="92">
        <v>0</v>
      </c>
      <c r="AA1037" s="92">
        <v>0</v>
      </c>
      <c r="AB1037" s="92">
        <v>34221</v>
      </c>
      <c r="AC1037" s="92">
        <v>35653</v>
      </c>
      <c r="AD1037" s="92">
        <v>37208</v>
      </c>
      <c r="AE1037" s="92">
        <v>0</v>
      </c>
      <c r="AF1037" s="92">
        <v>0</v>
      </c>
      <c r="AG1037" s="92">
        <v>0</v>
      </c>
    </row>
    <row r="1038" spans="1:35" x14ac:dyDescent="0.25">
      <c r="A1038" t="str">
        <f t="shared" si="19"/>
        <v>33-7-160</v>
      </c>
      <c r="B1038">
        <v>33</v>
      </c>
      <c r="C1038" s="92" t="s">
        <v>1046</v>
      </c>
      <c r="D1038" s="92">
        <v>7</v>
      </c>
      <c r="E1038" s="92" t="s">
        <v>586</v>
      </c>
      <c r="F1038" s="92">
        <v>160</v>
      </c>
      <c r="G1038" s="92" t="s">
        <v>486</v>
      </c>
      <c r="H1038" s="92"/>
      <c r="I1038" s="92">
        <v>2388</v>
      </c>
      <c r="J1038" s="92">
        <v>9703039</v>
      </c>
      <c r="K1038" s="92">
        <v>1</v>
      </c>
      <c r="L1038" s="92">
        <v>1750</v>
      </c>
      <c r="M1038" s="92">
        <v>101</v>
      </c>
      <c r="N1038" s="92">
        <v>78</v>
      </c>
      <c r="O1038" s="92">
        <v>78</v>
      </c>
      <c r="P1038" s="92">
        <v>0</v>
      </c>
      <c r="Q1038" s="92">
        <v>0</v>
      </c>
      <c r="R1038" s="92">
        <v>0</v>
      </c>
      <c r="S1038" s="92">
        <v>0</v>
      </c>
      <c r="T1038" s="92">
        <v>0</v>
      </c>
      <c r="U1038" s="92">
        <v>0</v>
      </c>
      <c r="V1038" s="92">
        <v>0</v>
      </c>
      <c r="W1038" s="92">
        <v>0</v>
      </c>
      <c r="X1038" s="92">
        <v>0</v>
      </c>
      <c r="Y1038" s="92">
        <v>0</v>
      </c>
      <c r="Z1038" s="92">
        <v>0</v>
      </c>
      <c r="AA1038" s="92">
        <v>0</v>
      </c>
      <c r="AB1038" s="92">
        <v>34221</v>
      </c>
      <c r="AC1038" s="92">
        <v>35653</v>
      </c>
      <c r="AD1038" s="92">
        <v>37208</v>
      </c>
      <c r="AE1038" s="92">
        <v>0</v>
      </c>
      <c r="AF1038" s="92">
        <v>0</v>
      </c>
      <c r="AG1038" s="92">
        <v>0</v>
      </c>
    </row>
    <row r="1039" spans="1:35" x14ac:dyDescent="0.25">
      <c r="A1039" t="str">
        <f t="shared" si="19"/>
        <v>41-17-41</v>
      </c>
      <c r="B1039">
        <v>41</v>
      </c>
      <c r="C1039" s="92" t="s">
        <v>1052</v>
      </c>
      <c r="D1039" s="92">
        <v>17</v>
      </c>
      <c r="E1039" s="92" t="s">
        <v>593</v>
      </c>
      <c r="F1039" s="92">
        <v>41</v>
      </c>
      <c r="G1039" s="92" t="s">
        <v>1347</v>
      </c>
      <c r="H1039" s="92"/>
      <c r="I1039" s="92">
        <v>0</v>
      </c>
      <c r="J1039" s="92">
        <v>14280407</v>
      </c>
      <c r="K1039" s="92" t="s">
        <v>1061</v>
      </c>
      <c r="L1039" s="92">
        <v>0</v>
      </c>
      <c r="M1039" s="92">
        <v>0</v>
      </c>
      <c r="N1039" s="92">
        <v>0</v>
      </c>
      <c r="O1039" s="92">
        <v>0</v>
      </c>
      <c r="P1039" s="92">
        <v>0</v>
      </c>
      <c r="Q1039" s="92">
        <v>0</v>
      </c>
      <c r="R1039" s="92">
        <v>0</v>
      </c>
      <c r="S1039" s="92">
        <v>0</v>
      </c>
      <c r="T1039" s="92">
        <v>0</v>
      </c>
      <c r="U1039" s="92">
        <v>0</v>
      </c>
      <c r="V1039" s="92">
        <v>0</v>
      </c>
      <c r="W1039" s="92">
        <v>0</v>
      </c>
      <c r="X1039" s="92">
        <v>0</v>
      </c>
      <c r="Y1039" s="92">
        <v>0</v>
      </c>
      <c r="Z1039" s="92">
        <v>0</v>
      </c>
      <c r="AA1039" s="92">
        <v>0</v>
      </c>
      <c r="AB1039" s="92">
        <v>0</v>
      </c>
      <c r="AC1039" s="92">
        <v>0</v>
      </c>
      <c r="AD1039" s="92">
        <v>1890658</v>
      </c>
      <c r="AE1039" s="92">
        <v>0</v>
      </c>
      <c r="AF1039" s="92">
        <v>0</v>
      </c>
      <c r="AG1039" s="92">
        <v>0</v>
      </c>
    </row>
    <row r="1040" spans="1:35" x14ac:dyDescent="0.25">
      <c r="A1040" t="str">
        <f t="shared" si="19"/>
        <v>15-7-162</v>
      </c>
      <c r="B1040">
        <v>15</v>
      </c>
      <c r="C1040" s="92" t="s">
        <v>1028</v>
      </c>
      <c r="D1040" s="92">
        <v>7</v>
      </c>
      <c r="E1040" s="92" t="s">
        <v>586</v>
      </c>
      <c r="F1040" s="92">
        <v>162</v>
      </c>
      <c r="G1040" s="92" t="s">
        <v>261</v>
      </c>
      <c r="H1040" s="92"/>
      <c r="I1040" s="92">
        <v>0</v>
      </c>
      <c r="J1040" s="92">
        <v>7679909</v>
      </c>
      <c r="K1040" s="92">
        <v>1</v>
      </c>
      <c r="L1040" s="92">
        <v>174</v>
      </c>
      <c r="M1040" s="92">
        <v>6</v>
      </c>
      <c r="N1040" s="92">
        <v>16</v>
      </c>
      <c r="O1040" s="92">
        <v>16</v>
      </c>
      <c r="P1040" s="92">
        <v>0</v>
      </c>
      <c r="Q1040" s="92">
        <v>0</v>
      </c>
      <c r="R1040" s="92">
        <v>0</v>
      </c>
      <c r="S1040" s="92">
        <v>0</v>
      </c>
      <c r="T1040" s="92">
        <v>0</v>
      </c>
      <c r="U1040" s="92">
        <v>0</v>
      </c>
      <c r="V1040" s="92">
        <v>0</v>
      </c>
      <c r="W1040" s="92">
        <v>0</v>
      </c>
      <c r="X1040" s="92">
        <v>0</v>
      </c>
      <c r="Y1040" s="92">
        <v>0</v>
      </c>
      <c r="Z1040" s="92">
        <v>0</v>
      </c>
      <c r="AA1040" s="92">
        <v>0</v>
      </c>
      <c r="AB1040" s="92">
        <v>6052</v>
      </c>
      <c r="AC1040" s="92">
        <v>6308</v>
      </c>
      <c r="AD1040" s="92">
        <v>6627</v>
      </c>
      <c r="AE1040" s="92">
        <v>0</v>
      </c>
      <c r="AF1040" s="92">
        <v>0</v>
      </c>
      <c r="AG1040" s="92">
        <v>0</v>
      </c>
    </row>
    <row r="1041" spans="1:35" x14ac:dyDescent="0.25">
      <c r="A1041" t="str">
        <f t="shared" si="19"/>
        <v>21-7-162</v>
      </c>
      <c r="B1041">
        <v>21</v>
      </c>
      <c r="C1041" s="92" t="s">
        <v>1034</v>
      </c>
      <c r="D1041" s="92">
        <v>7</v>
      </c>
      <c r="E1041" s="92" t="s">
        <v>586</v>
      </c>
      <c r="F1041" s="92">
        <v>162</v>
      </c>
      <c r="G1041" s="92" t="s">
        <v>261</v>
      </c>
      <c r="H1041" s="92"/>
      <c r="I1041" s="92">
        <v>0</v>
      </c>
      <c r="J1041" s="92">
        <v>3462325</v>
      </c>
      <c r="K1041" s="92">
        <v>1</v>
      </c>
      <c r="L1041" s="92">
        <v>174</v>
      </c>
      <c r="M1041" s="92">
        <v>6</v>
      </c>
      <c r="N1041" s="92">
        <v>16</v>
      </c>
      <c r="O1041" s="92">
        <v>16</v>
      </c>
      <c r="P1041" s="92">
        <v>0</v>
      </c>
      <c r="Q1041" s="92">
        <v>0</v>
      </c>
      <c r="R1041" s="92">
        <v>0</v>
      </c>
      <c r="S1041" s="92">
        <v>0</v>
      </c>
      <c r="T1041" s="92">
        <v>0</v>
      </c>
      <c r="U1041" s="92">
        <v>0</v>
      </c>
      <c r="V1041" s="92">
        <v>0</v>
      </c>
      <c r="W1041" s="92">
        <v>0</v>
      </c>
      <c r="X1041" s="92">
        <v>0</v>
      </c>
      <c r="Y1041" s="92">
        <v>0</v>
      </c>
      <c r="Z1041" s="92">
        <v>0</v>
      </c>
      <c r="AA1041" s="92">
        <v>0</v>
      </c>
      <c r="AB1041" s="92">
        <v>6052</v>
      </c>
      <c r="AC1041" s="92">
        <v>6308</v>
      </c>
      <c r="AD1041" s="92">
        <v>6627</v>
      </c>
      <c r="AE1041" s="92">
        <v>0</v>
      </c>
      <c r="AF1041" s="92">
        <v>0</v>
      </c>
      <c r="AG1041" s="92">
        <v>0</v>
      </c>
    </row>
    <row r="1042" spans="1:35" x14ac:dyDescent="0.25">
      <c r="A1042" t="str">
        <f t="shared" si="19"/>
        <v>37-11-56</v>
      </c>
      <c r="B1042">
        <v>37</v>
      </c>
      <c r="C1042" s="92" t="s">
        <v>1049</v>
      </c>
      <c r="D1042" s="92">
        <v>11</v>
      </c>
      <c r="E1042" s="92" t="s">
        <v>1062</v>
      </c>
      <c r="F1042" s="92">
        <v>56</v>
      </c>
      <c r="G1042" s="92" t="s">
        <v>959</v>
      </c>
      <c r="H1042" s="92"/>
      <c r="I1042" s="92">
        <v>3522</v>
      </c>
      <c r="J1042" s="92">
        <v>19545409</v>
      </c>
      <c r="K1042" s="92" t="s">
        <v>1061</v>
      </c>
      <c r="L1042" s="92">
        <v>801</v>
      </c>
      <c r="M1042" s="92">
        <v>40</v>
      </c>
      <c r="N1042" s="92">
        <v>21</v>
      </c>
      <c r="O1042" s="92">
        <v>21</v>
      </c>
      <c r="P1042" s="92">
        <v>0</v>
      </c>
      <c r="Q1042" s="92">
        <v>0</v>
      </c>
      <c r="R1042" s="92">
        <v>0</v>
      </c>
      <c r="S1042" s="92">
        <v>0</v>
      </c>
      <c r="T1042" s="92">
        <v>0</v>
      </c>
      <c r="U1042" s="92">
        <v>0</v>
      </c>
      <c r="V1042" s="92">
        <v>0</v>
      </c>
      <c r="W1042" s="92">
        <v>0</v>
      </c>
      <c r="X1042" s="92">
        <v>0</v>
      </c>
      <c r="Y1042" s="92">
        <v>0</v>
      </c>
      <c r="Z1042" s="92">
        <v>0</v>
      </c>
      <c r="AA1042" s="92">
        <v>0</v>
      </c>
      <c r="AB1042" s="92">
        <v>18000</v>
      </c>
      <c r="AC1042" s="92">
        <v>18000</v>
      </c>
      <c r="AD1042" s="92">
        <v>18566</v>
      </c>
      <c r="AE1042" s="92">
        <v>0</v>
      </c>
      <c r="AF1042" s="92">
        <v>0</v>
      </c>
      <c r="AG1042" s="92">
        <v>0</v>
      </c>
    </row>
    <row r="1043" spans="1:35" x14ac:dyDescent="0.25">
      <c r="A1043" t="str">
        <f t="shared" si="19"/>
        <v>37-4-171</v>
      </c>
      <c r="B1043">
        <v>37</v>
      </c>
      <c r="C1043" s="92" t="s">
        <v>1049</v>
      </c>
      <c r="D1043" s="92">
        <v>4</v>
      </c>
      <c r="E1043" s="92" t="s">
        <v>66</v>
      </c>
      <c r="F1043" s="92">
        <v>171</v>
      </c>
      <c r="G1043" s="92" t="s">
        <v>952</v>
      </c>
      <c r="H1043" s="92"/>
      <c r="I1043" s="92">
        <v>0</v>
      </c>
      <c r="J1043" s="92">
        <v>12641025</v>
      </c>
      <c r="K1043" s="92">
        <v>1</v>
      </c>
      <c r="L1043" s="92">
        <v>0</v>
      </c>
      <c r="M1043" s="92">
        <v>113</v>
      </c>
      <c r="N1043" s="92">
        <v>40</v>
      </c>
      <c r="O1043" s="92">
        <v>40</v>
      </c>
      <c r="P1043" s="92">
        <v>0</v>
      </c>
      <c r="Q1043" s="92">
        <v>0</v>
      </c>
      <c r="R1043" s="92">
        <v>0</v>
      </c>
      <c r="S1043" s="92">
        <v>0</v>
      </c>
      <c r="T1043" s="92">
        <v>0</v>
      </c>
      <c r="U1043" s="92">
        <v>0</v>
      </c>
      <c r="V1043" s="92">
        <v>0</v>
      </c>
      <c r="W1043" s="92">
        <v>0</v>
      </c>
      <c r="X1043" s="92">
        <v>0</v>
      </c>
      <c r="Y1043" s="92">
        <v>0</v>
      </c>
      <c r="Z1043" s="92">
        <v>0</v>
      </c>
      <c r="AA1043" s="92">
        <v>0</v>
      </c>
      <c r="AB1043" s="92">
        <v>0</v>
      </c>
      <c r="AC1043" s="92">
        <v>0</v>
      </c>
      <c r="AD1043" s="92">
        <v>0</v>
      </c>
      <c r="AE1043" s="92">
        <v>0</v>
      </c>
      <c r="AF1043" s="92">
        <v>0</v>
      </c>
      <c r="AG1043" s="92">
        <v>0</v>
      </c>
    </row>
    <row r="1044" spans="1:35" x14ac:dyDescent="0.25">
      <c r="A1044" t="str">
        <f t="shared" si="19"/>
        <v>42-4-171</v>
      </c>
      <c r="B1044">
        <v>42</v>
      </c>
      <c r="C1044" s="92" t="s">
        <v>1196</v>
      </c>
      <c r="D1044" s="92">
        <v>4</v>
      </c>
      <c r="E1044" s="92" t="s">
        <v>66</v>
      </c>
      <c r="F1044" s="92">
        <v>171</v>
      </c>
      <c r="G1044" s="92" t="s">
        <v>952</v>
      </c>
      <c r="H1044" s="92"/>
      <c r="I1044" s="92">
        <v>0</v>
      </c>
      <c r="J1044" s="92">
        <v>359125</v>
      </c>
      <c r="K1044" s="92">
        <v>1</v>
      </c>
      <c r="L1044" s="92">
        <v>0</v>
      </c>
      <c r="M1044" s="92">
        <v>113</v>
      </c>
      <c r="N1044" s="92">
        <v>40</v>
      </c>
      <c r="O1044" s="92">
        <v>40</v>
      </c>
      <c r="P1044" s="92">
        <v>0</v>
      </c>
      <c r="Q1044" s="92">
        <v>0</v>
      </c>
      <c r="R1044" s="92">
        <v>0</v>
      </c>
      <c r="S1044" s="92">
        <v>0</v>
      </c>
      <c r="T1044" s="92">
        <v>0</v>
      </c>
      <c r="U1044" s="92">
        <v>0</v>
      </c>
      <c r="V1044" s="92">
        <v>0</v>
      </c>
      <c r="W1044" s="92">
        <v>0</v>
      </c>
      <c r="X1044" s="92">
        <v>0</v>
      </c>
      <c r="Y1044" s="92">
        <v>0</v>
      </c>
      <c r="Z1044" s="92">
        <v>0</v>
      </c>
      <c r="AA1044" s="92">
        <v>0</v>
      </c>
      <c r="AB1044" s="92">
        <v>0</v>
      </c>
      <c r="AC1044" s="92">
        <v>0</v>
      </c>
      <c r="AD1044" s="92">
        <v>0</v>
      </c>
      <c r="AE1044" s="92">
        <v>0</v>
      </c>
      <c r="AF1044" s="92">
        <v>0</v>
      </c>
      <c r="AG1044" s="92">
        <v>0</v>
      </c>
    </row>
    <row r="1045" spans="1:35" x14ac:dyDescent="0.25">
      <c r="A1045" t="str">
        <f t="shared" si="19"/>
        <v>9-9-167</v>
      </c>
      <c r="B1045">
        <v>9</v>
      </c>
      <c r="C1045" s="92" t="s">
        <v>1022</v>
      </c>
      <c r="D1045" s="92">
        <v>9</v>
      </c>
      <c r="E1045" s="92" t="s">
        <v>588</v>
      </c>
      <c r="F1045" s="92">
        <v>167</v>
      </c>
      <c r="G1045" s="92" t="s">
        <v>423</v>
      </c>
      <c r="H1045" s="92"/>
      <c r="I1045" s="92">
        <v>6</v>
      </c>
      <c r="J1045" s="92">
        <v>0</v>
      </c>
      <c r="K1045" s="92">
        <v>1</v>
      </c>
      <c r="L1045" s="92">
        <v>520</v>
      </c>
      <c r="M1045" s="92">
        <v>5395</v>
      </c>
      <c r="N1045" s="92">
        <v>475</v>
      </c>
      <c r="O1045" s="92">
        <v>475</v>
      </c>
      <c r="P1045" s="92">
        <v>0</v>
      </c>
      <c r="Q1045" s="92">
        <v>0</v>
      </c>
      <c r="R1045" s="92">
        <v>0</v>
      </c>
      <c r="S1045" s="92">
        <v>0</v>
      </c>
      <c r="T1045" s="92">
        <v>0</v>
      </c>
      <c r="U1045" s="92">
        <v>0</v>
      </c>
      <c r="V1045" s="92">
        <v>0</v>
      </c>
      <c r="W1045" s="92">
        <v>0</v>
      </c>
      <c r="X1045" s="92">
        <v>0</v>
      </c>
      <c r="Y1045" s="92">
        <v>0</v>
      </c>
      <c r="Z1045" s="92">
        <v>0</v>
      </c>
      <c r="AA1045" s="92">
        <v>0</v>
      </c>
      <c r="AB1045" s="92">
        <v>1226435</v>
      </c>
      <c r="AC1045" s="92">
        <v>1285880</v>
      </c>
      <c r="AD1045" s="182">
        <f>1352176+700000</f>
        <v>2052176</v>
      </c>
      <c r="AE1045" s="92">
        <v>0</v>
      </c>
      <c r="AF1045" s="92">
        <v>0</v>
      </c>
      <c r="AG1045" s="92">
        <v>0</v>
      </c>
      <c r="AI1045" s="254">
        <v>8.3271699999999996E-4</v>
      </c>
    </row>
    <row r="1046" spans="1:35" x14ac:dyDescent="0.25">
      <c r="A1046" t="str">
        <f t="shared" si="19"/>
        <v>28-9-167</v>
      </c>
      <c r="B1046">
        <v>28</v>
      </c>
      <c r="C1046" s="92" t="s">
        <v>1041</v>
      </c>
      <c r="D1046" s="92">
        <v>9</v>
      </c>
      <c r="E1046" s="92" t="s">
        <v>588</v>
      </c>
      <c r="F1046" s="92">
        <v>167</v>
      </c>
      <c r="G1046" s="92" t="s">
        <v>423</v>
      </c>
      <c r="H1046" s="92"/>
      <c r="I1046" s="92">
        <v>6</v>
      </c>
      <c r="J1046" s="92">
        <v>13461753</v>
      </c>
      <c r="K1046" s="92">
        <v>1</v>
      </c>
      <c r="L1046" s="92">
        <v>520</v>
      </c>
      <c r="M1046" s="92">
        <v>5395</v>
      </c>
      <c r="N1046" s="92">
        <v>475</v>
      </c>
      <c r="O1046" s="92">
        <v>475</v>
      </c>
      <c r="P1046" s="92">
        <v>0</v>
      </c>
      <c r="Q1046" s="92">
        <v>0</v>
      </c>
      <c r="R1046" s="92">
        <v>0</v>
      </c>
      <c r="S1046" s="92">
        <v>0</v>
      </c>
      <c r="T1046" s="92">
        <v>0</v>
      </c>
      <c r="U1046" s="92">
        <v>0</v>
      </c>
      <c r="V1046" s="92">
        <v>0</v>
      </c>
      <c r="W1046" s="92">
        <v>0</v>
      </c>
      <c r="X1046" s="92">
        <v>0</v>
      </c>
      <c r="Y1046" s="92">
        <v>0</v>
      </c>
      <c r="Z1046" s="92">
        <v>0</v>
      </c>
      <c r="AA1046" s="92">
        <v>0</v>
      </c>
      <c r="AB1046" s="92">
        <v>1226435</v>
      </c>
      <c r="AC1046" s="92">
        <v>1285880</v>
      </c>
      <c r="AD1046" s="182">
        <f>1352176+700000</f>
        <v>2052176</v>
      </c>
      <c r="AE1046" s="92">
        <v>0</v>
      </c>
      <c r="AF1046" s="92">
        <v>0</v>
      </c>
      <c r="AG1046" s="92">
        <v>0</v>
      </c>
      <c r="AI1046" s="254">
        <v>8.3271699999999996E-4</v>
      </c>
    </row>
    <row r="1047" spans="1:35" x14ac:dyDescent="0.25">
      <c r="A1047" t="str">
        <f t="shared" si="19"/>
        <v>21-7-164</v>
      </c>
      <c r="B1047">
        <v>21</v>
      </c>
      <c r="C1047" s="92" t="s">
        <v>1034</v>
      </c>
      <c r="D1047" s="92">
        <v>7</v>
      </c>
      <c r="E1047" s="92" t="s">
        <v>586</v>
      </c>
      <c r="F1047" s="92">
        <v>164</v>
      </c>
      <c r="G1047" s="92" t="s">
        <v>327</v>
      </c>
      <c r="H1047" s="92"/>
      <c r="I1047" s="92">
        <v>0</v>
      </c>
      <c r="J1047" s="92">
        <v>5281139</v>
      </c>
      <c r="K1047" s="92" t="s">
        <v>1061</v>
      </c>
      <c r="L1047" s="92">
        <v>108</v>
      </c>
      <c r="M1047" s="92">
        <v>4</v>
      </c>
      <c r="N1047" s="92">
        <v>3</v>
      </c>
      <c r="O1047" s="92">
        <v>3</v>
      </c>
      <c r="P1047" s="92">
        <v>0</v>
      </c>
      <c r="Q1047" s="92">
        <v>0</v>
      </c>
      <c r="R1047" s="92">
        <v>0</v>
      </c>
      <c r="S1047" s="92">
        <v>0</v>
      </c>
      <c r="T1047" s="92">
        <v>0</v>
      </c>
      <c r="U1047" s="92">
        <v>0</v>
      </c>
      <c r="V1047" s="92">
        <v>0</v>
      </c>
      <c r="W1047" s="92">
        <v>0</v>
      </c>
      <c r="X1047" s="92">
        <v>0</v>
      </c>
      <c r="Y1047" s="92">
        <v>0</v>
      </c>
      <c r="Z1047" s="92">
        <v>0</v>
      </c>
      <c r="AA1047" s="92">
        <v>0</v>
      </c>
      <c r="AB1047" s="92">
        <v>2351</v>
      </c>
      <c r="AC1047" s="92">
        <v>2448</v>
      </c>
      <c r="AD1047" s="92">
        <v>2565</v>
      </c>
      <c r="AE1047" s="92">
        <v>0</v>
      </c>
      <c r="AF1047" s="92">
        <v>0</v>
      </c>
      <c r="AG1047" s="92">
        <v>0</v>
      </c>
    </row>
    <row r="1048" spans="1:35" x14ac:dyDescent="0.25">
      <c r="A1048" t="str">
        <f t="shared" si="19"/>
        <v>29-7-165</v>
      </c>
      <c r="B1048">
        <v>29</v>
      </c>
      <c r="C1048" s="92" t="s">
        <v>1042</v>
      </c>
      <c r="D1048" s="92">
        <v>7</v>
      </c>
      <c r="E1048" s="92" t="s">
        <v>586</v>
      </c>
      <c r="F1048" s="92">
        <v>165</v>
      </c>
      <c r="G1048" s="92" t="s">
        <v>447</v>
      </c>
      <c r="H1048" s="92"/>
      <c r="I1048" s="92">
        <v>1200</v>
      </c>
      <c r="J1048" s="92">
        <v>7909783</v>
      </c>
      <c r="K1048" s="92" t="s">
        <v>1061</v>
      </c>
      <c r="L1048" s="92">
        <v>260</v>
      </c>
      <c r="M1048" s="92">
        <v>113</v>
      </c>
      <c r="N1048" s="92">
        <v>22</v>
      </c>
      <c r="O1048" s="92">
        <v>22</v>
      </c>
      <c r="P1048" s="92">
        <v>0</v>
      </c>
      <c r="Q1048" s="92">
        <v>0</v>
      </c>
      <c r="R1048" s="92">
        <v>0</v>
      </c>
      <c r="S1048" s="92">
        <v>6.86</v>
      </c>
      <c r="T1048" s="92">
        <v>1</v>
      </c>
      <c r="U1048" s="92">
        <v>0</v>
      </c>
      <c r="V1048" s="92">
        <v>0</v>
      </c>
      <c r="W1048" s="92">
        <v>0</v>
      </c>
      <c r="X1048" s="92">
        <v>0</v>
      </c>
      <c r="Y1048" s="92">
        <v>0</v>
      </c>
      <c r="Z1048" s="92">
        <v>0</v>
      </c>
      <c r="AA1048" s="92">
        <v>0</v>
      </c>
      <c r="AB1048" s="92">
        <v>11337</v>
      </c>
      <c r="AC1048" s="92">
        <v>11337</v>
      </c>
      <c r="AD1048" s="92">
        <v>11344</v>
      </c>
      <c r="AE1048" s="92">
        <v>0</v>
      </c>
      <c r="AF1048" s="92">
        <v>0</v>
      </c>
      <c r="AG1048" s="92">
        <v>0</v>
      </c>
    </row>
    <row r="1049" spans="1:35" x14ac:dyDescent="0.25">
      <c r="A1049" t="str">
        <f t="shared" si="19"/>
        <v>29-9-87</v>
      </c>
      <c r="B1049">
        <v>29</v>
      </c>
      <c r="C1049" s="92" t="s">
        <v>1042</v>
      </c>
      <c r="D1049" s="92">
        <v>9</v>
      </c>
      <c r="E1049" s="92" t="s">
        <v>588</v>
      </c>
      <c r="F1049" s="92">
        <v>87</v>
      </c>
      <c r="G1049" s="92" t="s">
        <v>910</v>
      </c>
      <c r="H1049" s="92"/>
      <c r="I1049" s="92">
        <v>2966</v>
      </c>
      <c r="J1049" s="92">
        <v>3633349</v>
      </c>
      <c r="K1049" s="92" t="s">
        <v>1061</v>
      </c>
      <c r="L1049" s="92">
        <v>446</v>
      </c>
      <c r="M1049" s="92">
        <v>102</v>
      </c>
      <c r="N1049" s="92">
        <v>2</v>
      </c>
      <c r="O1049" s="92">
        <v>2</v>
      </c>
      <c r="P1049" s="92">
        <v>0</v>
      </c>
      <c r="Q1049" s="92">
        <v>0</v>
      </c>
      <c r="R1049" s="92">
        <v>0</v>
      </c>
      <c r="S1049" s="92">
        <v>8.42</v>
      </c>
      <c r="T1049" s="92">
        <v>1</v>
      </c>
      <c r="U1049" s="92">
        <v>0</v>
      </c>
      <c r="V1049" s="92">
        <v>0</v>
      </c>
      <c r="W1049" s="92">
        <v>0</v>
      </c>
      <c r="X1049" s="92">
        <v>0</v>
      </c>
      <c r="Y1049" s="92">
        <v>0</v>
      </c>
      <c r="Z1049" s="92">
        <v>0</v>
      </c>
      <c r="AA1049" s="92">
        <v>0</v>
      </c>
      <c r="AB1049" s="92">
        <v>11978</v>
      </c>
      <c r="AC1049" s="92">
        <v>12154</v>
      </c>
      <c r="AD1049" s="92">
        <v>12178</v>
      </c>
      <c r="AE1049" s="92">
        <v>0</v>
      </c>
      <c r="AF1049" s="92">
        <v>0</v>
      </c>
      <c r="AG1049" s="92">
        <v>0</v>
      </c>
      <c r="AI1049" s="250">
        <v>5.9228000000000003E-5</v>
      </c>
    </row>
    <row r="1050" spans="1:35" x14ac:dyDescent="0.25">
      <c r="A1050" t="str">
        <f t="shared" si="19"/>
        <v>29-17-34</v>
      </c>
      <c r="B1050">
        <v>29</v>
      </c>
      <c r="C1050" s="92" t="s">
        <v>1042</v>
      </c>
      <c r="D1050" s="92">
        <v>17</v>
      </c>
      <c r="E1050" s="92" t="s">
        <v>593</v>
      </c>
      <c r="F1050" s="92">
        <v>34</v>
      </c>
      <c r="G1050" s="92" t="s">
        <v>451</v>
      </c>
      <c r="H1050" s="92"/>
      <c r="I1050" s="92">
        <v>21891</v>
      </c>
      <c r="J1050" s="92">
        <v>7041932</v>
      </c>
      <c r="K1050" s="92" t="s">
        <v>1061</v>
      </c>
      <c r="L1050" s="92">
        <v>0</v>
      </c>
      <c r="M1050" s="92">
        <v>489</v>
      </c>
      <c r="N1050" s="92">
        <v>88</v>
      </c>
      <c r="O1050" s="92">
        <v>88</v>
      </c>
      <c r="P1050" s="92">
        <v>0</v>
      </c>
      <c r="Q1050" s="92">
        <v>0</v>
      </c>
      <c r="R1050" s="92">
        <v>0</v>
      </c>
      <c r="S1050" s="92">
        <v>26.34</v>
      </c>
      <c r="T1050" s="92">
        <v>3</v>
      </c>
      <c r="U1050" s="92">
        <v>0</v>
      </c>
      <c r="V1050" s="92">
        <v>0</v>
      </c>
      <c r="W1050" s="92">
        <v>0</v>
      </c>
      <c r="X1050" s="92">
        <v>0</v>
      </c>
      <c r="Y1050" s="92">
        <v>0</v>
      </c>
      <c r="Z1050" s="92">
        <v>0</v>
      </c>
      <c r="AA1050" s="92">
        <v>0</v>
      </c>
      <c r="AB1050" s="92">
        <v>39396</v>
      </c>
      <c r="AC1050" s="92">
        <v>40000</v>
      </c>
      <c r="AD1050" s="92">
        <v>39423</v>
      </c>
      <c r="AE1050" s="92">
        <v>0</v>
      </c>
      <c r="AF1050" s="92">
        <v>0</v>
      </c>
      <c r="AG1050" s="92">
        <v>0</v>
      </c>
    </row>
    <row r="1051" spans="1:35" x14ac:dyDescent="0.25">
      <c r="A1051" t="str">
        <f t="shared" ref="A1051:A1114" si="20">B1051&amp;"-"&amp;D1051&amp;"-"&amp;F1051</f>
        <v>29-4-200</v>
      </c>
      <c r="B1051">
        <v>29</v>
      </c>
      <c r="C1051" s="92" t="s">
        <v>1042</v>
      </c>
      <c r="D1051" s="92">
        <v>4</v>
      </c>
      <c r="E1051" s="92" t="s">
        <v>66</v>
      </c>
      <c r="F1051" s="92">
        <v>200</v>
      </c>
      <c r="G1051" s="92" t="s">
        <v>901</v>
      </c>
      <c r="H1051" s="92"/>
      <c r="I1051" s="92">
        <v>0</v>
      </c>
      <c r="J1051" s="92">
        <v>7780662</v>
      </c>
      <c r="K1051" s="92" t="s">
        <v>1061</v>
      </c>
      <c r="L1051" s="92">
        <v>9787</v>
      </c>
      <c r="M1051" s="92">
        <v>13815</v>
      </c>
      <c r="N1051" s="92">
        <v>1973</v>
      </c>
      <c r="O1051" s="92">
        <v>1973</v>
      </c>
      <c r="P1051" s="92">
        <v>0</v>
      </c>
      <c r="Q1051" s="92">
        <v>0</v>
      </c>
      <c r="R1051" s="92">
        <v>0</v>
      </c>
      <c r="S1051" s="92">
        <v>823</v>
      </c>
      <c r="T1051" s="92">
        <v>71</v>
      </c>
      <c r="U1051" s="92">
        <v>0</v>
      </c>
      <c r="V1051" s="92">
        <v>0</v>
      </c>
      <c r="W1051" s="92">
        <v>0</v>
      </c>
      <c r="X1051" s="92">
        <v>0</v>
      </c>
      <c r="Y1051" s="92">
        <v>0</v>
      </c>
      <c r="Z1051" s="92">
        <v>0</v>
      </c>
      <c r="AA1051" s="92">
        <v>0</v>
      </c>
      <c r="AB1051" s="92">
        <v>19760</v>
      </c>
      <c r="AC1051" s="92">
        <v>20688</v>
      </c>
      <c r="AD1051" s="92">
        <v>21570</v>
      </c>
      <c r="AE1051" s="92">
        <v>0</v>
      </c>
      <c r="AF1051" s="92">
        <v>0</v>
      </c>
      <c r="AG1051" s="92">
        <v>0</v>
      </c>
    </row>
    <row r="1052" spans="1:35" x14ac:dyDescent="0.25">
      <c r="A1052" t="str">
        <f t="shared" si="20"/>
        <v>15-7-166</v>
      </c>
      <c r="B1052">
        <v>15</v>
      </c>
      <c r="C1052" s="92" t="s">
        <v>1028</v>
      </c>
      <c r="D1052" s="92">
        <v>7</v>
      </c>
      <c r="E1052" s="92" t="s">
        <v>586</v>
      </c>
      <c r="F1052" s="92">
        <v>166</v>
      </c>
      <c r="G1052" s="92" t="s">
        <v>262</v>
      </c>
      <c r="H1052" s="92"/>
      <c r="I1052" s="92">
        <v>375</v>
      </c>
      <c r="J1052" s="92">
        <v>3507105</v>
      </c>
      <c r="K1052" s="92" t="s">
        <v>1061</v>
      </c>
      <c r="L1052" s="92">
        <v>142</v>
      </c>
      <c r="M1052" s="92">
        <v>4</v>
      </c>
      <c r="N1052" s="92">
        <v>8</v>
      </c>
      <c r="O1052" s="92">
        <v>8</v>
      </c>
      <c r="P1052" s="92">
        <v>0</v>
      </c>
      <c r="Q1052" s="92">
        <v>0</v>
      </c>
      <c r="R1052" s="92">
        <v>0</v>
      </c>
      <c r="S1052" s="92">
        <v>0</v>
      </c>
      <c r="T1052" s="92">
        <v>0</v>
      </c>
      <c r="U1052" s="92">
        <v>0</v>
      </c>
      <c r="V1052" s="92">
        <v>0</v>
      </c>
      <c r="W1052" s="92">
        <v>0</v>
      </c>
      <c r="X1052" s="92">
        <v>0</v>
      </c>
      <c r="Y1052" s="92">
        <v>0</v>
      </c>
      <c r="Z1052" s="92">
        <v>0</v>
      </c>
      <c r="AA1052" s="92">
        <v>0</v>
      </c>
      <c r="AB1052" s="92">
        <v>5954</v>
      </c>
      <c r="AC1052" s="92">
        <v>6188</v>
      </c>
      <c r="AD1052" s="92">
        <v>6378</v>
      </c>
      <c r="AE1052" s="92">
        <v>0</v>
      </c>
      <c r="AF1052" s="92">
        <v>0</v>
      </c>
      <c r="AG1052" s="92">
        <v>0</v>
      </c>
    </row>
    <row r="1053" spans="1:35" x14ac:dyDescent="0.25">
      <c r="A1053" t="str">
        <f t="shared" si="20"/>
        <v>42-5-23</v>
      </c>
      <c r="B1053">
        <v>42</v>
      </c>
      <c r="C1053" s="92" t="s">
        <v>1196</v>
      </c>
      <c r="D1053" s="92">
        <v>5</v>
      </c>
      <c r="E1053" s="92" t="s">
        <v>200</v>
      </c>
      <c r="F1053" s="92">
        <v>23</v>
      </c>
      <c r="G1053" s="92" t="s">
        <v>990</v>
      </c>
      <c r="H1053" s="92"/>
      <c r="I1053" s="92">
        <v>129409</v>
      </c>
      <c r="J1053" s="92">
        <v>327479746</v>
      </c>
      <c r="K1053" s="92" t="s">
        <v>1061</v>
      </c>
      <c r="L1053" s="92">
        <v>0</v>
      </c>
      <c r="M1053" s="92">
        <v>207</v>
      </c>
      <c r="N1053" s="92">
        <v>185</v>
      </c>
      <c r="O1053" s="92">
        <v>185</v>
      </c>
      <c r="P1053" s="92">
        <v>54</v>
      </c>
      <c r="Q1053" s="92">
        <v>3433.85</v>
      </c>
      <c r="R1053" s="92">
        <v>7261</v>
      </c>
      <c r="S1053" s="92">
        <v>164</v>
      </c>
      <c r="T1053" s="92">
        <v>96</v>
      </c>
      <c r="U1053" s="92">
        <v>366</v>
      </c>
      <c r="V1053" s="92">
        <v>0</v>
      </c>
      <c r="W1053" s="92">
        <v>-956</v>
      </c>
      <c r="X1053" s="92">
        <v>0</v>
      </c>
      <c r="Y1053" s="92">
        <v>0</v>
      </c>
      <c r="Z1053" s="92">
        <v>0</v>
      </c>
      <c r="AA1053" s="92">
        <v>0</v>
      </c>
      <c r="AB1053" s="92">
        <v>1170418</v>
      </c>
      <c r="AC1053" s="92">
        <v>1224734</v>
      </c>
      <c r="AD1053" s="92">
        <v>1284114</v>
      </c>
      <c r="AE1053" s="92">
        <v>0</v>
      </c>
      <c r="AF1053" s="92">
        <v>0</v>
      </c>
      <c r="AG1053" s="92">
        <v>0</v>
      </c>
      <c r="AI1053">
        <v>1.15863E-4</v>
      </c>
    </row>
    <row r="1054" spans="1:35" x14ac:dyDescent="0.25">
      <c r="A1054" t="str">
        <f t="shared" si="20"/>
        <v>42-2-42</v>
      </c>
      <c r="B1054">
        <v>42</v>
      </c>
      <c r="C1054" s="92" t="s">
        <v>1196</v>
      </c>
      <c r="D1054" s="92">
        <v>2</v>
      </c>
      <c r="E1054" s="92" t="s">
        <v>53</v>
      </c>
      <c r="F1054" s="92">
        <v>42</v>
      </c>
      <c r="G1054" s="92" t="s">
        <v>550</v>
      </c>
      <c r="H1054" s="92"/>
      <c r="I1054" s="92">
        <v>0</v>
      </c>
      <c r="J1054" s="92">
        <v>327479746</v>
      </c>
      <c r="K1054" s="92" t="s">
        <v>1061</v>
      </c>
      <c r="L1054" s="92">
        <v>263998</v>
      </c>
      <c r="M1054" s="92">
        <v>246075</v>
      </c>
      <c r="N1054" s="92">
        <v>64485</v>
      </c>
      <c r="O1054" s="92">
        <v>64485</v>
      </c>
      <c r="P1054" s="92">
        <v>1332</v>
      </c>
      <c r="Q1054" s="92">
        <v>82573.149999999994</v>
      </c>
      <c r="R1054" s="92">
        <v>169989</v>
      </c>
      <c r="S1054" s="92">
        <v>3969</v>
      </c>
      <c r="T1054" s="92">
        <v>2343</v>
      </c>
      <c r="U1054" s="92">
        <v>8659</v>
      </c>
      <c r="V1054" s="92">
        <v>0</v>
      </c>
      <c r="W1054" s="92">
        <v>16768</v>
      </c>
      <c r="X1054" s="92">
        <v>0</v>
      </c>
      <c r="Y1054" s="92">
        <v>0</v>
      </c>
      <c r="Z1054" s="92">
        <v>0</v>
      </c>
      <c r="AA1054" s="92">
        <v>0</v>
      </c>
      <c r="AB1054" s="92">
        <v>30213554</v>
      </c>
      <c r="AC1054" s="92">
        <v>30746150</v>
      </c>
      <c r="AD1054" s="92">
        <v>32213971</v>
      </c>
      <c r="AE1054" s="92">
        <v>789858</v>
      </c>
      <c r="AF1054" s="92">
        <v>0</v>
      </c>
      <c r="AG1054" s="92">
        <v>0</v>
      </c>
    </row>
    <row r="1055" spans="1:35" x14ac:dyDescent="0.25">
      <c r="A1055" t="str">
        <f t="shared" si="20"/>
        <v>42-15-18</v>
      </c>
      <c r="B1055">
        <v>42</v>
      </c>
      <c r="C1055" s="92" t="s">
        <v>1196</v>
      </c>
      <c r="D1055" s="92">
        <v>15</v>
      </c>
      <c r="E1055" s="92" t="s">
        <v>152</v>
      </c>
      <c r="F1055" s="92">
        <v>18</v>
      </c>
      <c r="G1055" s="92" t="s">
        <v>1267</v>
      </c>
      <c r="H1055" s="92"/>
      <c r="I1055" s="92">
        <v>133298</v>
      </c>
      <c r="J1055" s="92">
        <v>327479746</v>
      </c>
      <c r="K1055" s="92" t="s">
        <v>1061</v>
      </c>
      <c r="L1055" s="92">
        <v>0</v>
      </c>
      <c r="M1055" s="92">
        <v>6671</v>
      </c>
      <c r="N1055" s="92">
        <v>1489</v>
      </c>
      <c r="O1055" s="92">
        <v>1489</v>
      </c>
      <c r="P1055" s="92">
        <v>31</v>
      </c>
      <c r="Q1055" s="92">
        <v>1947.86</v>
      </c>
      <c r="R1055" s="92">
        <v>4308</v>
      </c>
      <c r="S1055" s="92">
        <v>94</v>
      </c>
      <c r="T1055" s="92">
        <v>55</v>
      </c>
      <c r="U1055" s="92">
        <v>212</v>
      </c>
      <c r="V1055" s="92">
        <v>0</v>
      </c>
      <c r="W1055" s="92">
        <v>398</v>
      </c>
      <c r="X1055" s="92">
        <v>0</v>
      </c>
      <c r="Y1055" s="92">
        <v>0</v>
      </c>
      <c r="Z1055" s="92">
        <v>0</v>
      </c>
      <c r="AA1055" s="92">
        <v>0</v>
      </c>
      <c r="AB1055" s="92">
        <v>715836</v>
      </c>
      <c r="AC1055" s="92">
        <v>778137</v>
      </c>
      <c r="AD1055" s="92">
        <v>674915</v>
      </c>
      <c r="AE1055" s="92">
        <v>0</v>
      </c>
      <c r="AF1055" s="92">
        <v>22750</v>
      </c>
      <c r="AG1055" s="92">
        <v>0</v>
      </c>
    </row>
    <row r="1056" spans="1:35" x14ac:dyDescent="0.25">
      <c r="A1056" t="str">
        <f t="shared" si="20"/>
        <v>42-11-61</v>
      </c>
      <c r="B1056">
        <v>42</v>
      </c>
      <c r="C1056" s="92" t="s">
        <v>1196</v>
      </c>
      <c r="D1056" s="92">
        <v>11</v>
      </c>
      <c r="E1056" s="92" t="s">
        <v>1062</v>
      </c>
      <c r="F1056" s="92">
        <v>61</v>
      </c>
      <c r="G1056" s="92" t="s">
        <v>999</v>
      </c>
      <c r="H1056" s="92"/>
      <c r="I1056" s="92">
        <v>178828</v>
      </c>
      <c r="J1056" s="92">
        <v>207425653</v>
      </c>
      <c r="K1056" s="92" t="s">
        <v>1061</v>
      </c>
      <c r="L1056" s="92">
        <v>28644</v>
      </c>
      <c r="M1056" s="92">
        <v>40011</v>
      </c>
      <c r="N1056" s="92">
        <v>14003</v>
      </c>
      <c r="O1056" s="92">
        <v>9787</v>
      </c>
      <c r="P1056" s="92">
        <v>343</v>
      </c>
      <c r="Q1056" s="92">
        <v>21747.74</v>
      </c>
      <c r="R1056" s="92">
        <v>45928</v>
      </c>
      <c r="S1056" s="92">
        <v>896</v>
      </c>
      <c r="T1056" s="92">
        <v>332</v>
      </c>
      <c r="U1056" s="92">
        <v>1756</v>
      </c>
      <c r="V1056" s="92">
        <v>0</v>
      </c>
      <c r="W1056" s="92">
        <v>2331</v>
      </c>
      <c r="X1056" s="92">
        <v>0</v>
      </c>
      <c r="Y1056" s="92">
        <v>0</v>
      </c>
      <c r="Z1056" s="92">
        <v>0</v>
      </c>
      <c r="AA1056" s="92">
        <v>0</v>
      </c>
      <c r="AB1056" s="92">
        <v>6501691</v>
      </c>
      <c r="AC1056" s="92">
        <v>6794974</v>
      </c>
      <c r="AD1056" s="92">
        <v>7108157</v>
      </c>
      <c r="AE1056" s="92">
        <v>0</v>
      </c>
      <c r="AF1056" s="92">
        <v>0</v>
      </c>
      <c r="AG1056" s="92">
        <v>0</v>
      </c>
    </row>
    <row r="1057" spans="1:35" x14ac:dyDescent="0.25">
      <c r="A1057" t="str">
        <f t="shared" si="20"/>
        <v>42-9-141</v>
      </c>
      <c r="B1057">
        <v>42</v>
      </c>
      <c r="C1057" s="92" t="s">
        <v>1196</v>
      </c>
      <c r="D1057" s="92">
        <v>9</v>
      </c>
      <c r="E1057" s="92" t="s">
        <v>588</v>
      </c>
      <c r="F1057" s="92">
        <v>141</v>
      </c>
      <c r="G1057" s="92" t="s">
        <v>992</v>
      </c>
      <c r="H1057" s="92"/>
      <c r="I1057" s="92">
        <v>250992</v>
      </c>
      <c r="J1057" s="92">
        <v>3148617</v>
      </c>
      <c r="K1057" s="92" t="s">
        <v>1061</v>
      </c>
      <c r="L1057" s="92">
        <v>0</v>
      </c>
      <c r="M1057" s="92">
        <v>4345</v>
      </c>
      <c r="N1057" s="92">
        <v>0</v>
      </c>
      <c r="O1057" s="92">
        <v>0</v>
      </c>
      <c r="P1057" s="92">
        <v>0</v>
      </c>
      <c r="Q1057" s="92">
        <v>0</v>
      </c>
      <c r="R1057" s="92">
        <v>0</v>
      </c>
      <c r="S1057" s="92">
        <v>273</v>
      </c>
      <c r="T1057" s="92">
        <v>0</v>
      </c>
      <c r="U1057" s="92">
        <v>19</v>
      </c>
      <c r="V1057" s="92">
        <v>0</v>
      </c>
      <c r="W1057" s="92">
        <v>590</v>
      </c>
      <c r="X1057" s="92">
        <v>0</v>
      </c>
      <c r="Y1057" s="92">
        <v>0</v>
      </c>
      <c r="Z1057" s="92">
        <v>0</v>
      </c>
      <c r="AA1057" s="92">
        <v>0</v>
      </c>
      <c r="AB1057" s="92">
        <v>832737</v>
      </c>
      <c r="AC1057" s="92">
        <v>870658</v>
      </c>
      <c r="AD1057" s="92">
        <v>916570</v>
      </c>
      <c r="AE1057" s="92">
        <v>0</v>
      </c>
      <c r="AF1057" s="92">
        <v>0</v>
      </c>
      <c r="AG1057" s="92">
        <v>0</v>
      </c>
      <c r="AI1057" s="250">
        <v>8.9908100000000003E-4</v>
      </c>
    </row>
    <row r="1058" spans="1:35" x14ac:dyDescent="0.25">
      <c r="A1058" t="str">
        <f t="shared" si="20"/>
        <v>42-4-165</v>
      </c>
      <c r="B1058">
        <v>42</v>
      </c>
      <c r="C1058" s="92" t="s">
        <v>1196</v>
      </c>
      <c r="D1058" s="92">
        <v>4</v>
      </c>
      <c r="E1058" s="92" t="s">
        <v>66</v>
      </c>
      <c r="F1058" s="92">
        <v>165</v>
      </c>
      <c r="G1058" s="92" t="s">
        <v>986</v>
      </c>
      <c r="H1058" s="92"/>
      <c r="I1058" s="92">
        <v>0</v>
      </c>
      <c r="J1058" s="92">
        <v>81690333</v>
      </c>
      <c r="K1058" s="92" t="s">
        <v>1061</v>
      </c>
      <c r="L1058" s="92">
        <v>3945</v>
      </c>
      <c r="M1058" s="92">
        <v>186843</v>
      </c>
      <c r="N1058" s="92">
        <v>46490</v>
      </c>
      <c r="O1058" s="92">
        <v>46490</v>
      </c>
      <c r="P1058" s="92">
        <v>0</v>
      </c>
      <c r="Q1058" s="92">
        <v>0</v>
      </c>
      <c r="R1058" s="92">
        <v>0</v>
      </c>
      <c r="S1058" s="92">
        <v>2089</v>
      </c>
      <c r="T1058" s="92">
        <v>1075</v>
      </c>
      <c r="U1058" s="92">
        <v>4244</v>
      </c>
      <c r="V1058" s="92">
        <v>0</v>
      </c>
      <c r="W1058" s="92">
        <v>92255</v>
      </c>
      <c r="X1058" s="92">
        <v>0</v>
      </c>
      <c r="Y1058" s="92">
        <v>0</v>
      </c>
      <c r="Z1058" s="92">
        <v>0</v>
      </c>
      <c r="AA1058" s="92">
        <v>0</v>
      </c>
      <c r="AB1058" s="92">
        <v>332453</v>
      </c>
      <c r="AC1058" s="92">
        <v>347554</v>
      </c>
      <c r="AD1058" s="92">
        <v>363822</v>
      </c>
      <c r="AE1058" s="92">
        <v>0</v>
      </c>
      <c r="AF1058" s="92">
        <v>0</v>
      </c>
      <c r="AG1058" s="92">
        <v>0</v>
      </c>
    </row>
    <row r="1059" spans="1:35" x14ac:dyDescent="0.25">
      <c r="A1059" t="str">
        <f t="shared" si="20"/>
        <v>28-10-19</v>
      </c>
      <c r="B1059">
        <v>28</v>
      </c>
      <c r="C1059" s="92" t="s">
        <v>1041</v>
      </c>
      <c r="D1059" s="92">
        <v>10</v>
      </c>
      <c r="E1059" s="92" t="s">
        <v>589</v>
      </c>
      <c r="F1059" s="92">
        <v>19</v>
      </c>
      <c r="G1059" s="92" t="s">
        <v>893</v>
      </c>
      <c r="H1059" s="92"/>
      <c r="I1059" s="92">
        <v>31745</v>
      </c>
      <c r="J1059" s="92">
        <v>0</v>
      </c>
      <c r="K1059" s="92" t="s">
        <v>1061</v>
      </c>
      <c r="L1059" s="92">
        <v>0</v>
      </c>
      <c r="M1059" s="92">
        <v>0</v>
      </c>
      <c r="N1059" s="92">
        <v>0</v>
      </c>
      <c r="O1059" s="92">
        <v>0</v>
      </c>
      <c r="P1059" s="92">
        <v>0</v>
      </c>
      <c r="Q1059" s="92">
        <v>0</v>
      </c>
      <c r="R1059" s="92">
        <v>0</v>
      </c>
      <c r="S1059" s="92">
        <v>0</v>
      </c>
      <c r="T1059" s="92">
        <v>0</v>
      </c>
      <c r="U1059" s="92">
        <v>0</v>
      </c>
      <c r="V1059" s="92">
        <v>0</v>
      </c>
      <c r="W1059" s="92">
        <v>0</v>
      </c>
      <c r="X1059" s="92">
        <v>0</v>
      </c>
      <c r="Y1059" s="92">
        <v>0</v>
      </c>
      <c r="Z1059" s="92">
        <v>0</v>
      </c>
      <c r="AA1059" s="92">
        <v>0</v>
      </c>
      <c r="AB1059" s="92">
        <v>34792</v>
      </c>
      <c r="AC1059" s="92">
        <v>34901</v>
      </c>
      <c r="AD1059" s="92">
        <v>35152</v>
      </c>
      <c r="AE1059" s="92">
        <v>0</v>
      </c>
      <c r="AF1059" s="92">
        <v>0</v>
      </c>
      <c r="AG1059" s="92">
        <v>0</v>
      </c>
    </row>
    <row r="1060" spans="1:35" x14ac:dyDescent="0.25">
      <c r="A1060" t="str">
        <f t="shared" si="20"/>
        <v>18-9-158</v>
      </c>
      <c r="B1060">
        <v>18</v>
      </c>
      <c r="C1060" s="92" t="s">
        <v>1031</v>
      </c>
      <c r="D1060" s="92">
        <v>9</v>
      </c>
      <c r="E1060" s="92" t="s">
        <v>588</v>
      </c>
      <c r="F1060" s="92">
        <v>158</v>
      </c>
      <c r="G1060" s="92" t="s">
        <v>800</v>
      </c>
      <c r="H1060" s="92"/>
      <c r="I1060" s="92">
        <v>44980</v>
      </c>
      <c r="J1060" s="92">
        <v>149049</v>
      </c>
      <c r="K1060" s="92" t="s">
        <v>1061</v>
      </c>
      <c r="L1060" s="92">
        <v>0</v>
      </c>
      <c r="M1060" s="92">
        <v>0</v>
      </c>
      <c r="N1060" s="92">
        <v>0</v>
      </c>
      <c r="O1060" s="92">
        <v>0</v>
      </c>
      <c r="P1060" s="92">
        <v>0</v>
      </c>
      <c r="Q1060" s="92">
        <v>0</v>
      </c>
      <c r="R1060" s="92">
        <v>0</v>
      </c>
      <c r="S1060" s="92">
        <v>0</v>
      </c>
      <c r="T1060" s="92">
        <v>0</v>
      </c>
      <c r="U1060" s="92">
        <v>0</v>
      </c>
      <c r="V1060" s="92">
        <v>0</v>
      </c>
      <c r="W1060" s="92">
        <v>0</v>
      </c>
      <c r="X1060" s="92">
        <v>0</v>
      </c>
      <c r="Y1060" s="92">
        <v>0</v>
      </c>
      <c r="Z1060" s="92">
        <v>0</v>
      </c>
      <c r="AA1060" s="92">
        <v>0</v>
      </c>
      <c r="AB1060" s="92">
        <v>37557</v>
      </c>
      <c r="AC1060" s="92">
        <v>40132</v>
      </c>
      <c r="AD1060" s="92">
        <v>42420</v>
      </c>
      <c r="AE1060" s="92">
        <v>0</v>
      </c>
      <c r="AF1060" s="92">
        <v>0</v>
      </c>
      <c r="AG1060" s="92">
        <v>0</v>
      </c>
      <c r="AI1060" s="250">
        <v>6.9032000000000002E-4</v>
      </c>
    </row>
    <row r="1061" spans="1:35" x14ac:dyDescent="0.25">
      <c r="A1061" t="str">
        <f t="shared" si="20"/>
        <v>10-7-167</v>
      </c>
      <c r="B1061">
        <v>10</v>
      </c>
      <c r="C1061" s="92" t="s">
        <v>1023</v>
      </c>
      <c r="D1061" s="92">
        <v>7</v>
      </c>
      <c r="E1061" s="92" t="s">
        <v>586</v>
      </c>
      <c r="F1061" s="92">
        <v>167</v>
      </c>
      <c r="G1061" s="92" t="s">
        <v>208</v>
      </c>
      <c r="H1061" s="92"/>
      <c r="I1061" s="92">
        <v>0</v>
      </c>
      <c r="J1061" s="92">
        <v>5388715</v>
      </c>
      <c r="K1061" s="92" t="s">
        <v>1061</v>
      </c>
      <c r="L1061" s="92">
        <v>1341</v>
      </c>
      <c r="M1061" s="92">
        <v>337</v>
      </c>
      <c r="N1061" s="92">
        <v>96</v>
      </c>
      <c r="O1061" s="92">
        <v>96</v>
      </c>
      <c r="P1061" s="92">
        <v>0</v>
      </c>
      <c r="Q1061" s="92">
        <v>0</v>
      </c>
      <c r="R1061" s="92">
        <v>0</v>
      </c>
      <c r="S1061" s="92">
        <v>78</v>
      </c>
      <c r="T1061" s="92">
        <v>0</v>
      </c>
      <c r="U1061" s="92">
        <v>0</v>
      </c>
      <c r="V1061" s="92">
        <v>0</v>
      </c>
      <c r="W1061" s="92">
        <v>0</v>
      </c>
      <c r="X1061" s="92">
        <v>0</v>
      </c>
      <c r="Y1061" s="92">
        <v>0</v>
      </c>
      <c r="Z1061" s="92">
        <v>0</v>
      </c>
      <c r="AA1061" s="92">
        <v>0</v>
      </c>
      <c r="AB1061" s="92">
        <v>40089</v>
      </c>
      <c r="AC1061" s="92">
        <v>41622</v>
      </c>
      <c r="AD1061" s="92">
        <v>43491</v>
      </c>
      <c r="AE1061" s="92">
        <v>0</v>
      </c>
      <c r="AF1061" s="92">
        <v>0</v>
      </c>
      <c r="AG1061" s="92">
        <v>0</v>
      </c>
    </row>
    <row r="1062" spans="1:35" x14ac:dyDescent="0.25">
      <c r="A1062" t="str">
        <f t="shared" si="20"/>
        <v>14-9-88</v>
      </c>
      <c r="B1062">
        <v>14</v>
      </c>
      <c r="C1062" s="92" t="s">
        <v>1027</v>
      </c>
      <c r="D1062" s="92">
        <v>9</v>
      </c>
      <c r="E1062" s="92" t="s">
        <v>588</v>
      </c>
      <c r="F1062" s="92">
        <v>88</v>
      </c>
      <c r="G1062" s="92" t="s">
        <v>242</v>
      </c>
      <c r="H1062" s="92"/>
      <c r="I1062" s="92">
        <v>7770</v>
      </c>
      <c r="J1062" s="92">
        <v>0</v>
      </c>
      <c r="K1062" s="92" t="s">
        <v>1061</v>
      </c>
      <c r="L1062" s="92">
        <v>3330</v>
      </c>
      <c r="M1062" s="92">
        <v>1877</v>
      </c>
      <c r="N1062" s="92">
        <v>155</v>
      </c>
      <c r="O1062" s="92">
        <v>155</v>
      </c>
      <c r="P1062" s="92">
        <v>0</v>
      </c>
      <c r="Q1062" s="92">
        <v>0</v>
      </c>
      <c r="R1062" s="92">
        <v>0</v>
      </c>
      <c r="S1062" s="92">
        <v>0</v>
      </c>
      <c r="T1062" s="92">
        <v>0</v>
      </c>
      <c r="U1062" s="92">
        <v>0</v>
      </c>
      <c r="V1062" s="92">
        <v>0</v>
      </c>
      <c r="W1062" s="92">
        <v>0</v>
      </c>
      <c r="X1062" s="92">
        <v>0</v>
      </c>
      <c r="Y1062" s="92">
        <v>0</v>
      </c>
      <c r="Z1062" s="92">
        <v>0</v>
      </c>
      <c r="AA1062" s="92">
        <v>0</v>
      </c>
      <c r="AB1062" s="92">
        <v>148326</v>
      </c>
      <c r="AC1062" s="92">
        <v>155517</v>
      </c>
      <c r="AD1062" s="92">
        <v>158825</v>
      </c>
      <c r="AE1062" s="92">
        <v>4433</v>
      </c>
      <c r="AF1062" s="92">
        <v>3124</v>
      </c>
      <c r="AG1062" s="92">
        <v>0</v>
      </c>
      <c r="AI1062" s="250">
        <v>2.0119699999999999E-4</v>
      </c>
    </row>
    <row r="1063" spans="1:35" x14ac:dyDescent="0.25">
      <c r="A1063" t="str">
        <f t="shared" si="20"/>
        <v>18-9-176</v>
      </c>
      <c r="B1063">
        <v>18</v>
      </c>
      <c r="C1063" s="92" t="s">
        <v>1031</v>
      </c>
      <c r="D1063" s="92">
        <v>9</v>
      </c>
      <c r="E1063" s="92" t="s">
        <v>588</v>
      </c>
      <c r="F1063" s="92">
        <v>176</v>
      </c>
      <c r="G1063" s="92" t="s">
        <v>802</v>
      </c>
      <c r="H1063" s="92"/>
      <c r="I1063" s="92">
        <v>2948</v>
      </c>
      <c r="J1063" s="92">
        <v>0</v>
      </c>
      <c r="K1063" s="92" t="s">
        <v>1061</v>
      </c>
      <c r="L1063" s="92">
        <v>0</v>
      </c>
      <c r="M1063" s="92">
        <v>0</v>
      </c>
      <c r="N1063" s="92">
        <v>0</v>
      </c>
      <c r="O1063" s="92">
        <v>0</v>
      </c>
      <c r="P1063" s="92">
        <v>0</v>
      </c>
      <c r="Q1063" s="92">
        <v>0</v>
      </c>
      <c r="R1063" s="92">
        <v>0</v>
      </c>
      <c r="S1063" s="92">
        <v>0</v>
      </c>
      <c r="T1063" s="92">
        <v>0</v>
      </c>
      <c r="U1063" s="92">
        <v>0</v>
      </c>
      <c r="V1063" s="92">
        <v>0</v>
      </c>
      <c r="W1063" s="92">
        <v>0</v>
      </c>
      <c r="X1063" s="92">
        <v>0</v>
      </c>
      <c r="Y1063" s="92">
        <v>0</v>
      </c>
      <c r="Z1063" s="92">
        <v>0</v>
      </c>
      <c r="AA1063" s="92">
        <v>0</v>
      </c>
      <c r="AB1063" s="92">
        <v>22762</v>
      </c>
      <c r="AC1063" s="92">
        <v>23918</v>
      </c>
      <c r="AD1063" s="92">
        <v>25070</v>
      </c>
      <c r="AE1063" s="92">
        <v>0</v>
      </c>
      <c r="AF1063" s="92">
        <v>0</v>
      </c>
      <c r="AG1063" s="92">
        <v>0</v>
      </c>
      <c r="AI1063" s="250">
        <v>1.418898E-3</v>
      </c>
    </row>
    <row r="1064" spans="1:35" x14ac:dyDescent="0.25">
      <c r="A1064" t="str">
        <f t="shared" si="20"/>
        <v>43-7-168</v>
      </c>
      <c r="B1064">
        <v>43</v>
      </c>
      <c r="C1064" s="92" t="s">
        <v>1053</v>
      </c>
      <c r="D1064" s="92">
        <v>7</v>
      </c>
      <c r="E1064" s="92" t="s">
        <v>586</v>
      </c>
      <c r="F1064" s="92">
        <v>168</v>
      </c>
      <c r="G1064" s="92" t="s">
        <v>569</v>
      </c>
      <c r="H1064" s="92"/>
      <c r="I1064" s="92">
        <v>961</v>
      </c>
      <c r="J1064" s="92">
        <v>23688636</v>
      </c>
      <c r="K1064" s="92" t="s">
        <v>1061</v>
      </c>
      <c r="L1064" s="92">
        <v>37</v>
      </c>
      <c r="M1064" s="92">
        <v>156</v>
      </c>
      <c r="N1064" s="92">
        <v>21</v>
      </c>
      <c r="O1064" s="92">
        <v>21</v>
      </c>
      <c r="P1064" s="92">
        <v>0</v>
      </c>
      <c r="Q1064" s="92">
        <v>0</v>
      </c>
      <c r="R1064" s="92">
        <v>0</v>
      </c>
      <c r="S1064" s="92">
        <v>0</v>
      </c>
      <c r="T1064" s="92">
        <v>0</v>
      </c>
      <c r="U1064" s="92">
        <v>0</v>
      </c>
      <c r="V1064" s="92">
        <v>0</v>
      </c>
      <c r="W1064" s="92">
        <v>0</v>
      </c>
      <c r="X1064" s="92">
        <v>0</v>
      </c>
      <c r="Y1064" s="92">
        <v>0</v>
      </c>
      <c r="Z1064" s="92">
        <v>0</v>
      </c>
      <c r="AA1064" s="92">
        <v>0</v>
      </c>
      <c r="AB1064" s="92">
        <v>66745</v>
      </c>
      <c r="AC1064" s="92">
        <v>70817</v>
      </c>
      <c r="AD1064" s="92">
        <v>74525</v>
      </c>
      <c r="AE1064" s="92">
        <v>0</v>
      </c>
      <c r="AF1064" s="92">
        <v>0</v>
      </c>
      <c r="AG1064" s="92">
        <v>0</v>
      </c>
    </row>
    <row r="1065" spans="1:35" x14ac:dyDescent="0.25">
      <c r="A1065" t="str">
        <f t="shared" si="20"/>
        <v>43-2-43</v>
      </c>
      <c r="B1065">
        <v>43</v>
      </c>
      <c r="C1065" s="92" t="s">
        <v>1053</v>
      </c>
      <c r="D1065" s="92">
        <v>2</v>
      </c>
      <c r="E1065" s="92" t="s">
        <v>53</v>
      </c>
      <c r="F1065" s="92">
        <v>43</v>
      </c>
      <c r="G1065" s="92" t="s">
        <v>564</v>
      </c>
      <c r="H1065" s="92"/>
      <c r="I1065" s="92">
        <v>0</v>
      </c>
      <c r="J1065" s="92">
        <v>65133985</v>
      </c>
      <c r="K1065" s="92" t="s">
        <v>1061</v>
      </c>
      <c r="L1065" s="92">
        <v>3486</v>
      </c>
      <c r="M1065" s="92">
        <v>25777</v>
      </c>
      <c r="N1065" s="92">
        <v>4009</v>
      </c>
      <c r="O1065" s="92">
        <v>4009</v>
      </c>
      <c r="P1065" s="92">
        <v>0</v>
      </c>
      <c r="Q1065" s="92">
        <v>0</v>
      </c>
      <c r="R1065" s="92">
        <v>0</v>
      </c>
      <c r="S1065" s="92">
        <v>0</v>
      </c>
      <c r="T1065" s="92">
        <v>0</v>
      </c>
      <c r="U1065" s="92">
        <v>0</v>
      </c>
      <c r="V1065" s="92">
        <v>0</v>
      </c>
      <c r="W1065" s="92">
        <v>0</v>
      </c>
      <c r="X1065" s="92">
        <v>0</v>
      </c>
      <c r="Y1065" s="92">
        <v>0</v>
      </c>
      <c r="Z1065" s="92">
        <v>0</v>
      </c>
      <c r="AA1065" s="92">
        <v>0</v>
      </c>
      <c r="AB1065" s="92">
        <v>9516865</v>
      </c>
      <c r="AC1065" s="92">
        <v>10005706</v>
      </c>
      <c r="AD1065" s="92">
        <v>10516531</v>
      </c>
      <c r="AE1065" s="92">
        <v>0</v>
      </c>
      <c r="AF1065" s="92">
        <v>0</v>
      </c>
      <c r="AG1065" s="92">
        <v>0</v>
      </c>
    </row>
    <row r="1066" spans="1:35" x14ac:dyDescent="0.25">
      <c r="A1066" t="str">
        <f t="shared" si="20"/>
        <v>43-11-103</v>
      </c>
      <c r="B1066">
        <v>43</v>
      </c>
      <c r="C1066" s="92" t="s">
        <v>1053</v>
      </c>
      <c r="D1066" s="92">
        <v>11</v>
      </c>
      <c r="E1066" s="92" t="s">
        <v>1062</v>
      </c>
      <c r="F1066" s="92">
        <v>103</v>
      </c>
      <c r="G1066" s="92" t="s">
        <v>1257</v>
      </c>
      <c r="H1066" s="92">
        <v>1</v>
      </c>
      <c r="I1066" s="92">
        <v>0</v>
      </c>
      <c r="J1066" s="92">
        <v>65133985</v>
      </c>
      <c r="K1066" s="92" t="s">
        <v>1061</v>
      </c>
      <c r="L1066" s="92">
        <v>0</v>
      </c>
      <c r="M1066" s="92">
        <v>0</v>
      </c>
      <c r="N1066" s="92">
        <v>0</v>
      </c>
      <c r="O1066" s="92">
        <v>0</v>
      </c>
      <c r="P1066" s="92">
        <v>0</v>
      </c>
      <c r="Q1066" s="92">
        <v>0</v>
      </c>
      <c r="R1066" s="92">
        <v>0</v>
      </c>
      <c r="S1066" s="92">
        <v>0</v>
      </c>
      <c r="T1066" s="92">
        <v>0</v>
      </c>
      <c r="U1066" s="92">
        <v>0</v>
      </c>
      <c r="V1066" s="92">
        <v>0</v>
      </c>
      <c r="W1066" s="92">
        <v>0</v>
      </c>
      <c r="X1066" s="92">
        <v>0</v>
      </c>
      <c r="Y1066" s="92">
        <v>0</v>
      </c>
      <c r="Z1066" s="92">
        <v>0</v>
      </c>
      <c r="AA1066" s="92">
        <v>0</v>
      </c>
      <c r="AB1066" s="92">
        <v>0</v>
      </c>
      <c r="AC1066" s="92">
        <v>0</v>
      </c>
      <c r="AD1066" s="92">
        <v>0</v>
      </c>
      <c r="AE1066" s="92">
        <v>0</v>
      </c>
      <c r="AF1066" s="92">
        <v>0</v>
      </c>
      <c r="AG1066" s="92">
        <v>0</v>
      </c>
    </row>
    <row r="1067" spans="1:35" x14ac:dyDescent="0.25">
      <c r="A1067" t="str">
        <f t="shared" si="20"/>
        <v>43-5-34</v>
      </c>
      <c r="B1067">
        <v>43</v>
      </c>
      <c r="C1067" s="92" t="s">
        <v>1053</v>
      </c>
      <c r="D1067" s="92">
        <v>5</v>
      </c>
      <c r="E1067" s="92" t="s">
        <v>200</v>
      </c>
      <c r="F1067" s="92">
        <v>34</v>
      </c>
      <c r="G1067" s="92" t="s">
        <v>1172</v>
      </c>
      <c r="H1067" s="92"/>
      <c r="I1067" s="92">
        <v>0</v>
      </c>
      <c r="J1067" s="92">
        <v>65133985</v>
      </c>
      <c r="K1067" s="92" t="s">
        <v>1061</v>
      </c>
      <c r="L1067" s="92">
        <v>0</v>
      </c>
      <c r="M1067" s="92">
        <v>0</v>
      </c>
      <c r="N1067" s="92">
        <v>0</v>
      </c>
      <c r="O1067" s="92">
        <v>0</v>
      </c>
      <c r="P1067" s="92">
        <v>0</v>
      </c>
      <c r="Q1067" s="92">
        <v>0</v>
      </c>
      <c r="R1067" s="92">
        <v>0</v>
      </c>
      <c r="S1067" s="92">
        <v>0</v>
      </c>
      <c r="T1067" s="92">
        <v>0</v>
      </c>
      <c r="U1067" s="92">
        <v>0</v>
      </c>
      <c r="V1067" s="92">
        <v>0</v>
      </c>
      <c r="W1067" s="92">
        <v>0</v>
      </c>
      <c r="X1067" s="92">
        <v>0</v>
      </c>
      <c r="Y1067" s="92">
        <v>0</v>
      </c>
      <c r="Z1067" s="92">
        <v>0</v>
      </c>
      <c r="AA1067" s="92">
        <v>0</v>
      </c>
      <c r="AB1067" s="92">
        <v>1320365</v>
      </c>
      <c r="AC1067" s="92">
        <v>1392082</v>
      </c>
      <c r="AD1067" s="182">
        <f>1462916+2824775</f>
        <v>4287691</v>
      </c>
      <c r="AE1067" s="92">
        <v>0</v>
      </c>
      <c r="AF1067" s="92">
        <v>0</v>
      </c>
      <c r="AG1067" s="92">
        <v>0</v>
      </c>
      <c r="AI1067" s="253">
        <v>3.3497000000000003E-4</v>
      </c>
    </row>
    <row r="1068" spans="1:35" x14ac:dyDescent="0.25">
      <c r="A1068" t="str">
        <f t="shared" si="20"/>
        <v>41-14-40</v>
      </c>
      <c r="B1068">
        <v>41</v>
      </c>
      <c r="C1068" s="92" t="s">
        <v>1052</v>
      </c>
      <c r="D1068" s="92">
        <v>14</v>
      </c>
      <c r="E1068" s="92" t="s">
        <v>571</v>
      </c>
      <c r="F1068" s="92">
        <v>40</v>
      </c>
      <c r="G1068" s="92" t="s">
        <v>984</v>
      </c>
      <c r="H1068" s="92"/>
      <c r="I1068" s="92">
        <v>0</v>
      </c>
      <c r="J1068" s="92">
        <v>14280407</v>
      </c>
      <c r="K1068" s="92" t="s">
        <v>1061</v>
      </c>
      <c r="L1068" s="92">
        <v>1450</v>
      </c>
      <c r="M1068" s="92">
        <v>1221</v>
      </c>
      <c r="N1068" s="92">
        <v>225</v>
      </c>
      <c r="O1068" s="92">
        <v>225</v>
      </c>
      <c r="P1068" s="92">
        <v>0</v>
      </c>
      <c r="Q1068" s="92">
        <v>0</v>
      </c>
      <c r="R1068" s="92">
        <v>0</v>
      </c>
      <c r="S1068" s="92">
        <v>16</v>
      </c>
      <c r="T1068" s="92">
        <v>0</v>
      </c>
      <c r="U1068" s="92">
        <v>0</v>
      </c>
      <c r="V1068" s="92">
        <v>0</v>
      </c>
      <c r="W1068" s="92">
        <v>0</v>
      </c>
      <c r="X1068" s="92">
        <v>0</v>
      </c>
      <c r="Y1068" s="92">
        <v>0</v>
      </c>
      <c r="Z1068" s="92">
        <v>0</v>
      </c>
      <c r="AA1068" s="92">
        <v>0</v>
      </c>
      <c r="AB1068" s="92">
        <v>630033</v>
      </c>
      <c r="AC1068" s="92">
        <v>674889</v>
      </c>
      <c r="AD1068" s="92">
        <v>719039</v>
      </c>
      <c r="AE1068" s="92">
        <v>0</v>
      </c>
      <c r="AF1068" s="92">
        <v>0</v>
      </c>
      <c r="AG1068" s="92">
        <v>0</v>
      </c>
      <c r="AI1068" s="250">
        <v>1.06276E-4</v>
      </c>
    </row>
    <row r="1069" spans="1:35" x14ac:dyDescent="0.25">
      <c r="A1069" t="str">
        <f t="shared" si="20"/>
        <v>27-17-24</v>
      </c>
      <c r="B1069">
        <v>27</v>
      </c>
      <c r="C1069" s="92" t="s">
        <v>1040</v>
      </c>
      <c r="D1069" s="92">
        <v>17</v>
      </c>
      <c r="E1069" s="92" t="s">
        <v>593</v>
      </c>
      <c r="F1069" s="92">
        <v>24</v>
      </c>
      <c r="G1069" s="92" t="s">
        <v>403</v>
      </c>
      <c r="H1069" s="92"/>
      <c r="I1069" s="92">
        <v>0</v>
      </c>
      <c r="J1069" s="92">
        <v>53591457</v>
      </c>
      <c r="K1069" s="92" t="s">
        <v>1061</v>
      </c>
      <c r="L1069" s="92">
        <v>6639</v>
      </c>
      <c r="M1069" s="92">
        <v>1104</v>
      </c>
      <c r="N1069" s="92">
        <v>672</v>
      </c>
      <c r="O1069" s="92">
        <v>672</v>
      </c>
      <c r="P1069" s="92">
        <v>0</v>
      </c>
      <c r="Q1069" s="92">
        <v>0</v>
      </c>
      <c r="R1069" s="92">
        <v>0</v>
      </c>
      <c r="S1069" s="92">
        <v>0</v>
      </c>
      <c r="T1069" s="92">
        <v>0</v>
      </c>
      <c r="U1069" s="92">
        <v>0</v>
      </c>
      <c r="V1069" s="92">
        <v>0</v>
      </c>
      <c r="W1069" s="92">
        <v>0</v>
      </c>
      <c r="X1069" s="92">
        <v>0</v>
      </c>
      <c r="Y1069" s="92">
        <v>0</v>
      </c>
      <c r="Z1069" s="92">
        <v>0</v>
      </c>
      <c r="AA1069" s="92">
        <v>0</v>
      </c>
      <c r="AB1069" s="92">
        <v>160580</v>
      </c>
      <c r="AC1069" s="92">
        <v>174685</v>
      </c>
      <c r="AD1069" s="92">
        <v>177182</v>
      </c>
      <c r="AE1069" s="92">
        <v>0</v>
      </c>
      <c r="AF1069" s="92">
        <v>5000</v>
      </c>
      <c r="AG1069" s="92">
        <v>0</v>
      </c>
    </row>
    <row r="1070" spans="1:35" x14ac:dyDescent="0.25">
      <c r="A1070" t="str">
        <f t="shared" si="20"/>
        <v>27-4-103</v>
      </c>
      <c r="B1070">
        <v>27</v>
      </c>
      <c r="C1070" s="92" t="s">
        <v>1040</v>
      </c>
      <c r="D1070" s="92">
        <v>4</v>
      </c>
      <c r="E1070" s="92" t="s">
        <v>66</v>
      </c>
      <c r="F1070" s="92">
        <v>103</v>
      </c>
      <c r="G1070" s="92" t="s">
        <v>881</v>
      </c>
      <c r="H1070" s="92"/>
      <c r="I1070" s="92">
        <v>0</v>
      </c>
      <c r="J1070" s="92">
        <v>53591457</v>
      </c>
      <c r="K1070" s="92" t="s">
        <v>1061</v>
      </c>
      <c r="L1070" s="92">
        <v>24091</v>
      </c>
      <c r="M1070" s="92">
        <v>6439</v>
      </c>
      <c r="N1070" s="92">
        <v>2516</v>
      </c>
      <c r="O1070" s="92">
        <v>2516</v>
      </c>
      <c r="P1070" s="92">
        <v>0</v>
      </c>
      <c r="Q1070" s="92">
        <v>0</v>
      </c>
      <c r="R1070" s="92">
        <v>0</v>
      </c>
      <c r="S1070" s="92">
        <v>0</v>
      </c>
      <c r="T1070" s="92">
        <v>0</v>
      </c>
      <c r="U1070" s="92">
        <v>0</v>
      </c>
      <c r="V1070" s="92">
        <v>0</v>
      </c>
      <c r="W1070" s="92">
        <v>0</v>
      </c>
      <c r="X1070" s="92">
        <v>0</v>
      </c>
      <c r="Y1070" s="92">
        <v>0</v>
      </c>
      <c r="Z1070" s="92">
        <v>0</v>
      </c>
      <c r="AA1070" s="92">
        <v>0</v>
      </c>
      <c r="AB1070" s="92">
        <v>41000</v>
      </c>
      <c r="AC1070" s="92">
        <v>41000</v>
      </c>
      <c r="AD1070" s="92">
        <v>41000</v>
      </c>
      <c r="AE1070" s="92">
        <v>0</v>
      </c>
      <c r="AF1070" s="92">
        <v>0</v>
      </c>
      <c r="AG1070" s="92">
        <v>0</v>
      </c>
    </row>
    <row r="1071" spans="1:35" x14ac:dyDescent="0.25">
      <c r="A1071" t="str">
        <f t="shared" si="20"/>
        <v>16-7-169</v>
      </c>
      <c r="B1071">
        <v>16</v>
      </c>
      <c r="C1071" s="92" t="s">
        <v>1029</v>
      </c>
      <c r="D1071" s="92">
        <v>7</v>
      </c>
      <c r="E1071" s="92" t="s">
        <v>586</v>
      </c>
      <c r="F1071" s="92">
        <v>169</v>
      </c>
      <c r="G1071" s="92" t="s">
        <v>771</v>
      </c>
      <c r="H1071" s="92"/>
      <c r="I1071" s="92">
        <v>0</v>
      </c>
      <c r="J1071" s="92">
        <v>9924441</v>
      </c>
      <c r="K1071" s="92" t="s">
        <v>1061</v>
      </c>
      <c r="L1071" s="92">
        <v>2336</v>
      </c>
      <c r="M1071" s="92">
        <v>80</v>
      </c>
      <c r="N1071" s="92">
        <v>90</v>
      </c>
      <c r="O1071" s="92">
        <v>90</v>
      </c>
      <c r="P1071" s="92">
        <v>0</v>
      </c>
      <c r="Q1071" s="92">
        <v>0</v>
      </c>
      <c r="R1071" s="92">
        <v>0</v>
      </c>
      <c r="S1071" s="92">
        <v>0</v>
      </c>
      <c r="T1071" s="92">
        <v>0</v>
      </c>
      <c r="U1071" s="92">
        <v>0</v>
      </c>
      <c r="V1071" s="92">
        <v>0</v>
      </c>
      <c r="W1071" s="92">
        <v>0</v>
      </c>
      <c r="X1071" s="92">
        <v>0</v>
      </c>
      <c r="Y1071" s="92">
        <v>0</v>
      </c>
      <c r="Z1071" s="92">
        <v>0</v>
      </c>
      <c r="AA1071" s="92">
        <v>0</v>
      </c>
      <c r="AB1071" s="92">
        <v>19613</v>
      </c>
      <c r="AC1071" s="92">
        <v>19613</v>
      </c>
      <c r="AD1071" s="92">
        <v>19613</v>
      </c>
      <c r="AE1071" s="92">
        <v>0</v>
      </c>
      <c r="AF1071" s="92">
        <v>0</v>
      </c>
      <c r="AG1071" s="92">
        <v>0</v>
      </c>
    </row>
    <row r="1072" spans="1:35" x14ac:dyDescent="0.25">
      <c r="A1072" t="str">
        <f t="shared" si="20"/>
        <v>39-7-137</v>
      </c>
      <c r="B1072">
        <v>39</v>
      </c>
      <c r="C1072" s="92" t="s">
        <v>79</v>
      </c>
      <c r="D1072" s="92">
        <v>7</v>
      </c>
      <c r="E1072" s="92" t="s">
        <v>586</v>
      </c>
      <c r="F1072" s="92">
        <v>137</v>
      </c>
      <c r="G1072" s="92" t="s">
        <v>967</v>
      </c>
      <c r="H1072" s="92"/>
      <c r="I1072" s="92">
        <v>0</v>
      </c>
      <c r="J1072" s="92">
        <v>3948443</v>
      </c>
      <c r="K1072" s="92" t="s">
        <v>1061</v>
      </c>
      <c r="L1072" s="92">
        <v>1292</v>
      </c>
      <c r="M1072" s="92">
        <v>295</v>
      </c>
      <c r="N1072" s="92">
        <v>53</v>
      </c>
      <c r="O1072" s="92">
        <v>53</v>
      </c>
      <c r="P1072" s="92">
        <v>0</v>
      </c>
      <c r="Q1072" s="92">
        <v>0</v>
      </c>
      <c r="R1072" s="92">
        <v>0</v>
      </c>
      <c r="S1072" s="92">
        <v>0</v>
      </c>
      <c r="T1072" s="92">
        <v>0</v>
      </c>
      <c r="U1072" s="92">
        <v>0</v>
      </c>
      <c r="V1072" s="92">
        <v>0</v>
      </c>
      <c r="W1072" s="92">
        <v>0</v>
      </c>
      <c r="X1072" s="92">
        <v>0</v>
      </c>
      <c r="Y1072" s="92">
        <v>0</v>
      </c>
      <c r="Z1072" s="92">
        <v>0</v>
      </c>
      <c r="AA1072" s="92">
        <v>0</v>
      </c>
      <c r="AB1072" s="92">
        <v>24019</v>
      </c>
      <c r="AC1072" s="92">
        <v>24019</v>
      </c>
      <c r="AD1072" s="92">
        <v>25610</v>
      </c>
      <c r="AE1072" s="92">
        <v>739</v>
      </c>
      <c r="AF1072" s="92">
        <v>0</v>
      </c>
      <c r="AG1072" s="92">
        <v>459</v>
      </c>
    </row>
    <row r="1073" spans="1:35" x14ac:dyDescent="0.25">
      <c r="A1073" t="str">
        <f t="shared" si="20"/>
        <v>14-4-49</v>
      </c>
      <c r="B1073">
        <v>14</v>
      </c>
      <c r="C1073" s="92" t="s">
        <v>1027</v>
      </c>
      <c r="D1073" s="92">
        <v>4</v>
      </c>
      <c r="E1073" s="92" t="s">
        <v>66</v>
      </c>
      <c r="F1073" s="92">
        <v>49</v>
      </c>
      <c r="G1073" s="92" t="s">
        <v>756</v>
      </c>
      <c r="H1073" s="92"/>
      <c r="I1073" s="92">
        <v>0</v>
      </c>
      <c r="J1073" s="92">
        <v>93558568</v>
      </c>
      <c r="K1073" s="92" t="s">
        <v>1061</v>
      </c>
      <c r="L1073" s="92">
        <v>86824</v>
      </c>
      <c r="M1073" s="92">
        <v>132441</v>
      </c>
      <c r="N1073" s="92">
        <v>32382</v>
      </c>
      <c r="O1073" s="92">
        <v>32382</v>
      </c>
      <c r="P1073" s="92">
        <v>0</v>
      </c>
      <c r="Q1073" s="92">
        <v>0</v>
      </c>
      <c r="R1073" s="92">
        <v>0</v>
      </c>
      <c r="S1073" s="92">
        <v>0</v>
      </c>
      <c r="T1073" s="92">
        <v>0</v>
      </c>
      <c r="U1073" s="92">
        <v>0</v>
      </c>
      <c r="V1073" s="92">
        <v>0</v>
      </c>
      <c r="W1073" s="92">
        <v>0</v>
      </c>
      <c r="X1073" s="92">
        <v>0</v>
      </c>
      <c r="Y1073" s="92">
        <v>0</v>
      </c>
      <c r="Z1073" s="92">
        <v>0</v>
      </c>
      <c r="AA1073" s="92">
        <v>0</v>
      </c>
      <c r="AB1073" s="92">
        <v>322360</v>
      </c>
      <c r="AC1073" s="92">
        <v>348149</v>
      </c>
      <c r="AD1073" s="92">
        <v>374172</v>
      </c>
      <c r="AE1073" s="92">
        <v>0</v>
      </c>
      <c r="AF1073" s="92">
        <v>0</v>
      </c>
      <c r="AG1073" s="92">
        <v>0</v>
      </c>
    </row>
    <row r="1074" spans="1:35" x14ac:dyDescent="0.25">
      <c r="A1074" t="str">
        <f t="shared" si="20"/>
        <v>41-7-170</v>
      </c>
      <c r="B1074">
        <v>41</v>
      </c>
      <c r="C1074" s="92" t="s">
        <v>1052</v>
      </c>
      <c r="D1074" s="92">
        <v>7</v>
      </c>
      <c r="E1074" s="92" t="s">
        <v>586</v>
      </c>
      <c r="F1074" s="92">
        <v>170</v>
      </c>
      <c r="G1074" s="92" t="s">
        <v>548</v>
      </c>
      <c r="H1074" s="92"/>
      <c r="I1074" s="92">
        <v>1</v>
      </c>
      <c r="J1074" s="92">
        <v>4437642</v>
      </c>
      <c r="K1074" s="92" t="s">
        <v>1061</v>
      </c>
      <c r="L1074" s="92">
        <v>62</v>
      </c>
      <c r="M1074" s="92">
        <v>393</v>
      </c>
      <c r="N1074" s="92">
        <v>41</v>
      </c>
      <c r="O1074" s="92">
        <v>41</v>
      </c>
      <c r="P1074" s="92">
        <v>0</v>
      </c>
      <c r="Q1074" s="92">
        <v>0</v>
      </c>
      <c r="R1074" s="92">
        <v>0</v>
      </c>
      <c r="S1074" s="92">
        <v>8</v>
      </c>
      <c r="T1074" s="92">
        <v>0</v>
      </c>
      <c r="U1074" s="92">
        <v>0</v>
      </c>
      <c r="V1074" s="92">
        <v>0</v>
      </c>
      <c r="W1074" s="92">
        <v>0</v>
      </c>
      <c r="X1074" s="92">
        <v>0</v>
      </c>
      <c r="Y1074" s="92">
        <v>0</v>
      </c>
      <c r="Z1074" s="92">
        <v>0</v>
      </c>
      <c r="AA1074" s="92">
        <v>0</v>
      </c>
      <c r="AB1074" s="92">
        <v>134484</v>
      </c>
      <c r="AC1074" s="92">
        <v>142509</v>
      </c>
      <c r="AD1074" s="92">
        <v>150900</v>
      </c>
      <c r="AE1074" s="92">
        <v>0</v>
      </c>
      <c r="AF1074" s="92">
        <v>0</v>
      </c>
      <c r="AG1074" s="92">
        <v>0</v>
      </c>
    </row>
    <row r="1075" spans="1:35" x14ac:dyDescent="0.25">
      <c r="A1075" t="str">
        <f t="shared" si="20"/>
        <v>16-7-171</v>
      </c>
      <c r="B1075">
        <v>16</v>
      </c>
      <c r="C1075" s="92" t="s">
        <v>1029</v>
      </c>
      <c r="D1075" s="92">
        <v>7</v>
      </c>
      <c r="E1075" s="92" t="s">
        <v>586</v>
      </c>
      <c r="F1075" s="92">
        <v>171</v>
      </c>
      <c r="G1075" s="92" t="s">
        <v>274</v>
      </c>
      <c r="H1075" s="92"/>
      <c r="I1075" s="92">
        <v>0</v>
      </c>
      <c r="J1075" s="92">
        <v>712128</v>
      </c>
      <c r="K1075" s="92" t="s">
        <v>1061</v>
      </c>
      <c r="L1075" s="92">
        <v>712</v>
      </c>
      <c r="M1075" s="92">
        <v>31</v>
      </c>
      <c r="N1075" s="92">
        <v>17</v>
      </c>
      <c r="O1075" s="92">
        <v>17</v>
      </c>
      <c r="P1075" s="92">
        <v>0</v>
      </c>
      <c r="Q1075" s="92">
        <v>0</v>
      </c>
      <c r="R1075" s="92">
        <v>0</v>
      </c>
      <c r="S1075" s="92">
        <v>0</v>
      </c>
      <c r="T1075" s="92">
        <v>0</v>
      </c>
      <c r="U1075" s="92">
        <v>0</v>
      </c>
      <c r="V1075" s="92">
        <v>0</v>
      </c>
      <c r="W1075" s="92">
        <v>0</v>
      </c>
      <c r="X1075" s="92">
        <v>0</v>
      </c>
      <c r="Y1075" s="92">
        <v>0</v>
      </c>
      <c r="Z1075" s="92">
        <v>0</v>
      </c>
      <c r="AA1075" s="92">
        <v>0</v>
      </c>
      <c r="AB1075" s="92">
        <v>10117</v>
      </c>
      <c r="AC1075" s="92">
        <v>10449</v>
      </c>
      <c r="AD1075" s="92">
        <v>10785</v>
      </c>
      <c r="AE1075" s="92">
        <v>0</v>
      </c>
      <c r="AF1075" s="92">
        <v>0</v>
      </c>
      <c r="AG1075" s="92">
        <v>0</v>
      </c>
    </row>
    <row r="1076" spans="1:35" x14ac:dyDescent="0.25">
      <c r="A1076" t="str">
        <f t="shared" si="20"/>
        <v>29-7-172</v>
      </c>
      <c r="B1076">
        <v>29</v>
      </c>
      <c r="C1076" s="92" t="s">
        <v>1042</v>
      </c>
      <c r="D1076" s="92">
        <v>7</v>
      </c>
      <c r="E1076" s="92" t="s">
        <v>586</v>
      </c>
      <c r="F1076" s="92">
        <v>172</v>
      </c>
      <c r="G1076" s="92" t="s">
        <v>903</v>
      </c>
      <c r="H1076" s="92"/>
      <c r="I1076" s="92">
        <v>0</v>
      </c>
      <c r="J1076" s="92">
        <v>3990307</v>
      </c>
      <c r="K1076" s="92" t="s">
        <v>1061</v>
      </c>
      <c r="L1076" s="92">
        <v>103</v>
      </c>
      <c r="M1076" s="92">
        <v>28</v>
      </c>
      <c r="N1076" s="92">
        <v>0</v>
      </c>
      <c r="O1076" s="92">
        <v>0</v>
      </c>
      <c r="P1076" s="92">
        <v>0</v>
      </c>
      <c r="Q1076" s="92">
        <v>0</v>
      </c>
      <c r="R1076" s="92">
        <v>0</v>
      </c>
      <c r="S1076" s="92">
        <v>1.26</v>
      </c>
      <c r="T1076" s="92">
        <v>3</v>
      </c>
      <c r="U1076" s="92">
        <v>0</v>
      </c>
      <c r="V1076" s="92">
        <v>0</v>
      </c>
      <c r="W1076" s="92">
        <v>0</v>
      </c>
      <c r="X1076" s="92">
        <v>0</v>
      </c>
      <c r="Y1076" s="92">
        <v>0</v>
      </c>
      <c r="Z1076" s="92">
        <v>0</v>
      </c>
      <c r="AA1076" s="92">
        <v>0</v>
      </c>
      <c r="AB1076" s="92">
        <v>8846</v>
      </c>
      <c r="AC1076" s="92">
        <v>9211</v>
      </c>
      <c r="AD1076" s="92">
        <v>9593</v>
      </c>
      <c r="AE1076" s="92">
        <v>0</v>
      </c>
      <c r="AF1076" s="92">
        <v>0</v>
      </c>
      <c r="AG1076" s="92">
        <v>0</v>
      </c>
    </row>
    <row r="1077" spans="1:35" x14ac:dyDescent="0.25">
      <c r="A1077" t="str">
        <f t="shared" si="20"/>
        <v>26-5-5</v>
      </c>
      <c r="B1077">
        <v>26</v>
      </c>
      <c r="C1077" s="92" t="s">
        <v>1039</v>
      </c>
      <c r="D1077" s="92">
        <v>5</v>
      </c>
      <c r="E1077" s="92" t="s">
        <v>200</v>
      </c>
      <c r="F1077" s="92">
        <v>5</v>
      </c>
      <c r="G1077" s="92" t="s">
        <v>870</v>
      </c>
      <c r="H1077" s="92"/>
      <c r="I1077" s="92">
        <v>0</v>
      </c>
      <c r="J1077" s="92">
        <v>52275909</v>
      </c>
      <c r="K1077" s="92" t="s">
        <v>1061</v>
      </c>
      <c r="L1077" s="92">
        <v>3239</v>
      </c>
      <c r="M1077" s="92">
        <v>396</v>
      </c>
      <c r="N1077" s="92">
        <v>178</v>
      </c>
      <c r="O1077" s="92">
        <v>178</v>
      </c>
      <c r="P1077" s="92">
        <v>0</v>
      </c>
      <c r="Q1077" s="92">
        <v>0</v>
      </c>
      <c r="R1077" s="92">
        <v>0</v>
      </c>
      <c r="S1077" s="92">
        <v>0</v>
      </c>
      <c r="T1077" s="92">
        <v>0</v>
      </c>
      <c r="U1077" s="92">
        <v>0</v>
      </c>
      <c r="V1077" s="92">
        <v>0</v>
      </c>
      <c r="W1077" s="92">
        <v>0</v>
      </c>
      <c r="X1077" s="92">
        <v>0</v>
      </c>
      <c r="Y1077" s="92">
        <v>0</v>
      </c>
      <c r="Z1077" s="92">
        <v>0</v>
      </c>
      <c r="AA1077" s="92">
        <v>0</v>
      </c>
      <c r="AB1077" s="92">
        <v>42092</v>
      </c>
      <c r="AC1077" s="92">
        <v>43589</v>
      </c>
      <c r="AD1077" s="92">
        <v>45216</v>
      </c>
      <c r="AE1077" s="92">
        <v>0</v>
      </c>
      <c r="AF1077" s="92">
        <v>0</v>
      </c>
      <c r="AG1077" s="92">
        <v>0</v>
      </c>
      <c r="AI1077">
        <v>1.2750899999999999E-4</v>
      </c>
    </row>
    <row r="1078" spans="1:35" x14ac:dyDescent="0.25">
      <c r="A1078" t="str">
        <f t="shared" si="20"/>
        <v>26-9-95</v>
      </c>
      <c r="B1078">
        <v>26</v>
      </c>
      <c r="C1078" s="92" t="s">
        <v>1039</v>
      </c>
      <c r="D1078" s="92">
        <v>9</v>
      </c>
      <c r="E1078" s="92" t="s">
        <v>588</v>
      </c>
      <c r="F1078" s="92">
        <v>95</v>
      </c>
      <c r="G1078" s="92" t="s">
        <v>876</v>
      </c>
      <c r="H1078" s="92"/>
      <c r="I1078" s="92">
        <v>0</v>
      </c>
      <c r="J1078" s="92">
        <v>0</v>
      </c>
      <c r="K1078" s="92" t="s">
        <v>1061</v>
      </c>
      <c r="L1078" s="92">
        <v>7000</v>
      </c>
      <c r="M1078" s="92">
        <v>466</v>
      </c>
      <c r="N1078" s="92">
        <v>165</v>
      </c>
      <c r="O1078" s="92">
        <v>165</v>
      </c>
      <c r="P1078" s="92">
        <v>0</v>
      </c>
      <c r="Q1078" s="92">
        <v>0</v>
      </c>
      <c r="R1078" s="92">
        <v>0</v>
      </c>
      <c r="S1078" s="92">
        <v>0</v>
      </c>
      <c r="T1078" s="92">
        <v>0</v>
      </c>
      <c r="U1078" s="92">
        <v>0</v>
      </c>
      <c r="V1078" s="92">
        <v>0</v>
      </c>
      <c r="W1078" s="92">
        <v>0</v>
      </c>
      <c r="X1078" s="92">
        <v>0</v>
      </c>
      <c r="Y1078" s="92">
        <v>0</v>
      </c>
      <c r="Z1078" s="92">
        <v>0</v>
      </c>
      <c r="AA1078" s="92">
        <v>0</v>
      </c>
      <c r="AB1078" s="92">
        <v>67019</v>
      </c>
      <c r="AC1078" s="92">
        <v>67019</v>
      </c>
      <c r="AD1078" s="92">
        <v>70055</v>
      </c>
      <c r="AE1078" s="92">
        <v>0</v>
      </c>
      <c r="AF1078" s="92">
        <v>0</v>
      </c>
      <c r="AG1078" s="92">
        <v>0</v>
      </c>
      <c r="AI1078" s="250">
        <v>3.5228899999999999E-4</v>
      </c>
    </row>
    <row r="1079" spans="1:35" x14ac:dyDescent="0.25">
      <c r="A1079" t="str">
        <f t="shared" si="20"/>
        <v>26-14-41</v>
      </c>
      <c r="B1079">
        <v>26</v>
      </c>
      <c r="C1079" s="92" t="s">
        <v>1039</v>
      </c>
      <c r="D1079" s="92">
        <v>14</v>
      </c>
      <c r="E1079" s="92" t="s">
        <v>571</v>
      </c>
      <c r="F1079" s="92">
        <v>41</v>
      </c>
      <c r="G1079" s="92" t="s">
        <v>878</v>
      </c>
      <c r="H1079" s="92"/>
      <c r="I1079" s="92">
        <v>17071</v>
      </c>
      <c r="J1079" s="92">
        <v>70107477</v>
      </c>
      <c r="K1079" s="92" t="s">
        <v>1061</v>
      </c>
      <c r="L1079" s="92">
        <v>10507</v>
      </c>
      <c r="M1079" s="92">
        <v>2024</v>
      </c>
      <c r="N1079" s="92">
        <v>653</v>
      </c>
      <c r="O1079" s="92">
        <v>653</v>
      </c>
      <c r="P1079" s="92">
        <v>0</v>
      </c>
      <c r="Q1079" s="92">
        <v>0</v>
      </c>
      <c r="R1079" s="92">
        <v>0</v>
      </c>
      <c r="S1079" s="92">
        <v>0</v>
      </c>
      <c r="T1079" s="92">
        <v>0</v>
      </c>
      <c r="U1079" s="92">
        <v>0</v>
      </c>
      <c r="V1079" s="92">
        <v>0</v>
      </c>
      <c r="W1079" s="92">
        <v>0</v>
      </c>
      <c r="X1079" s="92">
        <v>0</v>
      </c>
      <c r="Y1079" s="92">
        <v>0</v>
      </c>
      <c r="Z1079" s="92">
        <v>0</v>
      </c>
      <c r="AA1079" s="92">
        <v>0</v>
      </c>
      <c r="AB1079" s="92">
        <v>194612</v>
      </c>
      <c r="AC1079" s="92">
        <v>202859</v>
      </c>
      <c r="AD1079" s="92">
        <v>212063</v>
      </c>
      <c r="AE1079" s="92">
        <v>0</v>
      </c>
      <c r="AF1079" s="92">
        <v>0</v>
      </c>
      <c r="AG1079" s="92">
        <v>0</v>
      </c>
      <c r="AI1079" s="250">
        <v>2.4070800000000001E-4</v>
      </c>
    </row>
    <row r="1080" spans="1:35" x14ac:dyDescent="0.25">
      <c r="A1080" t="str">
        <f t="shared" si="20"/>
        <v>26-7-177</v>
      </c>
      <c r="B1080">
        <v>26</v>
      </c>
      <c r="C1080" s="92" t="s">
        <v>1039</v>
      </c>
      <c r="D1080" s="92">
        <v>7</v>
      </c>
      <c r="E1080" s="92" t="s">
        <v>586</v>
      </c>
      <c r="F1080" s="92">
        <v>177</v>
      </c>
      <c r="G1080" s="92" t="s">
        <v>875</v>
      </c>
      <c r="H1080" s="92"/>
      <c r="I1080" s="92">
        <v>0</v>
      </c>
      <c r="J1080" s="92">
        <v>54725994</v>
      </c>
      <c r="K1080" s="92" t="s">
        <v>1061</v>
      </c>
      <c r="L1080" s="92">
        <v>1996</v>
      </c>
      <c r="M1080" s="92">
        <v>273</v>
      </c>
      <c r="N1080" s="92">
        <v>127</v>
      </c>
      <c r="O1080" s="92">
        <v>127</v>
      </c>
      <c r="P1080" s="92">
        <v>0</v>
      </c>
      <c r="Q1080" s="92">
        <v>0</v>
      </c>
      <c r="R1080" s="92">
        <v>0</v>
      </c>
      <c r="S1080" s="92">
        <v>0</v>
      </c>
      <c r="T1080" s="92">
        <v>0</v>
      </c>
      <c r="U1080" s="92">
        <v>0</v>
      </c>
      <c r="V1080" s="92">
        <v>0</v>
      </c>
      <c r="W1080" s="92">
        <v>0</v>
      </c>
      <c r="X1080" s="92">
        <v>0</v>
      </c>
      <c r="Y1080" s="92">
        <v>0</v>
      </c>
      <c r="Z1080" s="92">
        <v>0</v>
      </c>
      <c r="AA1080" s="92">
        <v>0</v>
      </c>
      <c r="AB1080" s="92">
        <v>26047</v>
      </c>
      <c r="AC1080" s="92">
        <v>26976</v>
      </c>
      <c r="AD1080" s="92">
        <v>27986</v>
      </c>
      <c r="AE1080" s="92">
        <v>0</v>
      </c>
      <c r="AF1080" s="92">
        <v>0</v>
      </c>
      <c r="AG1080" s="92">
        <v>0</v>
      </c>
    </row>
    <row r="1081" spans="1:35" x14ac:dyDescent="0.25">
      <c r="A1081" t="str">
        <f t="shared" si="20"/>
        <v>26-4-190</v>
      </c>
      <c r="B1081">
        <v>26</v>
      </c>
      <c r="C1081" s="92" t="s">
        <v>1039</v>
      </c>
      <c r="D1081" s="92">
        <v>4</v>
      </c>
      <c r="E1081" s="92" t="s">
        <v>66</v>
      </c>
      <c r="F1081" s="92">
        <v>190</v>
      </c>
      <c r="G1081" s="92" t="s">
        <v>869</v>
      </c>
      <c r="H1081" s="92"/>
      <c r="I1081" s="92">
        <v>0</v>
      </c>
      <c r="J1081" s="92">
        <v>54473460</v>
      </c>
      <c r="K1081" s="92" t="s">
        <v>1061</v>
      </c>
      <c r="L1081" s="92">
        <v>64660</v>
      </c>
      <c r="M1081" s="92">
        <v>10910</v>
      </c>
      <c r="N1081" s="92">
        <v>4680</v>
      </c>
      <c r="O1081" s="92">
        <v>4680</v>
      </c>
      <c r="P1081" s="92">
        <v>0</v>
      </c>
      <c r="Q1081" s="92">
        <v>0</v>
      </c>
      <c r="R1081" s="92">
        <v>0</v>
      </c>
      <c r="S1081" s="92">
        <v>0</v>
      </c>
      <c r="T1081" s="92">
        <v>0</v>
      </c>
      <c r="U1081" s="92">
        <v>0</v>
      </c>
      <c r="V1081" s="92">
        <v>0</v>
      </c>
      <c r="W1081" s="92">
        <v>0</v>
      </c>
      <c r="X1081" s="92">
        <v>0</v>
      </c>
      <c r="Y1081" s="92">
        <v>0</v>
      </c>
      <c r="Z1081" s="92">
        <v>0</v>
      </c>
      <c r="AA1081" s="92">
        <v>0</v>
      </c>
      <c r="AB1081" s="92">
        <v>84775</v>
      </c>
      <c r="AC1081" s="92">
        <v>87538</v>
      </c>
      <c r="AD1081" s="92">
        <v>80250</v>
      </c>
      <c r="AE1081" s="92">
        <v>0</v>
      </c>
      <c r="AF1081" s="92">
        <v>0</v>
      </c>
      <c r="AG1081" s="92">
        <v>0</v>
      </c>
    </row>
    <row r="1082" spans="1:35" x14ac:dyDescent="0.25">
      <c r="A1082" t="str">
        <f t="shared" si="20"/>
        <v>40-4-162</v>
      </c>
      <c r="B1082">
        <v>40</v>
      </c>
      <c r="C1082" s="92" t="s">
        <v>1051</v>
      </c>
      <c r="D1082" s="92">
        <v>4</v>
      </c>
      <c r="E1082" s="92" t="s">
        <v>66</v>
      </c>
      <c r="F1082" s="92">
        <v>162</v>
      </c>
      <c r="G1082" s="92" t="s">
        <v>973</v>
      </c>
      <c r="H1082" s="92"/>
      <c r="I1082" s="92">
        <v>0</v>
      </c>
      <c r="J1082" s="92">
        <v>45660800</v>
      </c>
      <c r="K1082" s="92" t="s">
        <v>1061</v>
      </c>
      <c r="L1082" s="92">
        <v>237</v>
      </c>
      <c r="M1082" s="92">
        <v>30100</v>
      </c>
      <c r="N1082" s="92">
        <v>4583</v>
      </c>
      <c r="O1082" s="92">
        <v>4583</v>
      </c>
      <c r="P1082" s="92">
        <v>0</v>
      </c>
      <c r="Q1082" s="92">
        <v>0</v>
      </c>
      <c r="R1082" s="92">
        <v>0</v>
      </c>
      <c r="S1082" s="92">
        <v>0</v>
      </c>
      <c r="T1082" s="92">
        <v>0</v>
      </c>
      <c r="U1082" s="92">
        <v>0</v>
      </c>
      <c r="V1082" s="92">
        <v>0</v>
      </c>
      <c r="W1082" s="92">
        <v>0</v>
      </c>
      <c r="X1082" s="92">
        <v>0</v>
      </c>
      <c r="Y1082" s="92">
        <v>0</v>
      </c>
      <c r="Z1082" s="92">
        <v>0</v>
      </c>
      <c r="AA1082" s="92">
        <v>0</v>
      </c>
      <c r="AB1082" s="92">
        <v>0</v>
      </c>
      <c r="AC1082" s="92">
        <v>0</v>
      </c>
      <c r="AD1082" s="92">
        <v>0</v>
      </c>
      <c r="AE1082" s="92">
        <v>0</v>
      </c>
      <c r="AF1082" s="92">
        <v>0</v>
      </c>
      <c r="AG1082" s="92">
        <v>0</v>
      </c>
    </row>
    <row r="1083" spans="1:35" x14ac:dyDescent="0.25">
      <c r="A1083" t="str">
        <f t="shared" si="20"/>
        <v>4-7-173</v>
      </c>
      <c r="B1083">
        <v>4</v>
      </c>
      <c r="C1083" s="92" t="s">
        <v>1194</v>
      </c>
      <c r="D1083" s="92">
        <v>7</v>
      </c>
      <c r="E1083" s="92" t="s">
        <v>586</v>
      </c>
      <c r="F1083" s="92">
        <v>173</v>
      </c>
      <c r="G1083" s="92" t="s">
        <v>128</v>
      </c>
      <c r="H1083" s="92"/>
      <c r="I1083" s="92">
        <v>0</v>
      </c>
      <c r="J1083" s="92">
        <v>12444424</v>
      </c>
      <c r="K1083" s="92" t="s">
        <v>1061</v>
      </c>
      <c r="L1083" s="92">
        <v>95</v>
      </c>
      <c r="M1083" s="92">
        <v>30</v>
      </c>
      <c r="N1083" s="92">
        <v>19</v>
      </c>
      <c r="O1083" s="92">
        <v>20</v>
      </c>
      <c r="P1083" s="92">
        <v>0</v>
      </c>
      <c r="Q1083" s="92">
        <v>0</v>
      </c>
      <c r="R1083" s="92">
        <v>0</v>
      </c>
      <c r="S1083" s="92">
        <v>0</v>
      </c>
      <c r="T1083" s="92">
        <v>0</v>
      </c>
      <c r="U1083" s="92">
        <v>0</v>
      </c>
      <c r="V1083" s="92">
        <v>0</v>
      </c>
      <c r="W1083" s="92">
        <v>0</v>
      </c>
      <c r="X1083" s="92">
        <v>0</v>
      </c>
      <c r="Y1083" s="92">
        <v>0</v>
      </c>
      <c r="Z1083" s="92">
        <v>0</v>
      </c>
      <c r="AA1083" s="92">
        <v>0</v>
      </c>
      <c r="AB1083" s="92">
        <v>2890</v>
      </c>
      <c r="AC1083" s="92">
        <v>3019</v>
      </c>
      <c r="AD1083" s="92">
        <v>3131</v>
      </c>
      <c r="AE1083" s="92">
        <v>0</v>
      </c>
      <c r="AF1083" s="92">
        <v>0</v>
      </c>
      <c r="AG1083" s="92">
        <v>0</v>
      </c>
    </row>
    <row r="1084" spans="1:35" x14ac:dyDescent="0.25">
      <c r="A1084" t="str">
        <f t="shared" si="20"/>
        <v>43-21-15</v>
      </c>
      <c r="B1084">
        <v>43</v>
      </c>
      <c r="C1084" s="92" t="s">
        <v>1053</v>
      </c>
      <c r="D1084" s="92">
        <v>21</v>
      </c>
      <c r="E1084" s="92" t="s">
        <v>594</v>
      </c>
      <c r="F1084" s="92">
        <v>15</v>
      </c>
      <c r="G1084" s="92" t="s">
        <v>1007</v>
      </c>
      <c r="H1084" s="92"/>
      <c r="I1084" s="92">
        <v>1387</v>
      </c>
      <c r="J1084" s="92">
        <v>414913</v>
      </c>
      <c r="K1084" s="92" t="s">
        <v>1061</v>
      </c>
      <c r="L1084" s="92">
        <v>0</v>
      </c>
      <c r="M1084" s="92">
        <v>897</v>
      </c>
      <c r="N1084" s="92">
        <v>2</v>
      </c>
      <c r="O1084" s="92">
        <v>2</v>
      </c>
      <c r="P1084" s="92">
        <v>0</v>
      </c>
      <c r="Q1084" s="92">
        <v>0</v>
      </c>
      <c r="R1084" s="92">
        <v>0</v>
      </c>
      <c r="S1084" s="92">
        <v>0</v>
      </c>
      <c r="T1084" s="92">
        <v>0</v>
      </c>
      <c r="U1084" s="92">
        <v>0</v>
      </c>
      <c r="V1084" s="92">
        <v>0</v>
      </c>
      <c r="W1084" s="92">
        <v>0</v>
      </c>
      <c r="X1084" s="92">
        <v>0</v>
      </c>
      <c r="Y1084" s="92">
        <v>0</v>
      </c>
      <c r="Z1084" s="92">
        <v>0</v>
      </c>
      <c r="AA1084" s="92">
        <v>0</v>
      </c>
      <c r="AB1084" s="92">
        <v>13477</v>
      </c>
      <c r="AC1084" s="92">
        <v>14352</v>
      </c>
      <c r="AD1084" s="92">
        <v>14505</v>
      </c>
      <c r="AE1084" s="92">
        <v>0</v>
      </c>
      <c r="AF1084" s="92">
        <v>296</v>
      </c>
      <c r="AG1084" s="92">
        <v>0</v>
      </c>
    </row>
    <row r="1085" spans="1:35" x14ac:dyDescent="0.25">
      <c r="A1085" t="str">
        <f t="shared" si="20"/>
        <v>44-11-104</v>
      </c>
      <c r="B1085">
        <v>44</v>
      </c>
      <c r="C1085" s="92" t="s">
        <v>1054</v>
      </c>
      <c r="D1085" s="92">
        <v>11</v>
      </c>
      <c r="E1085" s="92" t="s">
        <v>1062</v>
      </c>
      <c r="F1085" s="92">
        <v>104</v>
      </c>
      <c r="G1085" s="92" t="s">
        <v>1014</v>
      </c>
      <c r="H1085" s="92">
        <v>1</v>
      </c>
      <c r="I1085" s="92">
        <v>0</v>
      </c>
      <c r="J1085" s="92">
        <v>275897199</v>
      </c>
      <c r="K1085" s="92"/>
      <c r="L1085" s="92">
        <v>0</v>
      </c>
      <c r="M1085" s="92">
        <v>0</v>
      </c>
      <c r="N1085" s="92">
        <v>0</v>
      </c>
      <c r="O1085" s="92">
        <v>0</v>
      </c>
      <c r="P1085" s="92">
        <v>0</v>
      </c>
      <c r="Q1085" s="92">
        <v>0</v>
      </c>
      <c r="R1085" s="92">
        <v>0</v>
      </c>
      <c r="S1085" s="92">
        <v>0</v>
      </c>
      <c r="T1085" s="92">
        <v>0</v>
      </c>
      <c r="U1085" s="92">
        <v>0</v>
      </c>
      <c r="V1085" s="92">
        <v>0</v>
      </c>
      <c r="W1085" s="92">
        <v>0</v>
      </c>
      <c r="X1085" s="92">
        <v>0</v>
      </c>
      <c r="Y1085" s="92">
        <v>0</v>
      </c>
      <c r="Z1085" s="92">
        <v>0</v>
      </c>
      <c r="AA1085" s="92">
        <v>0</v>
      </c>
      <c r="AB1085" s="92">
        <v>1044913</v>
      </c>
      <c r="AC1085" s="92">
        <v>851129</v>
      </c>
      <c r="AD1085" s="92">
        <v>848242</v>
      </c>
      <c r="AE1085" s="92">
        <v>0</v>
      </c>
      <c r="AF1085" s="92">
        <v>0</v>
      </c>
      <c r="AG1085" s="92">
        <v>0</v>
      </c>
    </row>
    <row r="1086" spans="1:35" x14ac:dyDescent="0.25">
      <c r="A1086" t="str">
        <f t="shared" si="20"/>
        <v>44-8-9</v>
      </c>
      <c r="B1086">
        <v>44</v>
      </c>
      <c r="C1086" s="92" t="s">
        <v>1054</v>
      </c>
      <c r="D1086" s="92">
        <v>8</v>
      </c>
      <c r="E1086" s="92" t="s">
        <v>587</v>
      </c>
      <c r="F1086" s="92">
        <v>9</v>
      </c>
      <c r="G1086" s="92" t="s">
        <v>1010</v>
      </c>
      <c r="H1086" s="92"/>
      <c r="I1086" s="92">
        <v>1134</v>
      </c>
      <c r="J1086" s="92">
        <v>63323512</v>
      </c>
      <c r="K1086" s="92" t="s">
        <v>1061</v>
      </c>
      <c r="L1086" s="92">
        <v>850</v>
      </c>
      <c r="M1086" s="92">
        <v>323</v>
      </c>
      <c r="N1086" s="92">
        <v>143</v>
      </c>
      <c r="O1086" s="92">
        <v>143</v>
      </c>
      <c r="P1086" s="92">
        <v>0</v>
      </c>
      <c r="Q1086" s="92">
        <v>0</v>
      </c>
      <c r="R1086" s="92">
        <v>0</v>
      </c>
      <c r="S1086" s="92">
        <v>0</v>
      </c>
      <c r="T1086" s="92">
        <v>0</v>
      </c>
      <c r="U1086" s="92">
        <v>0</v>
      </c>
      <c r="V1086" s="92">
        <v>0</v>
      </c>
      <c r="W1086" s="92">
        <v>0</v>
      </c>
      <c r="X1086" s="92">
        <v>0</v>
      </c>
      <c r="Y1086" s="92">
        <v>0</v>
      </c>
      <c r="Z1086" s="92">
        <v>0</v>
      </c>
      <c r="AA1086" s="92">
        <v>0</v>
      </c>
      <c r="AB1086" s="92">
        <v>35062</v>
      </c>
      <c r="AC1086" s="92">
        <v>36689</v>
      </c>
      <c r="AD1086" s="92">
        <v>38415</v>
      </c>
      <c r="AE1086" s="92">
        <v>0</v>
      </c>
      <c r="AF1086" s="92">
        <v>0</v>
      </c>
      <c r="AG1086" s="92">
        <v>0</v>
      </c>
    </row>
    <row r="1087" spans="1:35" x14ac:dyDescent="0.25">
      <c r="A1087" t="str">
        <f t="shared" si="20"/>
        <v>44-2-44</v>
      </c>
      <c r="B1087">
        <v>44</v>
      </c>
      <c r="C1087" s="92" t="s">
        <v>1054</v>
      </c>
      <c r="D1087" s="92">
        <v>2</v>
      </c>
      <c r="E1087" s="92" t="s">
        <v>53</v>
      </c>
      <c r="F1087" s="92">
        <v>44</v>
      </c>
      <c r="G1087" s="92" t="s">
        <v>574</v>
      </c>
      <c r="H1087" s="92"/>
      <c r="I1087" s="92">
        <v>80911</v>
      </c>
      <c r="J1087" s="92">
        <v>342551218</v>
      </c>
      <c r="K1087" s="92"/>
      <c r="L1087" s="92">
        <v>83948</v>
      </c>
      <c r="M1087" s="92">
        <v>50663</v>
      </c>
      <c r="N1087" s="92">
        <v>22486</v>
      </c>
      <c r="O1087" s="92">
        <v>22047</v>
      </c>
      <c r="P1087" s="92">
        <v>0</v>
      </c>
      <c r="Q1087" s="92">
        <v>0</v>
      </c>
      <c r="R1087" s="92">
        <v>0</v>
      </c>
      <c r="S1087" s="92">
        <v>164</v>
      </c>
      <c r="T1087" s="92">
        <v>309</v>
      </c>
      <c r="U1087" s="92">
        <v>2303</v>
      </c>
      <c r="V1087" s="92">
        <v>0</v>
      </c>
      <c r="W1087" s="92">
        <v>0</v>
      </c>
      <c r="X1087" s="92">
        <v>0</v>
      </c>
      <c r="Y1087" s="92">
        <v>0</v>
      </c>
      <c r="Z1087" s="92">
        <v>0</v>
      </c>
      <c r="AA1087" s="92">
        <v>0</v>
      </c>
      <c r="AB1087" s="92">
        <v>5241123</v>
      </c>
      <c r="AC1087" s="92">
        <v>5677372</v>
      </c>
      <c r="AD1087" s="92">
        <v>5979687</v>
      </c>
      <c r="AE1087" s="92">
        <v>0</v>
      </c>
      <c r="AF1087" s="92">
        <v>0</v>
      </c>
      <c r="AG1087" s="92">
        <v>0</v>
      </c>
      <c r="AH1087" s="92" t="s">
        <v>1121</v>
      </c>
    </row>
    <row r="1088" spans="1:35" x14ac:dyDescent="0.25">
      <c r="A1088" t="str">
        <f t="shared" si="20"/>
        <v>18-7-174</v>
      </c>
      <c r="B1088">
        <v>18</v>
      </c>
      <c r="C1088" s="92" t="s">
        <v>1031</v>
      </c>
      <c r="D1088" s="92">
        <v>7</v>
      </c>
      <c r="E1088" s="92" t="s">
        <v>586</v>
      </c>
      <c r="F1088" s="92">
        <v>174</v>
      </c>
      <c r="G1088" s="92" t="s">
        <v>295</v>
      </c>
      <c r="H1088" s="92"/>
      <c r="I1088" s="92">
        <v>986</v>
      </c>
      <c r="J1088" s="92">
        <v>3461224</v>
      </c>
      <c r="K1088" s="92" t="s">
        <v>1061</v>
      </c>
      <c r="L1088" s="92">
        <v>34</v>
      </c>
      <c r="M1088" s="92">
        <v>59</v>
      </c>
      <c r="N1088" s="92">
        <v>4</v>
      </c>
      <c r="O1088" s="92">
        <v>4</v>
      </c>
      <c r="P1088" s="92">
        <v>0</v>
      </c>
      <c r="Q1088" s="92">
        <v>0</v>
      </c>
      <c r="R1088" s="92">
        <v>0</v>
      </c>
      <c r="S1088" s="92">
        <v>0</v>
      </c>
      <c r="T1088" s="92">
        <v>0</v>
      </c>
      <c r="U1088" s="92">
        <v>0</v>
      </c>
      <c r="V1088" s="92">
        <v>0</v>
      </c>
      <c r="W1088" s="92">
        <v>0</v>
      </c>
      <c r="X1088" s="92">
        <v>0</v>
      </c>
      <c r="Y1088" s="92">
        <v>0</v>
      </c>
      <c r="Z1088" s="92">
        <v>0</v>
      </c>
      <c r="AA1088" s="92">
        <v>0</v>
      </c>
      <c r="AB1088" s="92">
        <v>2772</v>
      </c>
      <c r="AC1088" s="92">
        <v>2870</v>
      </c>
      <c r="AD1088" s="92">
        <v>2974</v>
      </c>
      <c r="AE1088" s="92">
        <v>0</v>
      </c>
      <c r="AF1088" s="92">
        <v>0</v>
      </c>
      <c r="AG1088" s="92">
        <v>0</v>
      </c>
    </row>
    <row r="1089" spans="1:35" x14ac:dyDescent="0.25">
      <c r="A1089" t="str">
        <f t="shared" si="20"/>
        <v>18-9-154</v>
      </c>
      <c r="B1089">
        <v>18</v>
      </c>
      <c r="C1089" s="92" t="s">
        <v>1031</v>
      </c>
      <c r="D1089" s="92">
        <v>9</v>
      </c>
      <c r="E1089" s="92" t="s">
        <v>588</v>
      </c>
      <c r="F1089" s="92">
        <v>154</v>
      </c>
      <c r="G1089" s="92" t="s">
        <v>798</v>
      </c>
      <c r="H1089" s="92"/>
      <c r="I1089" s="92">
        <v>6018</v>
      </c>
      <c r="J1089" s="92">
        <v>4149666</v>
      </c>
      <c r="K1089" s="92" t="s">
        <v>1061</v>
      </c>
      <c r="L1089" s="92">
        <v>0</v>
      </c>
      <c r="M1089" s="92">
        <v>0</v>
      </c>
      <c r="N1089" s="92">
        <v>2</v>
      </c>
      <c r="O1089" s="92">
        <v>2</v>
      </c>
      <c r="P1089" s="92">
        <v>0</v>
      </c>
      <c r="Q1089" s="92">
        <v>0</v>
      </c>
      <c r="R1089" s="92">
        <v>0</v>
      </c>
      <c r="S1089" s="92">
        <v>0</v>
      </c>
      <c r="T1089" s="92">
        <v>0</v>
      </c>
      <c r="U1089" s="92">
        <v>0</v>
      </c>
      <c r="V1089" s="92">
        <v>0</v>
      </c>
      <c r="W1089" s="92">
        <v>0</v>
      </c>
      <c r="X1089" s="92">
        <v>0</v>
      </c>
      <c r="Y1089" s="92">
        <v>0</v>
      </c>
      <c r="Z1089" s="92">
        <v>0</v>
      </c>
      <c r="AA1089" s="92">
        <v>0</v>
      </c>
      <c r="AB1089" s="92">
        <v>12542</v>
      </c>
      <c r="AC1089" s="92">
        <v>0</v>
      </c>
      <c r="AD1089" s="92">
        <v>14001</v>
      </c>
      <c r="AE1089" s="92">
        <v>0</v>
      </c>
      <c r="AF1089" s="92">
        <v>0</v>
      </c>
      <c r="AG1089" s="92">
        <v>0</v>
      </c>
      <c r="AI1089" s="250">
        <v>2.1373799999999999E-4</v>
      </c>
    </row>
    <row r="1090" spans="1:35" x14ac:dyDescent="0.25">
      <c r="A1090" t="str">
        <f t="shared" si="20"/>
        <v>18-17-7</v>
      </c>
      <c r="B1090">
        <v>18</v>
      </c>
      <c r="C1090" s="92" t="s">
        <v>1031</v>
      </c>
      <c r="D1090" s="92">
        <v>17</v>
      </c>
      <c r="E1090" s="92" t="s">
        <v>593</v>
      </c>
      <c r="F1090" s="92">
        <v>7</v>
      </c>
      <c r="G1090" s="92" t="s">
        <v>808</v>
      </c>
      <c r="H1090" s="92"/>
      <c r="I1090" s="92">
        <v>3719</v>
      </c>
      <c r="J1090" s="92">
        <v>3272975</v>
      </c>
      <c r="K1090" s="92" t="s">
        <v>1061</v>
      </c>
      <c r="L1090" s="92">
        <v>224</v>
      </c>
      <c r="M1090" s="92">
        <v>196</v>
      </c>
      <c r="N1090" s="92">
        <v>12</v>
      </c>
      <c r="O1090" s="92">
        <v>12</v>
      </c>
      <c r="P1090" s="92">
        <v>0</v>
      </c>
      <c r="Q1090" s="92">
        <v>0</v>
      </c>
      <c r="R1090" s="92">
        <v>0</v>
      </c>
      <c r="S1090" s="92">
        <v>0</v>
      </c>
      <c r="T1090" s="92">
        <v>0</v>
      </c>
      <c r="U1090" s="92">
        <v>0</v>
      </c>
      <c r="V1090" s="92">
        <v>0</v>
      </c>
      <c r="W1090" s="92">
        <v>0</v>
      </c>
      <c r="X1090" s="92">
        <v>0</v>
      </c>
      <c r="Y1090" s="92">
        <v>0</v>
      </c>
      <c r="Z1090" s="92">
        <v>0</v>
      </c>
      <c r="AA1090" s="92">
        <v>0</v>
      </c>
      <c r="AB1090" s="92">
        <v>11000</v>
      </c>
      <c r="AC1090" s="92">
        <v>11200</v>
      </c>
      <c r="AD1090" s="92">
        <v>11400</v>
      </c>
      <c r="AE1090" s="92">
        <v>0</v>
      </c>
      <c r="AF1090" s="92">
        <v>0</v>
      </c>
      <c r="AG1090" s="92">
        <v>0</v>
      </c>
    </row>
    <row r="1091" spans="1:35" x14ac:dyDescent="0.25">
      <c r="A1091" t="str">
        <f t="shared" si="20"/>
        <v>44-5-2</v>
      </c>
      <c r="B1091">
        <v>44</v>
      </c>
      <c r="C1091" s="92" t="s">
        <v>1054</v>
      </c>
      <c r="D1091" s="92">
        <v>5</v>
      </c>
      <c r="E1091" s="92" t="s">
        <v>200</v>
      </c>
      <c r="F1091" s="92">
        <v>2</v>
      </c>
      <c r="G1091" s="92" t="s">
        <v>578</v>
      </c>
      <c r="H1091" s="92"/>
      <c r="I1091" s="92">
        <v>0</v>
      </c>
      <c r="J1091" s="92">
        <v>128701093</v>
      </c>
      <c r="K1091" s="92" t="s">
        <v>1061</v>
      </c>
      <c r="L1091" s="92">
        <v>6158</v>
      </c>
      <c r="M1091" s="92">
        <v>3335</v>
      </c>
      <c r="N1091" s="92">
        <v>1233</v>
      </c>
      <c r="O1091" s="92">
        <v>1233</v>
      </c>
      <c r="P1091" s="92">
        <v>0</v>
      </c>
      <c r="Q1091" s="92">
        <v>0</v>
      </c>
      <c r="R1091" s="92">
        <v>0</v>
      </c>
      <c r="S1091" s="92">
        <v>10.83</v>
      </c>
      <c r="T1091" s="92">
        <v>21</v>
      </c>
      <c r="U1091" s="92">
        <v>149</v>
      </c>
      <c r="V1091" s="92">
        <v>0</v>
      </c>
      <c r="W1091" s="92">
        <v>0</v>
      </c>
      <c r="X1091" s="92">
        <v>0</v>
      </c>
      <c r="Y1091" s="92">
        <v>0</v>
      </c>
      <c r="Z1091" s="92">
        <v>0</v>
      </c>
      <c r="AA1091" s="92">
        <v>0</v>
      </c>
      <c r="AB1091" s="92">
        <v>285310</v>
      </c>
      <c r="AC1091" s="92">
        <v>288433</v>
      </c>
      <c r="AD1091" s="92">
        <v>300277</v>
      </c>
      <c r="AE1091" s="92">
        <v>8540</v>
      </c>
      <c r="AF1091" s="92">
        <v>2187</v>
      </c>
      <c r="AG1091" s="92">
        <v>0</v>
      </c>
      <c r="AI1091">
        <v>2.9408599999999999E-4</v>
      </c>
    </row>
    <row r="1092" spans="1:35" x14ac:dyDescent="0.25">
      <c r="A1092" t="str">
        <f t="shared" si="20"/>
        <v>44-9-19</v>
      </c>
      <c r="B1092">
        <v>44</v>
      </c>
      <c r="C1092" s="92" t="s">
        <v>1054</v>
      </c>
      <c r="D1092" s="92">
        <v>9</v>
      </c>
      <c r="E1092" s="92" t="s">
        <v>588</v>
      </c>
      <c r="F1092" s="92">
        <v>19</v>
      </c>
      <c r="G1092" s="92" t="s">
        <v>1012</v>
      </c>
      <c r="H1092" s="92"/>
      <c r="I1092" s="92">
        <v>0</v>
      </c>
      <c r="J1092" s="92">
        <v>0</v>
      </c>
      <c r="K1092" s="92" t="s">
        <v>1061</v>
      </c>
      <c r="L1092" s="92">
        <v>7387</v>
      </c>
      <c r="M1092" s="92">
        <v>1893</v>
      </c>
      <c r="N1092" s="92">
        <v>985</v>
      </c>
      <c r="O1092" s="92">
        <v>985</v>
      </c>
      <c r="P1092" s="92">
        <v>0</v>
      </c>
      <c r="Q1092" s="92">
        <v>0</v>
      </c>
      <c r="R1092" s="92">
        <v>0</v>
      </c>
      <c r="S1092" s="92">
        <v>0</v>
      </c>
      <c r="T1092" s="92">
        <v>0</v>
      </c>
      <c r="U1092" s="92">
        <v>0</v>
      </c>
      <c r="V1092" s="92">
        <v>0</v>
      </c>
      <c r="W1092" s="92">
        <v>0</v>
      </c>
      <c r="X1092" s="92">
        <v>0</v>
      </c>
      <c r="Y1092" s="92">
        <v>0</v>
      </c>
      <c r="Z1092" s="92">
        <v>0</v>
      </c>
      <c r="AA1092" s="92">
        <v>0</v>
      </c>
      <c r="AB1092" s="92">
        <v>305132</v>
      </c>
      <c r="AC1092" s="92">
        <v>320117</v>
      </c>
      <c r="AD1092" s="92">
        <v>336551</v>
      </c>
      <c r="AE1092" s="92">
        <v>0</v>
      </c>
      <c r="AF1092" s="92">
        <v>0</v>
      </c>
      <c r="AG1092" s="92">
        <v>0</v>
      </c>
      <c r="AI1092" s="250">
        <v>7.4778300000000002E-4</v>
      </c>
    </row>
    <row r="1093" spans="1:35" x14ac:dyDescent="0.25">
      <c r="A1093" t="str">
        <f t="shared" si="20"/>
        <v>44-4-179</v>
      </c>
      <c r="B1093">
        <v>44</v>
      </c>
      <c r="C1093" s="92" t="s">
        <v>1054</v>
      </c>
      <c r="D1093" s="92">
        <v>4</v>
      </c>
      <c r="E1093" s="92" t="s">
        <v>66</v>
      </c>
      <c r="F1093" s="92">
        <v>179</v>
      </c>
      <c r="G1093" s="92" t="s">
        <v>1008</v>
      </c>
      <c r="H1093" s="92"/>
      <c r="I1093" s="92">
        <v>0</v>
      </c>
      <c r="J1093" s="92">
        <v>125359482</v>
      </c>
      <c r="K1093" s="92" t="s">
        <v>1061</v>
      </c>
      <c r="L1093" s="92">
        <v>3329</v>
      </c>
      <c r="M1093" s="92">
        <v>13088</v>
      </c>
      <c r="N1093" s="92">
        <v>3125</v>
      </c>
      <c r="O1093" s="92">
        <v>3125</v>
      </c>
      <c r="P1093" s="92">
        <v>0</v>
      </c>
      <c r="Q1093" s="92">
        <v>0</v>
      </c>
      <c r="R1093" s="92">
        <v>0</v>
      </c>
      <c r="S1093" s="92">
        <v>29.28</v>
      </c>
      <c r="T1093" s="92">
        <v>53</v>
      </c>
      <c r="U1093" s="92">
        <v>255</v>
      </c>
      <c r="V1093" s="92">
        <v>0</v>
      </c>
      <c r="W1093" s="92">
        <v>0</v>
      </c>
      <c r="X1093" s="92">
        <v>0</v>
      </c>
      <c r="Y1093" s="92">
        <v>0</v>
      </c>
      <c r="Z1093" s="92">
        <v>0</v>
      </c>
      <c r="AA1093" s="92">
        <v>0</v>
      </c>
      <c r="AB1093" s="92">
        <v>41756</v>
      </c>
      <c r="AC1093" s="92">
        <v>43462</v>
      </c>
      <c r="AD1093" s="92">
        <v>45548</v>
      </c>
      <c r="AE1093" s="92">
        <v>0</v>
      </c>
      <c r="AF1093" s="92">
        <v>0</v>
      </c>
      <c r="AG1093" s="92">
        <v>0</v>
      </c>
    </row>
    <row r="1094" spans="1:35" x14ac:dyDescent="0.25">
      <c r="A1094" t="str">
        <f t="shared" si="20"/>
        <v>44-12-22</v>
      </c>
      <c r="B1094">
        <v>44</v>
      </c>
      <c r="C1094" s="92" t="s">
        <v>1054</v>
      </c>
      <c r="D1094" s="92">
        <v>12</v>
      </c>
      <c r="E1094" s="92" t="s">
        <v>71</v>
      </c>
      <c r="F1094" s="92">
        <v>22</v>
      </c>
      <c r="G1094" s="92" t="s">
        <v>583</v>
      </c>
      <c r="H1094" s="92"/>
      <c r="I1094" s="92">
        <v>0</v>
      </c>
      <c r="J1094" s="92">
        <v>128701093</v>
      </c>
      <c r="K1094" s="92" t="s">
        <v>1061</v>
      </c>
      <c r="L1094" s="92">
        <v>5607</v>
      </c>
      <c r="M1094" s="92">
        <v>9201</v>
      </c>
      <c r="N1094" s="92">
        <v>2649</v>
      </c>
      <c r="O1094" s="92">
        <v>2649</v>
      </c>
      <c r="P1094" s="92">
        <v>0</v>
      </c>
      <c r="Q1094" s="92">
        <v>0</v>
      </c>
      <c r="R1094" s="92">
        <v>0</v>
      </c>
      <c r="S1094" s="92">
        <v>24</v>
      </c>
      <c r="T1094" s="92">
        <v>44</v>
      </c>
      <c r="U1094" s="92">
        <v>320</v>
      </c>
      <c r="V1094" s="92">
        <v>0</v>
      </c>
      <c r="W1094" s="92">
        <v>0</v>
      </c>
      <c r="X1094" s="92">
        <v>0</v>
      </c>
      <c r="Y1094" s="92">
        <v>0</v>
      </c>
      <c r="Z1094" s="92">
        <v>0</v>
      </c>
      <c r="AA1094" s="92">
        <v>0</v>
      </c>
      <c r="AB1094" s="92">
        <v>405019</v>
      </c>
      <c r="AC1094" s="92">
        <v>428036</v>
      </c>
      <c r="AD1094" s="92">
        <v>442837</v>
      </c>
      <c r="AE1094" s="92">
        <v>0</v>
      </c>
      <c r="AF1094" s="92">
        <v>5883</v>
      </c>
      <c r="AG1094" s="92">
        <v>0</v>
      </c>
    </row>
    <row r="1095" spans="1:35" x14ac:dyDescent="0.25">
      <c r="A1095" t="str">
        <f t="shared" si="20"/>
        <v>44-11-63</v>
      </c>
      <c r="B1095">
        <v>44</v>
      </c>
      <c r="C1095" s="92" t="s">
        <v>1054</v>
      </c>
      <c r="D1095" s="92">
        <v>11</v>
      </c>
      <c r="E1095" s="92" t="s">
        <v>1062</v>
      </c>
      <c r="F1095" s="92">
        <v>63</v>
      </c>
      <c r="G1095" s="92" t="s">
        <v>1013</v>
      </c>
      <c r="H1095" s="92"/>
      <c r="I1095" s="92">
        <v>20008</v>
      </c>
      <c r="J1095" s="92">
        <v>66654019</v>
      </c>
      <c r="K1095" s="92" t="s">
        <v>1061</v>
      </c>
      <c r="L1095" s="92">
        <v>2134</v>
      </c>
      <c r="M1095" s="92">
        <v>747</v>
      </c>
      <c r="N1095" s="92">
        <v>268</v>
      </c>
      <c r="O1095" s="92">
        <v>268</v>
      </c>
      <c r="P1095" s="92">
        <v>0</v>
      </c>
      <c r="Q1095" s="92">
        <v>0</v>
      </c>
      <c r="R1095" s="92">
        <v>0</v>
      </c>
      <c r="S1095" s="92">
        <v>0</v>
      </c>
      <c r="T1095" s="92">
        <v>0</v>
      </c>
      <c r="U1095" s="92">
        <v>0</v>
      </c>
      <c r="V1095" s="92">
        <v>0</v>
      </c>
      <c r="W1095" s="92">
        <v>0</v>
      </c>
      <c r="X1095" s="92">
        <v>0</v>
      </c>
      <c r="Y1095" s="92">
        <v>0</v>
      </c>
      <c r="Z1095" s="92">
        <v>0</v>
      </c>
      <c r="AA1095" s="92">
        <v>0</v>
      </c>
      <c r="AB1095" s="92">
        <v>63594</v>
      </c>
      <c r="AC1095" s="92">
        <v>66655</v>
      </c>
      <c r="AD1095" s="92">
        <v>70073</v>
      </c>
      <c r="AE1095" s="92">
        <v>0</v>
      </c>
      <c r="AF1095" s="92">
        <v>0</v>
      </c>
      <c r="AG1095" s="92">
        <v>0</v>
      </c>
    </row>
    <row r="1096" spans="1:35" x14ac:dyDescent="0.25">
      <c r="A1096" t="str">
        <f t="shared" si="20"/>
        <v>24-7-175</v>
      </c>
      <c r="B1096">
        <v>24</v>
      </c>
      <c r="C1096" s="92" t="s">
        <v>1037</v>
      </c>
      <c r="D1096" s="92">
        <v>7</v>
      </c>
      <c r="E1096" s="92" t="s">
        <v>586</v>
      </c>
      <c r="F1096" s="92">
        <v>175</v>
      </c>
      <c r="G1096" s="92" t="s">
        <v>352</v>
      </c>
      <c r="H1096" s="92"/>
      <c r="I1096" s="92">
        <v>3017</v>
      </c>
      <c r="J1096" s="92">
        <v>58324708</v>
      </c>
      <c r="K1096" s="92" t="s">
        <v>1061</v>
      </c>
      <c r="L1096" s="92">
        <v>5482</v>
      </c>
      <c r="M1096" s="92">
        <v>1096</v>
      </c>
      <c r="N1096" s="92">
        <v>100</v>
      </c>
      <c r="O1096" s="92">
        <v>100</v>
      </c>
      <c r="P1096" s="92">
        <v>0</v>
      </c>
      <c r="Q1096" s="92">
        <v>0</v>
      </c>
      <c r="R1096" s="92">
        <v>0</v>
      </c>
      <c r="S1096" s="92">
        <v>0</v>
      </c>
      <c r="T1096" s="92">
        <v>0</v>
      </c>
      <c r="U1096" s="92">
        <v>0</v>
      </c>
      <c r="V1096" s="92">
        <v>0</v>
      </c>
      <c r="W1096" s="92">
        <v>0</v>
      </c>
      <c r="X1096" s="92">
        <v>0</v>
      </c>
      <c r="Y1096" s="92">
        <v>0</v>
      </c>
      <c r="Z1096" s="92">
        <v>0</v>
      </c>
      <c r="AA1096" s="92">
        <v>0</v>
      </c>
      <c r="AB1096" s="92">
        <v>100539</v>
      </c>
      <c r="AC1096" s="92">
        <v>105351</v>
      </c>
      <c r="AD1096" s="92">
        <v>109135</v>
      </c>
      <c r="AE1096" s="92">
        <v>0</v>
      </c>
      <c r="AF1096" s="92">
        <v>0</v>
      </c>
      <c r="AG1096" s="92">
        <v>0</v>
      </c>
    </row>
    <row r="1097" spans="1:35" x14ac:dyDescent="0.25">
      <c r="A1097" t="str">
        <f t="shared" si="20"/>
        <v>24-9-89</v>
      </c>
      <c r="B1097">
        <v>24</v>
      </c>
      <c r="C1097" s="92" t="s">
        <v>1037</v>
      </c>
      <c r="D1097" s="92">
        <v>9</v>
      </c>
      <c r="E1097" s="92" t="s">
        <v>588</v>
      </c>
      <c r="F1097" s="92">
        <v>89</v>
      </c>
      <c r="G1097" s="92" t="s">
        <v>859</v>
      </c>
      <c r="H1097" s="92"/>
      <c r="I1097" s="92">
        <v>287</v>
      </c>
      <c r="J1097" s="92">
        <v>29051000</v>
      </c>
      <c r="K1097" s="92" t="s">
        <v>1061</v>
      </c>
      <c r="L1097" s="92">
        <v>12108</v>
      </c>
      <c r="M1097" s="92">
        <v>2285</v>
      </c>
      <c r="N1097" s="92">
        <v>63</v>
      </c>
      <c r="O1097" s="92">
        <v>63</v>
      </c>
      <c r="P1097" s="92">
        <v>0</v>
      </c>
      <c r="Q1097" s="92">
        <v>0</v>
      </c>
      <c r="R1097" s="92">
        <v>0</v>
      </c>
      <c r="S1097" s="92">
        <v>0</v>
      </c>
      <c r="T1097" s="92">
        <v>0</v>
      </c>
      <c r="U1097" s="92">
        <v>0</v>
      </c>
      <c r="V1097" s="92">
        <v>0</v>
      </c>
      <c r="W1097" s="92">
        <v>0</v>
      </c>
      <c r="X1097" s="92">
        <v>0</v>
      </c>
      <c r="Y1097" s="92">
        <v>0</v>
      </c>
      <c r="Z1097" s="92">
        <v>0</v>
      </c>
      <c r="AA1097" s="92">
        <v>0</v>
      </c>
      <c r="AB1097" s="92">
        <v>244401</v>
      </c>
      <c r="AC1097" s="92">
        <v>255683</v>
      </c>
      <c r="AD1097" s="92">
        <v>255683</v>
      </c>
      <c r="AE1097" s="92">
        <v>0</v>
      </c>
      <c r="AF1097" s="92">
        <v>0</v>
      </c>
      <c r="AG1097" s="92">
        <v>0</v>
      </c>
      <c r="AI1097" s="250">
        <v>3.8295799999999997E-4</v>
      </c>
    </row>
    <row r="1098" spans="1:35" x14ac:dyDescent="0.25">
      <c r="A1098" t="str">
        <f t="shared" si="20"/>
        <v>24-11-64</v>
      </c>
      <c r="B1098">
        <v>24</v>
      </c>
      <c r="C1098" s="92" t="s">
        <v>1037</v>
      </c>
      <c r="D1098" s="92">
        <v>11</v>
      </c>
      <c r="E1098" s="92" t="s">
        <v>1062</v>
      </c>
      <c r="F1098" s="92">
        <v>64</v>
      </c>
      <c r="G1098" s="92" t="s">
        <v>356</v>
      </c>
      <c r="H1098" s="92"/>
      <c r="I1098" s="92">
        <v>0</v>
      </c>
      <c r="J1098" s="92">
        <v>47249061</v>
      </c>
      <c r="K1098" s="92" t="s">
        <v>1061</v>
      </c>
      <c r="L1098" s="92">
        <v>22416</v>
      </c>
      <c r="M1098" s="92">
        <v>4189</v>
      </c>
      <c r="N1098" s="92">
        <v>490</v>
      </c>
      <c r="O1098" s="92">
        <v>340</v>
      </c>
      <c r="P1098" s="92">
        <v>0</v>
      </c>
      <c r="Q1098" s="92">
        <v>0</v>
      </c>
      <c r="R1098" s="92">
        <v>0</v>
      </c>
      <c r="S1098" s="92">
        <v>0</v>
      </c>
      <c r="T1098" s="92">
        <v>0</v>
      </c>
      <c r="U1098" s="92">
        <v>0</v>
      </c>
      <c r="V1098" s="92">
        <v>0</v>
      </c>
      <c r="W1098" s="92">
        <v>0</v>
      </c>
      <c r="X1098" s="92">
        <v>0</v>
      </c>
      <c r="Y1098" s="92">
        <v>0</v>
      </c>
      <c r="Z1098" s="92">
        <v>0</v>
      </c>
      <c r="AA1098" s="92">
        <v>0</v>
      </c>
      <c r="AB1098" s="92">
        <v>416880</v>
      </c>
      <c r="AC1098" s="92">
        <v>438169</v>
      </c>
      <c r="AD1098" s="92">
        <v>454037</v>
      </c>
      <c r="AE1098" s="92">
        <v>0</v>
      </c>
      <c r="AF1098" s="92">
        <v>0</v>
      </c>
      <c r="AG1098" s="92">
        <v>0</v>
      </c>
    </row>
    <row r="1099" spans="1:35" x14ac:dyDescent="0.25">
      <c r="A1099" t="str">
        <f t="shared" si="20"/>
        <v>24-17-12</v>
      </c>
      <c r="B1099">
        <v>24</v>
      </c>
      <c r="C1099" s="92" t="s">
        <v>1037</v>
      </c>
      <c r="D1099" s="92">
        <v>17</v>
      </c>
      <c r="E1099" s="92" t="s">
        <v>593</v>
      </c>
      <c r="F1099" s="92">
        <v>12</v>
      </c>
      <c r="G1099" s="92" t="s">
        <v>360</v>
      </c>
      <c r="H1099" s="92"/>
      <c r="I1099" s="92">
        <v>0</v>
      </c>
      <c r="J1099" s="92">
        <v>70895907</v>
      </c>
      <c r="K1099" s="92" t="s">
        <v>1061</v>
      </c>
      <c r="L1099" s="92">
        <v>9039</v>
      </c>
      <c r="M1099" s="92">
        <v>1774</v>
      </c>
      <c r="N1099" s="92">
        <v>181</v>
      </c>
      <c r="O1099" s="92">
        <v>181</v>
      </c>
      <c r="P1099" s="92">
        <v>0</v>
      </c>
      <c r="Q1099" s="92">
        <v>0</v>
      </c>
      <c r="R1099" s="92">
        <v>0</v>
      </c>
      <c r="S1099" s="92">
        <v>0</v>
      </c>
      <c r="T1099" s="92">
        <v>0</v>
      </c>
      <c r="U1099" s="92">
        <v>0</v>
      </c>
      <c r="V1099" s="92">
        <v>0</v>
      </c>
      <c r="W1099" s="92">
        <v>0</v>
      </c>
      <c r="X1099" s="92">
        <v>0</v>
      </c>
      <c r="Y1099" s="92">
        <v>0</v>
      </c>
      <c r="Z1099" s="92">
        <v>0</v>
      </c>
      <c r="AA1099" s="92">
        <v>0</v>
      </c>
      <c r="AB1099" s="92">
        <v>173541</v>
      </c>
      <c r="AC1099" s="92">
        <v>181633</v>
      </c>
      <c r="AD1099" s="92">
        <v>188174</v>
      </c>
      <c r="AE1099" s="92">
        <v>0</v>
      </c>
      <c r="AF1099" s="92">
        <v>0</v>
      </c>
      <c r="AG1099" s="92">
        <v>0</v>
      </c>
    </row>
    <row r="1100" spans="1:35" x14ac:dyDescent="0.25">
      <c r="A1100" t="str">
        <f t="shared" si="20"/>
        <v>24-4-86</v>
      </c>
      <c r="B1100">
        <v>24</v>
      </c>
      <c r="C1100" s="92" t="s">
        <v>1037</v>
      </c>
      <c r="D1100" s="92">
        <v>4</v>
      </c>
      <c r="E1100" s="92" t="s">
        <v>66</v>
      </c>
      <c r="F1100" s="92">
        <v>86</v>
      </c>
      <c r="G1100" s="92" t="s">
        <v>853</v>
      </c>
      <c r="H1100" s="92"/>
      <c r="I1100" s="92">
        <v>0</v>
      </c>
      <c r="J1100" s="92">
        <v>40807085</v>
      </c>
      <c r="K1100" s="92" t="s">
        <v>1061</v>
      </c>
      <c r="L1100" s="92">
        <v>23282</v>
      </c>
      <c r="M1100" s="92">
        <v>16574</v>
      </c>
      <c r="N1100" s="92">
        <v>1439</v>
      </c>
      <c r="O1100" s="92">
        <v>1439</v>
      </c>
      <c r="P1100" s="92">
        <v>0</v>
      </c>
      <c r="Q1100" s="92">
        <v>0</v>
      </c>
      <c r="R1100" s="92">
        <v>0</v>
      </c>
      <c r="S1100" s="92">
        <v>0</v>
      </c>
      <c r="T1100" s="92">
        <v>0</v>
      </c>
      <c r="U1100" s="92">
        <v>0</v>
      </c>
      <c r="V1100" s="92">
        <v>0</v>
      </c>
      <c r="W1100" s="92">
        <v>0</v>
      </c>
      <c r="X1100" s="92">
        <v>0</v>
      </c>
      <c r="Y1100" s="92">
        <v>0</v>
      </c>
      <c r="Z1100" s="92">
        <v>0</v>
      </c>
      <c r="AA1100" s="92">
        <v>0</v>
      </c>
      <c r="AB1100" s="92">
        <v>35472</v>
      </c>
      <c r="AC1100" s="92">
        <v>37056</v>
      </c>
      <c r="AD1100" s="92">
        <v>38307</v>
      </c>
      <c r="AE1100" s="92">
        <v>0</v>
      </c>
      <c r="AF1100" s="92">
        <v>0</v>
      </c>
      <c r="AG1100" s="92">
        <v>0</v>
      </c>
    </row>
    <row r="1101" spans="1:35" x14ac:dyDescent="0.25">
      <c r="A1101" t="str">
        <f t="shared" si="20"/>
        <v>18-7-179</v>
      </c>
      <c r="B1101">
        <v>18</v>
      </c>
      <c r="C1101" s="92" t="s">
        <v>1031</v>
      </c>
      <c r="D1101" s="92">
        <v>7</v>
      </c>
      <c r="E1101" s="92" t="s">
        <v>586</v>
      </c>
      <c r="F1101" s="92">
        <v>179</v>
      </c>
      <c r="G1101" s="92" t="s">
        <v>792</v>
      </c>
      <c r="H1101" s="92"/>
      <c r="I1101" s="92">
        <v>0</v>
      </c>
      <c r="J1101" s="92">
        <v>77012</v>
      </c>
      <c r="K1101" s="92" t="s">
        <v>1061</v>
      </c>
      <c r="L1101" s="92">
        <v>18</v>
      </c>
      <c r="M1101" s="92">
        <v>60</v>
      </c>
      <c r="N1101" s="92">
        <v>7</v>
      </c>
      <c r="O1101" s="92">
        <v>7</v>
      </c>
      <c r="P1101" s="92">
        <v>0</v>
      </c>
      <c r="Q1101" s="92">
        <v>0</v>
      </c>
      <c r="R1101" s="92">
        <v>0</v>
      </c>
      <c r="S1101" s="92">
        <v>0</v>
      </c>
      <c r="T1101" s="92">
        <v>0</v>
      </c>
      <c r="U1101" s="92">
        <v>0</v>
      </c>
      <c r="V1101" s="92">
        <v>0</v>
      </c>
      <c r="W1101" s="92">
        <v>0</v>
      </c>
      <c r="X1101" s="92">
        <v>0</v>
      </c>
      <c r="Y1101" s="92">
        <v>0</v>
      </c>
      <c r="Z1101" s="92">
        <v>0</v>
      </c>
      <c r="AA1101" s="92">
        <v>0</v>
      </c>
      <c r="AB1101" s="92">
        <v>3596</v>
      </c>
      <c r="AC1101" s="92">
        <v>0</v>
      </c>
      <c r="AD1101" s="92">
        <v>3596</v>
      </c>
      <c r="AE1101" s="92">
        <v>0</v>
      </c>
      <c r="AF1101" s="92">
        <v>0</v>
      </c>
      <c r="AG1101" s="92">
        <v>0</v>
      </c>
    </row>
    <row r="1102" spans="1:35" x14ac:dyDescent="0.25">
      <c r="A1102" t="str">
        <f t="shared" si="20"/>
        <v>1-4-3</v>
      </c>
      <c r="B1102">
        <v>1</v>
      </c>
      <c r="C1102" s="92" t="s">
        <v>1016</v>
      </c>
      <c r="D1102" s="92">
        <v>4</v>
      </c>
      <c r="E1102" s="92" t="s">
        <v>66</v>
      </c>
      <c r="F1102" s="92">
        <v>3</v>
      </c>
      <c r="G1102" s="92" t="s">
        <v>81</v>
      </c>
      <c r="H1102" s="92"/>
      <c r="I1102" s="92">
        <v>0</v>
      </c>
      <c r="J1102" s="92">
        <v>454798228</v>
      </c>
      <c r="K1102" s="92">
        <v>1</v>
      </c>
      <c r="L1102" s="92">
        <v>18013</v>
      </c>
      <c r="M1102" s="92">
        <v>351053</v>
      </c>
      <c r="N1102" s="92">
        <v>47945</v>
      </c>
      <c r="O1102" s="92">
        <v>47945</v>
      </c>
      <c r="P1102" s="92">
        <v>20396</v>
      </c>
      <c r="Q1102" s="92">
        <v>29644</v>
      </c>
      <c r="R1102" s="92">
        <v>17696</v>
      </c>
      <c r="S1102" s="92">
        <v>335</v>
      </c>
      <c r="T1102" s="92">
        <v>542</v>
      </c>
      <c r="U1102" s="92">
        <v>4927</v>
      </c>
      <c r="V1102" s="92">
        <v>0</v>
      </c>
      <c r="W1102" s="182">
        <v>0</v>
      </c>
      <c r="X1102" s="92">
        <v>0</v>
      </c>
      <c r="Y1102" s="92">
        <v>0</v>
      </c>
      <c r="Z1102" s="92">
        <v>0</v>
      </c>
      <c r="AA1102" s="92">
        <v>0</v>
      </c>
      <c r="AB1102" s="92">
        <v>999268</v>
      </c>
      <c r="AC1102" s="182">
        <f>1043416-18694</f>
        <v>1024722</v>
      </c>
      <c r="AD1102" s="92">
        <v>1090639</v>
      </c>
      <c r="AE1102" s="92">
        <v>0</v>
      </c>
      <c r="AF1102" s="92">
        <v>0</v>
      </c>
      <c r="AG1102" s="92">
        <v>0</v>
      </c>
    </row>
    <row r="1103" spans="1:35" x14ac:dyDescent="0.25">
      <c r="A1103" t="str">
        <f t="shared" si="20"/>
        <v>14-4-3</v>
      </c>
      <c r="B1103">
        <v>14</v>
      </c>
      <c r="C1103" s="92" t="s">
        <v>1027</v>
      </c>
      <c r="D1103" s="92">
        <v>4</v>
      </c>
      <c r="E1103" s="92" t="s">
        <v>66</v>
      </c>
      <c r="F1103" s="92">
        <v>3</v>
      </c>
      <c r="G1103" s="92" t="s">
        <v>81</v>
      </c>
      <c r="H1103" s="92"/>
      <c r="I1103" s="92">
        <v>0</v>
      </c>
      <c r="J1103" s="92">
        <v>3036038</v>
      </c>
      <c r="K1103" s="92">
        <v>1</v>
      </c>
      <c r="L1103" s="92">
        <v>18013</v>
      </c>
      <c r="M1103" s="92">
        <v>351053</v>
      </c>
      <c r="N1103" s="92">
        <v>47945</v>
      </c>
      <c r="O1103" s="92">
        <v>47945</v>
      </c>
      <c r="P1103" s="92">
        <v>20396</v>
      </c>
      <c r="Q1103" s="92">
        <v>29644</v>
      </c>
      <c r="R1103" s="92">
        <v>17696</v>
      </c>
      <c r="S1103" s="92">
        <v>335</v>
      </c>
      <c r="T1103" s="92">
        <v>542</v>
      </c>
      <c r="U1103" s="92">
        <v>4927</v>
      </c>
      <c r="V1103" s="92">
        <v>0</v>
      </c>
      <c r="W1103" s="182">
        <v>0</v>
      </c>
      <c r="X1103" s="92">
        <v>0</v>
      </c>
      <c r="Y1103" s="92">
        <v>0</v>
      </c>
      <c r="Z1103" s="92">
        <v>0</v>
      </c>
      <c r="AA1103" s="92">
        <v>0</v>
      </c>
      <c r="AB1103" s="92">
        <v>999268</v>
      </c>
      <c r="AC1103" s="182">
        <f>1043416-18694</f>
        <v>1024722</v>
      </c>
      <c r="AD1103" s="92">
        <v>1090639</v>
      </c>
      <c r="AE1103" s="92">
        <v>0</v>
      </c>
      <c r="AF1103" s="92">
        <v>0</v>
      </c>
      <c r="AG1103" s="92">
        <v>0</v>
      </c>
    </row>
    <row r="1104" spans="1:35" x14ac:dyDescent="0.25">
      <c r="A1104" t="str">
        <f t="shared" si="20"/>
        <v>9-7-176</v>
      </c>
      <c r="B1104">
        <v>9</v>
      </c>
      <c r="C1104" s="92" t="s">
        <v>1022</v>
      </c>
      <c r="D1104" s="92">
        <v>7</v>
      </c>
      <c r="E1104" s="92" t="s">
        <v>586</v>
      </c>
      <c r="F1104" s="92">
        <v>176</v>
      </c>
      <c r="G1104" s="92" t="s">
        <v>187</v>
      </c>
      <c r="H1104" s="92"/>
      <c r="I1104" s="92">
        <v>13540</v>
      </c>
      <c r="J1104" s="92">
        <v>21478527</v>
      </c>
      <c r="K1104" s="92" t="s">
        <v>1061</v>
      </c>
      <c r="L1104" s="92">
        <v>130</v>
      </c>
      <c r="M1104" s="92">
        <v>631</v>
      </c>
      <c r="N1104" s="92">
        <v>58</v>
      </c>
      <c r="O1104" s="92">
        <v>58</v>
      </c>
      <c r="P1104" s="92">
        <v>0</v>
      </c>
      <c r="Q1104" s="92">
        <v>0</v>
      </c>
      <c r="R1104" s="92">
        <v>0</v>
      </c>
      <c r="S1104" s="92">
        <v>15.16</v>
      </c>
      <c r="T1104" s="92">
        <v>51</v>
      </c>
      <c r="U1104" s="92">
        <v>0</v>
      </c>
      <c r="V1104" s="92">
        <v>0</v>
      </c>
      <c r="W1104" s="92">
        <v>0</v>
      </c>
      <c r="X1104" s="92">
        <v>0</v>
      </c>
      <c r="Y1104" s="92">
        <v>0</v>
      </c>
      <c r="Z1104" s="92">
        <v>0</v>
      </c>
      <c r="AA1104" s="92">
        <v>0</v>
      </c>
      <c r="AB1104" s="92">
        <v>65536</v>
      </c>
      <c r="AC1104" s="92">
        <v>67491</v>
      </c>
      <c r="AD1104" s="92">
        <v>67542</v>
      </c>
      <c r="AE1104" s="92">
        <v>0</v>
      </c>
      <c r="AF1104" s="92">
        <v>0</v>
      </c>
      <c r="AG1104" s="92">
        <v>0</v>
      </c>
    </row>
    <row r="1105" spans="1:35" x14ac:dyDescent="0.25">
      <c r="A1105" t="str">
        <f t="shared" si="20"/>
        <v>9-14-63</v>
      </c>
      <c r="B1105">
        <v>9</v>
      </c>
      <c r="C1105" s="92" t="s">
        <v>1022</v>
      </c>
      <c r="D1105" s="92">
        <v>14</v>
      </c>
      <c r="E1105" s="92" t="s">
        <v>571</v>
      </c>
      <c r="F1105" s="92">
        <v>63</v>
      </c>
      <c r="G1105" s="92" t="s">
        <v>191</v>
      </c>
      <c r="H1105" s="92"/>
      <c r="I1105" s="92">
        <v>0</v>
      </c>
      <c r="J1105" s="92">
        <v>42600328</v>
      </c>
      <c r="K1105" s="92" t="s">
        <v>1061</v>
      </c>
      <c r="L1105" s="92">
        <v>0</v>
      </c>
      <c r="M1105" s="92">
        <v>3960</v>
      </c>
      <c r="N1105" s="92">
        <v>622</v>
      </c>
      <c r="O1105" s="92">
        <v>622</v>
      </c>
      <c r="P1105" s="92">
        <v>0</v>
      </c>
      <c r="Q1105" s="92">
        <v>0</v>
      </c>
      <c r="R1105" s="92">
        <v>0</v>
      </c>
      <c r="S1105" s="92">
        <v>143</v>
      </c>
      <c r="T1105" s="92">
        <v>143</v>
      </c>
      <c r="U1105" s="92">
        <v>0</v>
      </c>
      <c r="V1105" s="92">
        <v>0</v>
      </c>
      <c r="W1105" s="92">
        <v>0</v>
      </c>
      <c r="X1105" s="92">
        <v>0</v>
      </c>
      <c r="Y1105" s="92">
        <v>0</v>
      </c>
      <c r="Z1105" s="92">
        <v>0</v>
      </c>
      <c r="AA1105" s="92">
        <v>0</v>
      </c>
      <c r="AB1105" s="92">
        <v>446541</v>
      </c>
      <c r="AC1105" s="92">
        <v>444008</v>
      </c>
      <c r="AD1105" s="92">
        <v>482785</v>
      </c>
      <c r="AE1105" s="92">
        <v>0</v>
      </c>
      <c r="AF1105" s="92">
        <v>0</v>
      </c>
      <c r="AG1105" s="92">
        <v>0</v>
      </c>
      <c r="AI1105" s="250">
        <v>1.4169399999999999E-4</v>
      </c>
    </row>
    <row r="1106" spans="1:35" x14ac:dyDescent="0.25">
      <c r="A1106" t="str">
        <f t="shared" si="20"/>
        <v>9-4-199</v>
      </c>
      <c r="B1106">
        <v>9</v>
      </c>
      <c r="C1106" s="92" t="s">
        <v>1022</v>
      </c>
      <c r="D1106" s="92">
        <v>4</v>
      </c>
      <c r="E1106" s="92" t="s">
        <v>66</v>
      </c>
      <c r="F1106" s="92">
        <v>199</v>
      </c>
      <c r="G1106" s="92" t="s">
        <v>709</v>
      </c>
      <c r="H1106" s="92"/>
      <c r="I1106" s="92">
        <v>0</v>
      </c>
      <c r="J1106" s="92">
        <v>53572205</v>
      </c>
      <c r="K1106" s="92" t="s">
        <v>1061</v>
      </c>
      <c r="L1106" s="92">
        <v>0</v>
      </c>
      <c r="M1106" s="92">
        <v>26521</v>
      </c>
      <c r="N1106" s="92">
        <v>3528</v>
      </c>
      <c r="O1106" s="92">
        <v>3528</v>
      </c>
      <c r="P1106" s="92">
        <v>0</v>
      </c>
      <c r="Q1106" s="92">
        <v>0</v>
      </c>
      <c r="R1106" s="92">
        <v>0</v>
      </c>
      <c r="S1106" s="92">
        <v>0</v>
      </c>
      <c r="T1106" s="92">
        <v>478</v>
      </c>
      <c r="U1106" s="92">
        <v>0</v>
      </c>
      <c r="V1106" s="92">
        <v>669</v>
      </c>
      <c r="W1106" s="92">
        <v>0</v>
      </c>
      <c r="X1106" s="92">
        <v>0</v>
      </c>
      <c r="Y1106" s="92">
        <v>0</v>
      </c>
      <c r="Z1106" s="92">
        <v>0</v>
      </c>
      <c r="AA1106" s="92">
        <v>0</v>
      </c>
      <c r="AB1106" s="92">
        <v>133900</v>
      </c>
      <c r="AC1106" s="92">
        <v>168444</v>
      </c>
      <c r="AD1106" s="92">
        <v>154380</v>
      </c>
      <c r="AE1106" s="92">
        <v>0</v>
      </c>
      <c r="AF1106" s="92">
        <v>0</v>
      </c>
      <c r="AG1106" s="92">
        <v>0</v>
      </c>
    </row>
    <row r="1107" spans="1:35" x14ac:dyDescent="0.25">
      <c r="A1107" t="str">
        <f t="shared" si="20"/>
        <v>9-20-55</v>
      </c>
      <c r="B1107">
        <v>9</v>
      </c>
      <c r="C1107" s="92" t="s">
        <v>1022</v>
      </c>
      <c r="D1107" s="92">
        <v>20</v>
      </c>
      <c r="E1107" s="92" t="s">
        <v>153</v>
      </c>
      <c r="F1107" s="92">
        <v>55</v>
      </c>
      <c r="G1107" s="92" t="s">
        <v>1269</v>
      </c>
      <c r="H1107" s="92"/>
      <c r="I1107" s="92">
        <v>595</v>
      </c>
      <c r="J1107" s="92">
        <v>2299932</v>
      </c>
      <c r="K1107" s="92" t="s">
        <v>1061</v>
      </c>
      <c r="L1107" s="92">
        <v>6</v>
      </c>
      <c r="M1107" s="92">
        <v>718</v>
      </c>
      <c r="N1107" s="92">
        <v>213</v>
      </c>
      <c r="O1107" s="92">
        <v>213</v>
      </c>
      <c r="P1107" s="92">
        <v>0</v>
      </c>
      <c r="Q1107" s="92">
        <v>0</v>
      </c>
      <c r="R1107" s="92">
        <v>0</v>
      </c>
      <c r="S1107" s="92">
        <v>0</v>
      </c>
      <c r="T1107" s="92">
        <v>0</v>
      </c>
      <c r="U1107" s="92">
        <v>0</v>
      </c>
      <c r="V1107" s="92">
        <v>0</v>
      </c>
      <c r="W1107" s="92">
        <v>0</v>
      </c>
      <c r="X1107" s="92">
        <v>0</v>
      </c>
      <c r="Y1107" s="92">
        <v>0</v>
      </c>
      <c r="Z1107" s="92">
        <v>0</v>
      </c>
      <c r="AA1107" s="92">
        <v>0</v>
      </c>
      <c r="AB1107" s="92">
        <v>22993</v>
      </c>
      <c r="AC1107" s="92">
        <v>20506</v>
      </c>
      <c r="AD1107" s="92">
        <v>22993</v>
      </c>
      <c r="AE1107" s="92">
        <v>0</v>
      </c>
      <c r="AF1107" s="92">
        <v>0</v>
      </c>
      <c r="AG1107" s="92">
        <v>0</v>
      </c>
    </row>
    <row r="1108" spans="1:35" x14ac:dyDescent="0.25">
      <c r="A1108" t="str">
        <f t="shared" si="20"/>
        <v>42-7-178</v>
      </c>
      <c r="B1108">
        <v>42</v>
      </c>
      <c r="C1108" s="92" t="s">
        <v>1196</v>
      </c>
      <c r="D1108" s="92">
        <v>7</v>
      </c>
      <c r="E1108" s="92" t="s">
        <v>586</v>
      </c>
      <c r="F1108" s="92">
        <v>178</v>
      </c>
      <c r="G1108" s="92" t="s">
        <v>559</v>
      </c>
      <c r="H1108" s="92"/>
      <c r="I1108" s="92">
        <v>3544</v>
      </c>
      <c r="J1108" s="92">
        <v>93836882</v>
      </c>
      <c r="K1108" s="92" t="s">
        <v>1061</v>
      </c>
      <c r="L1108" s="92">
        <v>2746</v>
      </c>
      <c r="M1108" s="92">
        <v>686</v>
      </c>
      <c r="N1108" s="92">
        <v>133</v>
      </c>
      <c r="O1108" s="92">
        <v>133</v>
      </c>
      <c r="P1108" s="92">
        <v>0</v>
      </c>
      <c r="Q1108" s="92">
        <v>0</v>
      </c>
      <c r="R1108" s="92">
        <v>0</v>
      </c>
      <c r="S1108" s="92">
        <v>0</v>
      </c>
      <c r="T1108" s="92">
        <v>31</v>
      </c>
      <c r="U1108" s="92">
        <v>56</v>
      </c>
      <c r="V1108" s="92">
        <v>0</v>
      </c>
      <c r="W1108" s="92">
        <v>0</v>
      </c>
      <c r="X1108" s="92">
        <v>0</v>
      </c>
      <c r="Y1108" s="92">
        <v>0</v>
      </c>
      <c r="Z1108" s="92">
        <v>0</v>
      </c>
      <c r="AA1108" s="92">
        <v>0</v>
      </c>
      <c r="AB1108" s="92">
        <v>104189</v>
      </c>
      <c r="AC1108" s="92">
        <v>108829</v>
      </c>
      <c r="AD1108" s="92">
        <v>115600</v>
      </c>
      <c r="AE1108" s="92">
        <v>0</v>
      </c>
      <c r="AF1108" s="92">
        <v>0</v>
      </c>
      <c r="AG1108" s="92">
        <v>0</v>
      </c>
    </row>
    <row r="1109" spans="1:35" x14ac:dyDescent="0.25">
      <c r="A1109" t="str">
        <f t="shared" si="20"/>
        <v>27-9-92</v>
      </c>
      <c r="B1109">
        <v>27</v>
      </c>
      <c r="C1109" s="92" t="s">
        <v>1040</v>
      </c>
      <c r="D1109" s="92">
        <v>9</v>
      </c>
      <c r="E1109" s="92" t="s">
        <v>588</v>
      </c>
      <c r="F1109" s="92">
        <v>92</v>
      </c>
      <c r="G1109" s="92" t="s">
        <v>885</v>
      </c>
      <c r="H1109" s="92"/>
      <c r="I1109" s="92">
        <v>53</v>
      </c>
      <c r="J1109" s="92">
        <v>0</v>
      </c>
      <c r="K1109" s="92">
        <v>1</v>
      </c>
      <c r="L1109" s="92">
        <v>33025</v>
      </c>
      <c r="M1109" s="92">
        <v>3667</v>
      </c>
      <c r="N1109" s="92">
        <v>1467</v>
      </c>
      <c r="O1109" s="92">
        <v>1467</v>
      </c>
      <c r="P1109" s="92">
        <v>0</v>
      </c>
      <c r="Q1109" s="92">
        <v>0</v>
      </c>
      <c r="R1109" s="92">
        <v>0</v>
      </c>
      <c r="S1109" s="92">
        <v>0</v>
      </c>
      <c r="T1109" s="92">
        <v>0</v>
      </c>
      <c r="U1109" s="92">
        <v>0</v>
      </c>
      <c r="V1109" s="92">
        <v>0</v>
      </c>
      <c r="W1109" s="92">
        <v>0</v>
      </c>
      <c r="X1109" s="92">
        <v>0</v>
      </c>
      <c r="Y1109" s="92">
        <v>0</v>
      </c>
      <c r="Z1109" s="92">
        <v>0</v>
      </c>
      <c r="AA1109" s="92">
        <v>0</v>
      </c>
      <c r="AB1109" s="92">
        <v>520136</v>
      </c>
      <c r="AC1109" s="92">
        <v>541868</v>
      </c>
      <c r="AD1109" s="92">
        <v>565360</v>
      </c>
      <c r="AE1109" s="92">
        <v>0</v>
      </c>
      <c r="AF1109" s="92">
        <v>0</v>
      </c>
      <c r="AG1109" s="92">
        <v>0</v>
      </c>
      <c r="AI1109" s="250">
        <v>6.6500000000000001E-4</v>
      </c>
    </row>
    <row r="1110" spans="1:35" x14ac:dyDescent="0.25">
      <c r="A1110" t="str">
        <f t="shared" si="20"/>
        <v>34-9-92</v>
      </c>
      <c r="B1110">
        <v>34</v>
      </c>
      <c r="C1110" s="92" t="s">
        <v>1047</v>
      </c>
      <c r="D1110" s="92">
        <v>9</v>
      </c>
      <c r="E1110" s="92" t="s">
        <v>588</v>
      </c>
      <c r="F1110" s="92">
        <v>92</v>
      </c>
      <c r="G1110" s="92" t="s">
        <v>885</v>
      </c>
      <c r="H1110" s="92"/>
      <c r="I1110" s="92">
        <v>53</v>
      </c>
      <c r="J1110" s="92">
        <v>0</v>
      </c>
      <c r="K1110" s="92">
        <v>1</v>
      </c>
      <c r="L1110" s="92">
        <v>33025</v>
      </c>
      <c r="M1110" s="92">
        <v>3667</v>
      </c>
      <c r="N1110" s="92">
        <v>1467</v>
      </c>
      <c r="O1110" s="92">
        <v>1467</v>
      </c>
      <c r="P1110" s="92">
        <v>0</v>
      </c>
      <c r="Q1110" s="92">
        <v>0</v>
      </c>
      <c r="R1110" s="92">
        <v>0</v>
      </c>
      <c r="S1110" s="92">
        <v>0</v>
      </c>
      <c r="T1110" s="92">
        <v>0</v>
      </c>
      <c r="U1110" s="92">
        <v>0</v>
      </c>
      <c r="V1110" s="92">
        <v>0</v>
      </c>
      <c r="W1110" s="92">
        <v>0</v>
      </c>
      <c r="X1110" s="92">
        <v>0</v>
      </c>
      <c r="Y1110" s="92">
        <v>0</v>
      </c>
      <c r="Z1110" s="92">
        <v>0</v>
      </c>
      <c r="AA1110" s="92">
        <v>0</v>
      </c>
      <c r="AB1110" s="92">
        <v>520136</v>
      </c>
      <c r="AC1110" s="92">
        <v>541868</v>
      </c>
      <c r="AD1110" s="92">
        <v>565360</v>
      </c>
      <c r="AE1110" s="92">
        <v>0</v>
      </c>
      <c r="AF1110" s="92">
        <v>0</v>
      </c>
      <c r="AG1110" s="92">
        <v>0</v>
      </c>
      <c r="AI1110" s="250">
        <v>6.6500000000000001E-4</v>
      </c>
    </row>
    <row r="1111" spans="1:35" x14ac:dyDescent="0.25">
      <c r="A1111" t="str">
        <f t="shared" si="20"/>
        <v>9-9-112</v>
      </c>
      <c r="B1111">
        <v>9</v>
      </c>
      <c r="C1111" s="92" t="s">
        <v>1022</v>
      </c>
      <c r="D1111" s="92">
        <v>9</v>
      </c>
      <c r="E1111" s="92" t="s">
        <v>588</v>
      </c>
      <c r="F1111" s="92">
        <v>112</v>
      </c>
      <c r="G1111" s="92" t="s">
        <v>1268</v>
      </c>
      <c r="H1111" s="92"/>
      <c r="I1111" s="92">
        <v>0</v>
      </c>
      <c r="J1111" s="92">
        <v>0</v>
      </c>
      <c r="K1111" s="92" t="s">
        <v>1061</v>
      </c>
      <c r="L1111" s="92">
        <v>0</v>
      </c>
      <c r="M1111" s="92">
        <v>3</v>
      </c>
      <c r="N1111" s="92">
        <v>0</v>
      </c>
      <c r="O1111" s="92">
        <v>0</v>
      </c>
      <c r="P1111" s="92">
        <v>0</v>
      </c>
      <c r="Q1111" s="92">
        <v>0</v>
      </c>
      <c r="R1111" s="92">
        <v>0</v>
      </c>
      <c r="S1111" s="92">
        <v>236</v>
      </c>
      <c r="T1111" s="92">
        <v>0</v>
      </c>
      <c r="U1111" s="92">
        <v>0</v>
      </c>
      <c r="V1111" s="92">
        <v>0</v>
      </c>
      <c r="W1111" s="92">
        <v>0</v>
      </c>
      <c r="X1111" s="92">
        <v>0</v>
      </c>
      <c r="Y1111" s="92">
        <v>0</v>
      </c>
      <c r="Z1111" s="92">
        <v>0</v>
      </c>
      <c r="AA1111" s="92">
        <v>0</v>
      </c>
      <c r="AB1111" s="92">
        <v>332743</v>
      </c>
      <c r="AC1111" s="92">
        <v>355839</v>
      </c>
      <c r="AD1111" s="92">
        <v>381594</v>
      </c>
      <c r="AE1111" s="92">
        <v>0</v>
      </c>
      <c r="AF1111" s="92">
        <v>0</v>
      </c>
      <c r="AG1111" s="92">
        <v>0</v>
      </c>
      <c r="AI1111" s="250">
        <v>5.2872599999999998E-4</v>
      </c>
    </row>
    <row r="1112" spans="1:35" x14ac:dyDescent="0.25">
      <c r="A1112" t="str">
        <f t="shared" si="20"/>
        <v>24-11-65</v>
      </c>
      <c r="B1112">
        <v>24</v>
      </c>
      <c r="C1112" s="92" t="s">
        <v>1037</v>
      </c>
      <c r="D1112" s="92">
        <v>11</v>
      </c>
      <c r="E1112" s="92" t="s">
        <v>1062</v>
      </c>
      <c r="F1112" s="92">
        <v>65</v>
      </c>
      <c r="G1112" s="92" t="s">
        <v>357</v>
      </c>
      <c r="H1112" s="92"/>
      <c r="I1112" s="92">
        <v>747</v>
      </c>
      <c r="J1112" s="92">
        <v>23377673</v>
      </c>
      <c r="K1112" s="92" t="s">
        <v>1061</v>
      </c>
      <c r="L1112" s="92">
        <v>5801</v>
      </c>
      <c r="M1112" s="92">
        <v>1147</v>
      </c>
      <c r="N1112" s="92">
        <v>87</v>
      </c>
      <c r="O1112" s="92">
        <v>87</v>
      </c>
      <c r="P1112" s="92">
        <v>0</v>
      </c>
      <c r="Q1112" s="92">
        <v>0</v>
      </c>
      <c r="R1112" s="92">
        <v>0</v>
      </c>
      <c r="S1112" s="92">
        <v>0</v>
      </c>
      <c r="T1112" s="92">
        <v>0</v>
      </c>
      <c r="U1112" s="92">
        <v>0</v>
      </c>
      <c r="V1112" s="92">
        <v>0</v>
      </c>
      <c r="W1112" s="92">
        <v>0</v>
      </c>
      <c r="X1112" s="92">
        <v>0</v>
      </c>
      <c r="Y1112" s="92">
        <v>0</v>
      </c>
      <c r="Z1112" s="92">
        <v>0</v>
      </c>
      <c r="AA1112" s="92">
        <v>0</v>
      </c>
      <c r="AB1112" s="92">
        <v>180089</v>
      </c>
      <c r="AC1112" s="92">
        <v>186289</v>
      </c>
      <c r="AD1112" s="92">
        <v>192947</v>
      </c>
      <c r="AE1112" s="92">
        <v>0</v>
      </c>
      <c r="AF1112" s="92">
        <v>0</v>
      </c>
      <c r="AG1112" s="92">
        <v>0</v>
      </c>
    </row>
    <row r="1113" spans="1:35" x14ac:dyDescent="0.25">
      <c r="A1113" t="str">
        <f t="shared" si="20"/>
        <v>9-9-128</v>
      </c>
      <c r="B1113">
        <v>9</v>
      </c>
      <c r="C1113" s="92" t="s">
        <v>1022</v>
      </c>
      <c r="D1113" s="92">
        <v>9</v>
      </c>
      <c r="E1113" s="92" t="s">
        <v>588</v>
      </c>
      <c r="F1113" s="92">
        <v>128</v>
      </c>
      <c r="G1113" s="92" t="s">
        <v>713</v>
      </c>
      <c r="H1113" s="92"/>
      <c r="I1113" s="92">
        <v>2</v>
      </c>
      <c r="J1113" s="92">
        <v>0</v>
      </c>
      <c r="K1113" s="92" t="s">
        <v>1061</v>
      </c>
      <c r="L1113" s="92">
        <v>32</v>
      </c>
      <c r="M1113" s="92">
        <v>333</v>
      </c>
      <c r="N1113" s="92">
        <v>49</v>
      </c>
      <c r="O1113" s="92">
        <v>49</v>
      </c>
      <c r="P1113" s="92">
        <v>0</v>
      </c>
      <c r="Q1113" s="92">
        <v>0</v>
      </c>
      <c r="R1113" s="92">
        <v>0</v>
      </c>
      <c r="S1113" s="92">
        <v>0</v>
      </c>
      <c r="T1113" s="92">
        <v>0</v>
      </c>
      <c r="U1113" s="92">
        <v>0</v>
      </c>
      <c r="V1113" s="92">
        <v>0</v>
      </c>
      <c r="W1113" s="92">
        <v>0</v>
      </c>
      <c r="X1113" s="92">
        <v>0</v>
      </c>
      <c r="Y1113" s="92">
        <v>0</v>
      </c>
      <c r="Z1113" s="92">
        <v>0</v>
      </c>
      <c r="AA1113" s="92">
        <v>0</v>
      </c>
      <c r="AB1113" s="92">
        <v>82924</v>
      </c>
      <c r="AC1113" s="92">
        <v>85424</v>
      </c>
      <c r="AD1113" s="92">
        <v>88413</v>
      </c>
      <c r="AE1113" s="92">
        <v>0</v>
      </c>
      <c r="AF1113" s="92">
        <v>0</v>
      </c>
      <c r="AG1113" s="92">
        <v>0</v>
      </c>
      <c r="AI1113" s="250">
        <v>9.8670000000000002E-5</v>
      </c>
    </row>
    <row r="1114" spans="1:35" x14ac:dyDescent="0.25">
      <c r="A1114" t="str">
        <f t="shared" si="20"/>
        <v>40-12-10</v>
      </c>
      <c r="B1114">
        <v>40</v>
      </c>
      <c r="C1114" s="92" t="s">
        <v>1051</v>
      </c>
      <c r="D1114" s="92">
        <v>12</v>
      </c>
      <c r="E1114" s="92" t="s">
        <v>71</v>
      </c>
      <c r="F1114" s="92">
        <v>10</v>
      </c>
      <c r="G1114" s="92" t="s">
        <v>541</v>
      </c>
      <c r="H1114" s="92"/>
      <c r="I1114" s="92">
        <v>188437</v>
      </c>
      <c r="J1114" s="92">
        <v>49476166</v>
      </c>
      <c r="K1114" s="92" t="s">
        <v>1061</v>
      </c>
      <c r="L1114" s="92">
        <v>146</v>
      </c>
      <c r="M1114" s="92">
        <v>6809</v>
      </c>
      <c r="N1114" s="92">
        <v>1736</v>
      </c>
      <c r="O1114" s="92">
        <v>1736</v>
      </c>
      <c r="P1114" s="92">
        <v>0</v>
      </c>
      <c r="Q1114" s="92">
        <v>0</v>
      </c>
      <c r="R1114" s="92">
        <v>0</v>
      </c>
      <c r="S1114" s="92">
        <v>441</v>
      </c>
      <c r="T1114" s="92">
        <v>0</v>
      </c>
      <c r="U1114" s="92">
        <v>0</v>
      </c>
      <c r="V1114" s="92">
        <v>0</v>
      </c>
      <c r="W1114" s="92">
        <v>0</v>
      </c>
      <c r="X1114" s="92">
        <v>0</v>
      </c>
      <c r="Y1114" s="92">
        <v>0</v>
      </c>
      <c r="Z1114" s="92">
        <v>0</v>
      </c>
      <c r="AA1114" s="92">
        <v>0</v>
      </c>
      <c r="AB1114" s="92">
        <v>623678</v>
      </c>
      <c r="AC1114" s="92">
        <v>645103</v>
      </c>
      <c r="AD1114" s="92">
        <v>664717</v>
      </c>
      <c r="AE1114" s="92">
        <v>0</v>
      </c>
      <c r="AF1114" s="92">
        <v>0</v>
      </c>
      <c r="AG1114" s="92">
        <v>0</v>
      </c>
    </row>
    <row r="1115" spans="1:35" x14ac:dyDescent="0.25">
      <c r="A1115" t="str">
        <f t="shared" ref="A1115:A1141" si="21">B1115&amp;"-"&amp;D1115&amp;"-"&amp;F1115</f>
        <v>9-9-94</v>
      </c>
      <c r="B1115">
        <v>9</v>
      </c>
      <c r="C1115" s="92" t="s">
        <v>1022</v>
      </c>
      <c r="D1115" s="92">
        <v>9</v>
      </c>
      <c r="E1115" s="92" t="s">
        <v>588</v>
      </c>
      <c r="F1115" s="92">
        <v>94</v>
      </c>
      <c r="G1115" s="92" t="s">
        <v>712</v>
      </c>
      <c r="H1115" s="92"/>
      <c r="I1115" s="92">
        <v>0</v>
      </c>
      <c r="J1115" s="92">
        <v>0</v>
      </c>
      <c r="K1115" s="92" t="s">
        <v>1061</v>
      </c>
      <c r="L1115" s="92">
        <v>144</v>
      </c>
      <c r="M1115" s="92">
        <v>978</v>
      </c>
      <c r="N1115" s="92">
        <v>86</v>
      </c>
      <c r="O1115" s="92">
        <v>86</v>
      </c>
      <c r="P1115" s="92">
        <v>0</v>
      </c>
      <c r="Q1115" s="92">
        <v>0</v>
      </c>
      <c r="R1115" s="92">
        <v>0</v>
      </c>
      <c r="S1115" s="92">
        <v>210</v>
      </c>
      <c r="T1115" s="92">
        <v>28</v>
      </c>
      <c r="U1115" s="92">
        <v>0</v>
      </c>
      <c r="V1115" s="92">
        <v>0</v>
      </c>
      <c r="W1115" s="92">
        <v>0</v>
      </c>
      <c r="X1115" s="182">
        <f>8645-8645</f>
        <v>0</v>
      </c>
      <c r="Y1115" s="182">
        <v>0</v>
      </c>
      <c r="Z1115" s="182">
        <v>0</v>
      </c>
      <c r="AA1115" s="182">
        <v>0</v>
      </c>
      <c r="AB1115" s="92">
        <v>493470</v>
      </c>
      <c r="AC1115" s="92">
        <v>575826</v>
      </c>
      <c r="AD1115" s="92">
        <v>670364</v>
      </c>
      <c r="AE1115" s="92">
        <v>0</v>
      </c>
      <c r="AF1115" s="92">
        <v>14880</v>
      </c>
      <c r="AG1115" s="92">
        <v>0</v>
      </c>
      <c r="AI1115" s="250">
        <v>4.2560299999999998E-4</v>
      </c>
    </row>
    <row r="1116" spans="1:35" x14ac:dyDescent="0.25">
      <c r="A1116" t="str">
        <f t="shared" si="21"/>
        <v>1-17-8</v>
      </c>
      <c r="B1116">
        <v>1</v>
      </c>
      <c r="C1116" s="92" t="s">
        <v>1016</v>
      </c>
      <c r="D1116" s="92">
        <v>17</v>
      </c>
      <c r="E1116" s="92" t="s">
        <v>593</v>
      </c>
      <c r="F1116" s="92">
        <v>8</v>
      </c>
      <c r="G1116" s="92" t="s">
        <v>93</v>
      </c>
      <c r="H1116" s="92"/>
      <c r="I1116" s="92">
        <v>291554</v>
      </c>
      <c r="J1116" s="92">
        <v>176108205</v>
      </c>
      <c r="K1116" s="92" t="s">
        <v>1061</v>
      </c>
      <c r="L1116" s="92">
        <v>270</v>
      </c>
      <c r="M1116" s="92">
        <v>5151</v>
      </c>
      <c r="N1116" s="92">
        <v>380</v>
      </c>
      <c r="O1116" s="92">
        <v>380</v>
      </c>
      <c r="P1116" s="92">
        <v>0</v>
      </c>
      <c r="Q1116" s="92">
        <v>0</v>
      </c>
      <c r="R1116" s="92">
        <v>0</v>
      </c>
      <c r="S1116" s="92">
        <v>5</v>
      </c>
      <c r="T1116" s="92">
        <v>6</v>
      </c>
      <c r="U1116" s="92">
        <v>51</v>
      </c>
      <c r="V1116" s="92">
        <v>0</v>
      </c>
      <c r="W1116" s="92">
        <v>0</v>
      </c>
      <c r="X1116" s="92">
        <v>0</v>
      </c>
      <c r="Y1116" s="92">
        <v>0</v>
      </c>
      <c r="Z1116" s="92">
        <v>0</v>
      </c>
      <c r="AA1116" s="92">
        <v>0</v>
      </c>
      <c r="AB1116" s="92">
        <v>190294</v>
      </c>
      <c r="AC1116" s="92">
        <v>24463</v>
      </c>
      <c r="AD1116" s="92">
        <v>0</v>
      </c>
      <c r="AE1116" s="92">
        <v>0</v>
      </c>
      <c r="AF1116" s="92">
        <v>0</v>
      </c>
      <c r="AG1116" s="92">
        <v>0</v>
      </c>
    </row>
    <row r="1117" spans="1:35" x14ac:dyDescent="0.25">
      <c r="A1117" t="str">
        <f t="shared" si="21"/>
        <v>20-17-30</v>
      </c>
      <c r="B1117">
        <v>20</v>
      </c>
      <c r="C1117" s="92" t="s">
        <v>1033</v>
      </c>
      <c r="D1117" s="92">
        <v>17</v>
      </c>
      <c r="E1117" s="92" t="s">
        <v>593</v>
      </c>
      <c r="F1117" s="92">
        <v>30</v>
      </c>
      <c r="G1117" s="92" t="s">
        <v>1270</v>
      </c>
      <c r="H1117" s="92"/>
      <c r="I1117" s="92">
        <v>0</v>
      </c>
      <c r="J1117" s="92">
        <v>203632297</v>
      </c>
      <c r="K1117" s="92" t="s">
        <v>1061</v>
      </c>
      <c r="L1117" s="92">
        <v>0</v>
      </c>
      <c r="M1117" s="92">
        <v>7016</v>
      </c>
      <c r="N1117" s="92">
        <v>1395</v>
      </c>
      <c r="O1117" s="92">
        <v>1395</v>
      </c>
      <c r="P1117" s="92">
        <v>7967</v>
      </c>
      <c r="Q1117" s="92">
        <v>2576</v>
      </c>
      <c r="R1117" s="92">
        <v>4492</v>
      </c>
      <c r="S1117" s="92">
        <v>196</v>
      </c>
      <c r="T1117" s="92">
        <v>0</v>
      </c>
      <c r="U1117" s="92">
        <v>0</v>
      </c>
      <c r="V1117" s="92">
        <v>0</v>
      </c>
      <c r="W1117" s="92">
        <v>0</v>
      </c>
      <c r="X1117" s="92">
        <v>0</v>
      </c>
      <c r="Y1117" s="92">
        <v>0</v>
      </c>
      <c r="Z1117" s="92">
        <v>0</v>
      </c>
      <c r="AA1117" s="92">
        <v>0</v>
      </c>
      <c r="AB1117" s="92">
        <v>702907</v>
      </c>
      <c r="AC1117" s="92">
        <v>732435</v>
      </c>
      <c r="AD1117" s="92">
        <v>753239</v>
      </c>
      <c r="AE1117" s="92">
        <v>0</v>
      </c>
      <c r="AF1117" s="92">
        <v>0</v>
      </c>
      <c r="AG1117" s="92">
        <v>0</v>
      </c>
    </row>
    <row r="1118" spans="1:35" x14ac:dyDescent="0.25">
      <c r="A1118" t="str">
        <f t="shared" si="21"/>
        <v>21-7-180</v>
      </c>
      <c r="B1118">
        <v>21</v>
      </c>
      <c r="C1118" s="92" t="s">
        <v>1034</v>
      </c>
      <c r="D1118" s="92">
        <v>7</v>
      </c>
      <c r="E1118" s="92" t="s">
        <v>586</v>
      </c>
      <c r="F1118" s="92">
        <v>180</v>
      </c>
      <c r="G1118" s="92" t="s">
        <v>328</v>
      </c>
      <c r="H1118" s="92"/>
      <c r="I1118" s="92">
        <v>1</v>
      </c>
      <c r="J1118" s="92">
        <v>33240515</v>
      </c>
      <c r="K1118" s="92" t="s">
        <v>1061</v>
      </c>
      <c r="L1118" s="92">
        <v>205</v>
      </c>
      <c r="M1118" s="92">
        <v>61</v>
      </c>
      <c r="N1118" s="92">
        <v>26</v>
      </c>
      <c r="O1118" s="92">
        <v>26</v>
      </c>
      <c r="P1118" s="92">
        <v>0</v>
      </c>
      <c r="Q1118" s="92">
        <v>0</v>
      </c>
      <c r="R1118" s="92">
        <v>0</v>
      </c>
      <c r="S1118" s="92">
        <v>0</v>
      </c>
      <c r="T1118" s="92">
        <v>0</v>
      </c>
      <c r="U1118" s="92">
        <v>0</v>
      </c>
      <c r="V1118" s="92">
        <v>0</v>
      </c>
      <c r="W1118" s="92">
        <v>0</v>
      </c>
      <c r="X1118" s="92">
        <v>0</v>
      </c>
      <c r="Y1118" s="92">
        <v>0</v>
      </c>
      <c r="Z1118" s="92">
        <v>0</v>
      </c>
      <c r="AA1118" s="92">
        <v>0</v>
      </c>
      <c r="AB1118" s="92">
        <v>9823</v>
      </c>
      <c r="AC1118" s="92">
        <v>10312</v>
      </c>
      <c r="AD1118" s="92">
        <v>10884</v>
      </c>
      <c r="AE1118" s="92">
        <v>0</v>
      </c>
      <c r="AF1118" s="92">
        <v>0</v>
      </c>
      <c r="AG1118" s="92">
        <v>0</v>
      </c>
    </row>
    <row r="1119" spans="1:35" x14ac:dyDescent="0.25">
      <c r="A1119" t="str">
        <f t="shared" si="21"/>
        <v>3-4-78</v>
      </c>
      <c r="B1119">
        <v>3</v>
      </c>
      <c r="C1119" s="92" t="s">
        <v>1018</v>
      </c>
      <c r="D1119" s="92">
        <v>4</v>
      </c>
      <c r="E1119" s="92" t="s">
        <v>66</v>
      </c>
      <c r="F1119" s="92">
        <v>78</v>
      </c>
      <c r="G1119" s="92" t="s">
        <v>642</v>
      </c>
      <c r="H1119" s="92"/>
      <c r="I1119" s="92">
        <v>0</v>
      </c>
      <c r="J1119" s="92">
        <v>7984966</v>
      </c>
      <c r="K1119" s="92">
        <v>1</v>
      </c>
      <c r="L1119" s="92">
        <v>9825</v>
      </c>
      <c r="M1119" s="92">
        <v>2157</v>
      </c>
      <c r="N1119" s="92">
        <v>716</v>
      </c>
      <c r="O1119" s="92">
        <v>716</v>
      </c>
      <c r="P1119" s="92">
        <v>0</v>
      </c>
      <c r="Q1119" s="92">
        <v>0</v>
      </c>
      <c r="R1119" s="92">
        <v>0</v>
      </c>
      <c r="S1119" s="92">
        <v>0</v>
      </c>
      <c r="T1119" s="92">
        <v>0</v>
      </c>
      <c r="U1119" s="92">
        <v>2</v>
      </c>
      <c r="V1119" s="92">
        <v>0</v>
      </c>
      <c r="W1119" s="92">
        <v>0</v>
      </c>
      <c r="X1119" s="92">
        <v>0</v>
      </c>
      <c r="Y1119" s="92">
        <v>0</v>
      </c>
      <c r="Z1119" s="92">
        <v>0</v>
      </c>
      <c r="AA1119" s="92">
        <v>0</v>
      </c>
      <c r="AB1119" s="92">
        <v>63055</v>
      </c>
      <c r="AC1119" s="92">
        <v>66178</v>
      </c>
      <c r="AD1119" s="92">
        <v>69363</v>
      </c>
      <c r="AE1119" s="92">
        <v>0</v>
      </c>
      <c r="AF1119" s="92">
        <v>0</v>
      </c>
      <c r="AG1119" s="92">
        <v>0</v>
      </c>
    </row>
    <row r="1120" spans="1:35" x14ac:dyDescent="0.25">
      <c r="A1120" t="str">
        <f t="shared" si="21"/>
        <v>21-4-78</v>
      </c>
      <c r="B1120">
        <v>21</v>
      </c>
      <c r="C1120" s="92" t="s">
        <v>1034</v>
      </c>
      <c r="D1120" s="92">
        <v>4</v>
      </c>
      <c r="E1120" s="92" t="s">
        <v>66</v>
      </c>
      <c r="F1120" s="92">
        <v>78</v>
      </c>
      <c r="G1120" s="92" t="s">
        <v>642</v>
      </c>
      <c r="H1120" s="92"/>
      <c r="I1120" s="92">
        <v>0</v>
      </c>
      <c r="J1120" s="92">
        <v>105109822</v>
      </c>
      <c r="K1120" s="92">
        <v>1</v>
      </c>
      <c r="L1120" s="92">
        <v>9825</v>
      </c>
      <c r="M1120" s="92">
        <v>2157</v>
      </c>
      <c r="N1120" s="92">
        <v>716</v>
      </c>
      <c r="O1120" s="92">
        <v>716</v>
      </c>
      <c r="P1120" s="92">
        <v>0</v>
      </c>
      <c r="Q1120" s="92">
        <v>0</v>
      </c>
      <c r="R1120" s="92">
        <v>0</v>
      </c>
      <c r="S1120" s="92">
        <v>0</v>
      </c>
      <c r="T1120" s="92">
        <v>0</v>
      </c>
      <c r="U1120" s="92">
        <v>2</v>
      </c>
      <c r="V1120" s="92">
        <v>0</v>
      </c>
      <c r="W1120" s="92">
        <v>0</v>
      </c>
      <c r="X1120" s="92">
        <v>0</v>
      </c>
      <c r="Y1120" s="92">
        <v>0</v>
      </c>
      <c r="Z1120" s="92">
        <v>0</v>
      </c>
      <c r="AA1120" s="92">
        <v>0</v>
      </c>
      <c r="AB1120" s="92">
        <v>63055</v>
      </c>
      <c r="AC1120" s="92">
        <v>66178</v>
      </c>
      <c r="AD1120" s="92">
        <v>69363</v>
      </c>
      <c r="AE1120" s="92">
        <v>0</v>
      </c>
      <c r="AF1120" s="92">
        <v>0</v>
      </c>
      <c r="AG1120" s="92">
        <v>0</v>
      </c>
    </row>
    <row r="1121" spans="1:35" x14ac:dyDescent="0.25">
      <c r="A1121" t="str">
        <f t="shared" si="21"/>
        <v>35-9-180</v>
      </c>
      <c r="B1121">
        <v>35</v>
      </c>
      <c r="C1121" s="92" t="s">
        <v>1195</v>
      </c>
      <c r="D1121" s="92">
        <v>9</v>
      </c>
      <c r="E1121" s="92" t="s">
        <v>588</v>
      </c>
      <c r="F1121" s="92">
        <v>180</v>
      </c>
      <c r="G1121" s="92" t="s">
        <v>944</v>
      </c>
      <c r="H1121" s="92"/>
      <c r="I1121" s="92">
        <v>16689</v>
      </c>
      <c r="J1121" s="92">
        <v>0</v>
      </c>
      <c r="K1121" s="92" t="s">
        <v>1061</v>
      </c>
      <c r="L1121" s="92">
        <v>0</v>
      </c>
      <c r="M1121" s="92">
        <v>127</v>
      </c>
      <c r="N1121" s="92">
        <v>0</v>
      </c>
      <c r="O1121" s="92">
        <v>0</v>
      </c>
      <c r="P1121" s="92">
        <v>0</v>
      </c>
      <c r="Q1121" s="92">
        <v>0</v>
      </c>
      <c r="R1121" s="92">
        <v>0</v>
      </c>
      <c r="S1121" s="92">
        <v>0</v>
      </c>
      <c r="T1121" s="92">
        <v>0</v>
      </c>
      <c r="U1121" s="92">
        <v>0</v>
      </c>
      <c r="V1121" s="92">
        <v>0</v>
      </c>
      <c r="W1121" s="92">
        <v>0</v>
      </c>
      <c r="X1121" s="92">
        <v>0</v>
      </c>
      <c r="Y1121" s="92">
        <v>0</v>
      </c>
      <c r="Z1121" s="92">
        <v>0</v>
      </c>
      <c r="AA1121" s="92">
        <v>0</v>
      </c>
      <c r="AB1121" s="92">
        <v>68242</v>
      </c>
      <c r="AC1121" s="92">
        <v>72398</v>
      </c>
      <c r="AD1121" s="92">
        <v>78662</v>
      </c>
      <c r="AE1121" s="92">
        <v>1991</v>
      </c>
      <c r="AF1121" s="92">
        <v>2000</v>
      </c>
      <c r="AG1121" s="92">
        <v>2149</v>
      </c>
      <c r="AI1121" s="250">
        <v>8.1510000000000003E-4</v>
      </c>
    </row>
    <row r="1122" spans="1:35" x14ac:dyDescent="0.25">
      <c r="A1122" t="str">
        <f t="shared" si="21"/>
        <v>25-17-38</v>
      </c>
      <c r="B1122">
        <v>25</v>
      </c>
      <c r="C1122" s="92" t="s">
        <v>1038</v>
      </c>
      <c r="D1122" s="92">
        <v>17</v>
      </c>
      <c r="E1122" s="92" t="s">
        <v>593</v>
      </c>
      <c r="F1122" s="92">
        <v>38</v>
      </c>
      <c r="G1122" s="92" t="s">
        <v>867</v>
      </c>
      <c r="H1122" s="92"/>
      <c r="I1122" s="92">
        <v>0</v>
      </c>
      <c r="J1122" s="92">
        <v>468488</v>
      </c>
      <c r="K1122" s="92" t="s">
        <v>1061</v>
      </c>
      <c r="L1122" s="92">
        <v>0</v>
      </c>
      <c r="M1122" s="92">
        <v>0</v>
      </c>
      <c r="N1122" s="92">
        <v>0</v>
      </c>
      <c r="O1122" s="92">
        <v>0</v>
      </c>
      <c r="P1122" s="92">
        <v>0</v>
      </c>
      <c r="Q1122" s="92">
        <v>0</v>
      </c>
      <c r="R1122" s="92">
        <v>0</v>
      </c>
      <c r="S1122" s="92">
        <v>0</v>
      </c>
      <c r="T1122" s="92">
        <v>0</v>
      </c>
      <c r="U1122" s="92">
        <v>0</v>
      </c>
      <c r="V1122" s="92">
        <v>0</v>
      </c>
      <c r="W1122" s="92">
        <v>0</v>
      </c>
      <c r="X1122" s="92">
        <v>0</v>
      </c>
      <c r="Y1122" s="92">
        <v>0</v>
      </c>
      <c r="Z1122" s="92">
        <v>0</v>
      </c>
      <c r="AA1122" s="92">
        <v>0</v>
      </c>
      <c r="AB1122" s="92">
        <v>11767</v>
      </c>
      <c r="AC1122" s="92">
        <v>12156</v>
      </c>
      <c r="AD1122" s="92">
        <v>12638</v>
      </c>
      <c r="AE1122" s="92">
        <v>0</v>
      </c>
      <c r="AF1122" s="92">
        <v>0</v>
      </c>
      <c r="AG1122" s="92">
        <v>0</v>
      </c>
    </row>
    <row r="1123" spans="1:35" x14ac:dyDescent="0.25">
      <c r="A1123" t="str">
        <f t="shared" si="21"/>
        <v>25-7-181</v>
      </c>
      <c r="B1123">
        <v>25</v>
      </c>
      <c r="C1123" s="92" t="s">
        <v>1038</v>
      </c>
      <c r="D1123" s="92">
        <v>7</v>
      </c>
      <c r="E1123" s="92" t="s">
        <v>586</v>
      </c>
      <c r="F1123" s="92">
        <v>181</v>
      </c>
      <c r="G1123" s="92" t="s">
        <v>376</v>
      </c>
      <c r="H1123" s="92"/>
      <c r="I1123" s="92">
        <v>0</v>
      </c>
      <c r="J1123" s="92">
        <v>468488</v>
      </c>
      <c r="K1123" s="92" t="s">
        <v>1061</v>
      </c>
      <c r="L1123" s="92">
        <v>144</v>
      </c>
      <c r="M1123" s="92">
        <v>149</v>
      </c>
      <c r="N1123" s="92">
        <v>0</v>
      </c>
      <c r="O1123" s="92">
        <v>0</v>
      </c>
      <c r="P1123" s="92">
        <v>0</v>
      </c>
      <c r="Q1123" s="92">
        <v>0</v>
      </c>
      <c r="R1123" s="92">
        <v>0</v>
      </c>
      <c r="S1123" s="92">
        <v>0</v>
      </c>
      <c r="T1123" s="92">
        <v>0</v>
      </c>
      <c r="U1123" s="92">
        <v>0</v>
      </c>
      <c r="V1123" s="92">
        <v>0</v>
      </c>
      <c r="W1123" s="92">
        <v>0</v>
      </c>
      <c r="X1123" s="92">
        <v>0</v>
      </c>
      <c r="Y1123" s="92">
        <v>0</v>
      </c>
      <c r="Z1123" s="92">
        <v>0</v>
      </c>
      <c r="AA1123" s="92">
        <v>0</v>
      </c>
      <c r="AB1123" s="92">
        <v>19447</v>
      </c>
      <c r="AC1123" s="92">
        <v>20099</v>
      </c>
      <c r="AD1123" s="92">
        <v>20908</v>
      </c>
      <c r="AE1123" s="92">
        <v>0</v>
      </c>
      <c r="AF1123" s="92">
        <v>0</v>
      </c>
      <c r="AG1123" s="92">
        <v>0</v>
      </c>
    </row>
    <row r="1124" spans="1:35" x14ac:dyDescent="0.25">
      <c r="A1124" t="str">
        <f t="shared" si="21"/>
        <v>21-7-182</v>
      </c>
      <c r="B1124">
        <v>21</v>
      </c>
      <c r="C1124" s="92" t="s">
        <v>1034</v>
      </c>
      <c r="D1124" s="92">
        <v>7</v>
      </c>
      <c r="E1124" s="92" t="s">
        <v>586</v>
      </c>
      <c r="F1124" s="92">
        <v>182</v>
      </c>
      <c r="G1124" s="92" t="s">
        <v>329</v>
      </c>
      <c r="H1124" s="92"/>
      <c r="I1124" s="92">
        <v>1</v>
      </c>
      <c r="J1124" s="92">
        <v>4396161</v>
      </c>
      <c r="K1124" s="92" t="s">
        <v>1061</v>
      </c>
      <c r="L1124" s="92">
        <v>215</v>
      </c>
      <c r="M1124" s="92">
        <v>86</v>
      </c>
      <c r="N1124" s="92">
        <v>27</v>
      </c>
      <c r="O1124" s="92">
        <v>27</v>
      </c>
      <c r="P1124" s="92">
        <v>0</v>
      </c>
      <c r="Q1124" s="92">
        <v>0</v>
      </c>
      <c r="R1124" s="92">
        <v>0</v>
      </c>
      <c r="S1124" s="92">
        <v>0</v>
      </c>
      <c r="T1124" s="92">
        <v>0</v>
      </c>
      <c r="U1124" s="92">
        <v>0</v>
      </c>
      <c r="V1124" s="92">
        <v>0</v>
      </c>
      <c r="W1124" s="92">
        <v>0</v>
      </c>
      <c r="X1124" s="92">
        <v>0</v>
      </c>
      <c r="Y1124" s="92">
        <v>0</v>
      </c>
      <c r="Z1124" s="92">
        <v>0</v>
      </c>
      <c r="AA1124" s="92">
        <v>0</v>
      </c>
      <c r="AB1124" s="92">
        <v>12129</v>
      </c>
      <c r="AC1124" s="92">
        <v>12955</v>
      </c>
      <c r="AD1124" s="92">
        <v>13462</v>
      </c>
      <c r="AE1124" s="92">
        <v>0</v>
      </c>
      <c r="AF1124" s="92">
        <v>0</v>
      </c>
      <c r="AG1124" s="92">
        <v>0</v>
      </c>
    </row>
    <row r="1125" spans="1:35" x14ac:dyDescent="0.25">
      <c r="A1125" t="str">
        <f t="shared" si="21"/>
        <v>1-9-96</v>
      </c>
      <c r="B1125">
        <v>1</v>
      </c>
      <c r="C1125" s="92" t="s">
        <v>1016</v>
      </c>
      <c r="D1125" s="92">
        <v>9</v>
      </c>
      <c r="E1125" s="92" t="s">
        <v>588</v>
      </c>
      <c r="F1125" s="92">
        <v>96</v>
      </c>
      <c r="G1125" s="92" t="s">
        <v>612</v>
      </c>
      <c r="H1125" s="92"/>
      <c r="I1125" s="92">
        <v>812578</v>
      </c>
      <c r="J1125" s="92">
        <v>43851762</v>
      </c>
      <c r="K1125" s="92" t="s">
        <v>1061</v>
      </c>
      <c r="L1125" s="92">
        <v>1592</v>
      </c>
      <c r="M1125" s="92">
        <v>6611</v>
      </c>
      <c r="N1125" s="92">
        <v>755</v>
      </c>
      <c r="O1125" s="92">
        <v>755</v>
      </c>
      <c r="P1125" s="92">
        <v>0</v>
      </c>
      <c r="Q1125" s="92">
        <v>0</v>
      </c>
      <c r="R1125" s="92">
        <v>0</v>
      </c>
      <c r="S1125" s="92">
        <v>113</v>
      </c>
      <c r="T1125" s="92">
        <v>0</v>
      </c>
      <c r="U1125" s="92">
        <v>0</v>
      </c>
      <c r="V1125" s="92">
        <v>0</v>
      </c>
      <c r="W1125" s="92">
        <v>0</v>
      </c>
      <c r="X1125" s="92">
        <v>0</v>
      </c>
      <c r="Y1125" s="92">
        <v>0</v>
      </c>
      <c r="Z1125" s="92">
        <v>0</v>
      </c>
      <c r="AA1125" s="92">
        <v>0</v>
      </c>
      <c r="AB1125" s="92">
        <v>4656454</v>
      </c>
      <c r="AC1125" s="92">
        <v>4830667</v>
      </c>
      <c r="AD1125" s="92">
        <v>4983628</v>
      </c>
      <c r="AE1125" s="92">
        <v>0</v>
      </c>
      <c r="AF1125" s="92">
        <v>0</v>
      </c>
      <c r="AG1125" s="92">
        <v>0</v>
      </c>
      <c r="AI1125" s="250">
        <v>1.0443640000000001E-3</v>
      </c>
    </row>
    <row r="1126" spans="1:35" x14ac:dyDescent="0.25">
      <c r="A1126" t="str">
        <f t="shared" si="21"/>
        <v>14-7-183</v>
      </c>
      <c r="B1126">
        <v>14</v>
      </c>
      <c r="C1126" s="92" t="s">
        <v>1027</v>
      </c>
      <c r="D1126" s="92">
        <v>7</v>
      </c>
      <c r="E1126" s="92" t="s">
        <v>586</v>
      </c>
      <c r="F1126" s="92">
        <v>183</v>
      </c>
      <c r="G1126" s="92" t="s">
        <v>234</v>
      </c>
      <c r="H1126" s="92"/>
      <c r="I1126" s="92">
        <v>0</v>
      </c>
      <c r="J1126" s="92">
        <v>13028445</v>
      </c>
      <c r="K1126" s="92" t="s">
        <v>1061</v>
      </c>
      <c r="L1126" s="92">
        <v>1017</v>
      </c>
      <c r="M1126" s="92">
        <v>387</v>
      </c>
      <c r="N1126" s="92">
        <v>133</v>
      </c>
      <c r="O1126" s="92">
        <v>133</v>
      </c>
      <c r="P1126" s="92">
        <v>0</v>
      </c>
      <c r="Q1126" s="92">
        <v>0</v>
      </c>
      <c r="R1126" s="92">
        <v>0</v>
      </c>
      <c r="S1126" s="92">
        <v>0</v>
      </c>
      <c r="T1126" s="92">
        <v>0</v>
      </c>
      <c r="U1126" s="92">
        <v>0</v>
      </c>
      <c r="V1126" s="92">
        <v>0</v>
      </c>
      <c r="W1126" s="92">
        <v>0</v>
      </c>
      <c r="X1126" s="92">
        <v>0</v>
      </c>
      <c r="Y1126" s="92">
        <v>0</v>
      </c>
      <c r="Z1126" s="92">
        <v>0</v>
      </c>
      <c r="AA1126" s="92">
        <v>0</v>
      </c>
      <c r="AB1126" s="92">
        <v>80805</v>
      </c>
      <c r="AC1126" s="92">
        <v>80805</v>
      </c>
      <c r="AD1126" s="92">
        <v>84583</v>
      </c>
      <c r="AE1126" s="92">
        <v>0</v>
      </c>
      <c r="AF1126" s="92">
        <v>0</v>
      </c>
      <c r="AG1126" s="92">
        <v>0</v>
      </c>
    </row>
    <row r="1127" spans="1:35" x14ac:dyDescent="0.25">
      <c r="A1127" t="str">
        <f t="shared" si="21"/>
        <v>14-9-97</v>
      </c>
      <c r="B1127">
        <v>14</v>
      </c>
      <c r="C1127" s="92" t="s">
        <v>1027</v>
      </c>
      <c r="D1127" s="92">
        <v>9</v>
      </c>
      <c r="E1127" s="92" t="s">
        <v>588</v>
      </c>
      <c r="F1127" s="92">
        <v>97</v>
      </c>
      <c r="G1127" s="92" t="s">
        <v>243</v>
      </c>
      <c r="H1127" s="92"/>
      <c r="I1127" s="92">
        <v>0</v>
      </c>
      <c r="J1127" s="92">
        <v>232000</v>
      </c>
      <c r="K1127" s="92" t="s">
        <v>1061</v>
      </c>
      <c r="L1127" s="92">
        <v>9922</v>
      </c>
      <c r="M1127" s="92">
        <v>3662</v>
      </c>
      <c r="N1127" s="92">
        <v>1118</v>
      </c>
      <c r="O1127" s="92">
        <v>1118</v>
      </c>
      <c r="P1127" s="92">
        <v>0</v>
      </c>
      <c r="Q1127" s="92">
        <v>0</v>
      </c>
      <c r="R1127" s="92">
        <v>0</v>
      </c>
      <c r="S1127" s="92">
        <v>0</v>
      </c>
      <c r="T1127" s="92">
        <v>0</v>
      </c>
      <c r="U1127" s="92">
        <v>0</v>
      </c>
      <c r="V1127" s="92">
        <v>0</v>
      </c>
      <c r="W1127" s="92">
        <v>0</v>
      </c>
      <c r="X1127" s="92">
        <v>0</v>
      </c>
      <c r="Y1127" s="92">
        <v>0</v>
      </c>
      <c r="Z1127" s="92">
        <v>0</v>
      </c>
      <c r="AA1127" s="92">
        <v>0</v>
      </c>
      <c r="AB1127" s="92">
        <v>576987</v>
      </c>
      <c r="AC1127" s="92">
        <v>609617</v>
      </c>
      <c r="AD1127" s="92">
        <v>639363</v>
      </c>
      <c r="AE1127" s="92">
        <v>0</v>
      </c>
      <c r="AF1127" s="92">
        <v>0</v>
      </c>
      <c r="AG1127" s="92">
        <v>0</v>
      </c>
      <c r="AI1127" s="250">
        <v>6.9616299999999997E-4</v>
      </c>
    </row>
    <row r="1128" spans="1:35" x14ac:dyDescent="0.25">
      <c r="A1128" t="str">
        <f t="shared" si="21"/>
        <v>14-14-42</v>
      </c>
      <c r="B1128">
        <v>14</v>
      </c>
      <c r="C1128" s="92" t="s">
        <v>1027</v>
      </c>
      <c r="D1128" s="92">
        <v>14</v>
      </c>
      <c r="E1128" s="92" t="s">
        <v>571</v>
      </c>
      <c r="F1128" s="92">
        <v>42</v>
      </c>
      <c r="G1128" s="92" t="s">
        <v>1092</v>
      </c>
      <c r="H1128" s="92"/>
      <c r="I1128" s="92">
        <v>0</v>
      </c>
      <c r="J1128" s="92">
        <v>11197579</v>
      </c>
      <c r="K1128" s="92" t="s">
        <v>1061</v>
      </c>
      <c r="L1128" s="92">
        <v>3831</v>
      </c>
      <c r="M1128" s="92">
        <v>710</v>
      </c>
      <c r="N1128" s="92">
        <v>404</v>
      </c>
      <c r="O1128" s="92">
        <v>404</v>
      </c>
      <c r="P1128" s="92">
        <v>0</v>
      </c>
      <c r="Q1128" s="92">
        <v>0</v>
      </c>
      <c r="R1128" s="92">
        <v>0</v>
      </c>
      <c r="S1128" s="92">
        <v>0</v>
      </c>
      <c r="T1128" s="92">
        <v>0</v>
      </c>
      <c r="U1128" s="92">
        <v>0</v>
      </c>
      <c r="V1128" s="92">
        <v>0</v>
      </c>
      <c r="W1128" s="92">
        <v>0</v>
      </c>
      <c r="X1128" s="92">
        <v>0</v>
      </c>
      <c r="Y1128" s="92">
        <v>0</v>
      </c>
      <c r="Z1128" s="92">
        <v>0</v>
      </c>
      <c r="AA1128" s="92">
        <v>0</v>
      </c>
      <c r="AB1128" s="92">
        <v>206619</v>
      </c>
      <c r="AC1128" s="92">
        <v>217790</v>
      </c>
      <c r="AD1128" s="92">
        <v>227345</v>
      </c>
      <c r="AE1128" s="92">
        <v>0</v>
      </c>
      <c r="AF1128" s="92">
        <v>0</v>
      </c>
      <c r="AG1128" s="92">
        <v>0</v>
      </c>
      <c r="AI1128" s="250">
        <v>3.55306E-4</v>
      </c>
    </row>
    <row r="1129" spans="1:35" x14ac:dyDescent="0.25">
      <c r="A1129" t="str">
        <f t="shared" si="21"/>
        <v>14-4-41</v>
      </c>
      <c r="B1129">
        <v>14</v>
      </c>
      <c r="C1129" s="92" t="s">
        <v>1027</v>
      </c>
      <c r="D1129" s="92">
        <v>4</v>
      </c>
      <c r="E1129" s="92" t="s">
        <v>66</v>
      </c>
      <c r="F1129" s="92">
        <v>41</v>
      </c>
      <c r="G1129" s="92" t="s">
        <v>752</v>
      </c>
      <c r="H1129" s="92"/>
      <c r="I1129" s="92">
        <v>0</v>
      </c>
      <c r="J1129" s="92">
        <v>11161300</v>
      </c>
      <c r="K1129" s="92" t="s">
        <v>1061</v>
      </c>
      <c r="L1129" s="92">
        <v>25627</v>
      </c>
      <c r="M1129" s="92">
        <v>8413</v>
      </c>
      <c r="N1129" s="92">
        <v>1918</v>
      </c>
      <c r="O1129" s="92">
        <v>1918</v>
      </c>
      <c r="P1129" s="92">
        <v>0</v>
      </c>
      <c r="Q1129" s="92">
        <v>0</v>
      </c>
      <c r="R1129" s="92">
        <v>0</v>
      </c>
      <c r="S1129" s="92">
        <v>0</v>
      </c>
      <c r="T1129" s="92">
        <v>0</v>
      </c>
      <c r="U1129" s="92">
        <v>0</v>
      </c>
      <c r="V1129" s="92">
        <v>0</v>
      </c>
      <c r="W1129" s="92">
        <v>0</v>
      </c>
      <c r="X1129" s="92">
        <v>0</v>
      </c>
      <c r="Y1129" s="92">
        <v>0</v>
      </c>
      <c r="Z1129" s="92">
        <v>0</v>
      </c>
      <c r="AA1129" s="92">
        <v>0</v>
      </c>
      <c r="AB1129" s="92">
        <v>25059</v>
      </c>
      <c r="AC1129" s="92">
        <v>26384</v>
      </c>
      <c r="AD1129" s="92">
        <v>27517</v>
      </c>
      <c r="AE1129" s="92">
        <v>0</v>
      </c>
      <c r="AF1129" s="92">
        <v>0</v>
      </c>
      <c r="AG1129" s="92">
        <v>0</v>
      </c>
    </row>
    <row r="1130" spans="1:35" x14ac:dyDescent="0.25">
      <c r="A1130" t="str">
        <f t="shared" si="21"/>
        <v>8-9-179</v>
      </c>
      <c r="B1130">
        <v>8</v>
      </c>
      <c r="C1130" s="92" t="s">
        <v>1021</v>
      </c>
      <c r="D1130" s="92">
        <v>9</v>
      </c>
      <c r="E1130" s="92" t="s">
        <v>588</v>
      </c>
      <c r="F1130" s="92">
        <v>179</v>
      </c>
      <c r="G1130" s="92" t="s">
        <v>705</v>
      </c>
      <c r="H1130" s="92"/>
      <c r="I1130" s="92">
        <v>0</v>
      </c>
      <c r="J1130" s="92">
        <v>0</v>
      </c>
      <c r="K1130" s="92" t="s">
        <v>1061</v>
      </c>
      <c r="L1130" s="92">
        <v>0</v>
      </c>
      <c r="M1130" s="92">
        <v>105</v>
      </c>
      <c r="N1130" s="92">
        <v>7</v>
      </c>
      <c r="O1130" s="92">
        <v>7</v>
      </c>
      <c r="P1130" s="92">
        <v>0</v>
      </c>
      <c r="Q1130" s="92">
        <v>0</v>
      </c>
      <c r="R1130" s="92">
        <v>0</v>
      </c>
      <c r="S1130" s="92">
        <v>0</v>
      </c>
      <c r="T1130" s="92">
        <v>0</v>
      </c>
      <c r="U1130" s="92">
        <v>0</v>
      </c>
      <c r="V1130" s="92">
        <v>0</v>
      </c>
      <c r="W1130" s="92">
        <v>0</v>
      </c>
      <c r="X1130" s="92">
        <v>0</v>
      </c>
      <c r="Y1130" s="92">
        <v>0</v>
      </c>
      <c r="Z1130" s="92">
        <v>0</v>
      </c>
      <c r="AA1130" s="92">
        <v>0</v>
      </c>
      <c r="AB1130" s="92">
        <v>215900</v>
      </c>
      <c r="AC1130" s="92">
        <v>226469</v>
      </c>
      <c r="AD1130" s="92">
        <v>237445</v>
      </c>
      <c r="AE1130" s="92">
        <v>0</v>
      </c>
      <c r="AF1130" s="92">
        <v>0</v>
      </c>
      <c r="AG1130" s="92">
        <v>0</v>
      </c>
      <c r="AI1130" s="250">
        <v>9.1945600000000003E-4</v>
      </c>
    </row>
    <row r="1131" spans="1:35" x14ac:dyDescent="0.25">
      <c r="A1131" t="str">
        <f t="shared" si="21"/>
        <v>22-7-184</v>
      </c>
      <c r="B1131">
        <v>22</v>
      </c>
      <c r="C1131" s="92" t="s">
        <v>1035</v>
      </c>
      <c r="D1131" s="92">
        <v>7</v>
      </c>
      <c r="E1131" s="92" t="s">
        <v>586</v>
      </c>
      <c r="F1131" s="92">
        <v>184</v>
      </c>
      <c r="G1131" s="92" t="s">
        <v>842</v>
      </c>
      <c r="H1131" s="92"/>
      <c r="I1131" s="92">
        <v>14</v>
      </c>
      <c r="J1131" s="92">
        <v>6820348</v>
      </c>
      <c r="K1131" s="92" t="s">
        <v>1061</v>
      </c>
      <c r="L1131" s="92">
        <v>1138</v>
      </c>
      <c r="M1131" s="92">
        <v>283</v>
      </c>
      <c r="N1131" s="92">
        <v>35</v>
      </c>
      <c r="O1131" s="92">
        <v>35</v>
      </c>
      <c r="P1131" s="92">
        <v>0</v>
      </c>
      <c r="Q1131" s="92">
        <v>0</v>
      </c>
      <c r="R1131" s="92">
        <v>0</v>
      </c>
      <c r="S1131" s="92">
        <v>0</v>
      </c>
      <c r="T1131" s="92">
        <v>0</v>
      </c>
      <c r="U1131" s="92">
        <v>0</v>
      </c>
      <c r="V1131" s="92">
        <v>0</v>
      </c>
      <c r="W1131" s="92">
        <v>0</v>
      </c>
      <c r="X1131" s="92">
        <v>0</v>
      </c>
      <c r="Y1131" s="92">
        <v>0</v>
      </c>
      <c r="Z1131" s="92">
        <v>0</v>
      </c>
      <c r="AA1131" s="92">
        <v>0</v>
      </c>
      <c r="AB1131" s="92">
        <v>50220</v>
      </c>
      <c r="AC1131" s="92">
        <v>53378</v>
      </c>
      <c r="AD1131" s="92">
        <v>56922</v>
      </c>
      <c r="AE1131" s="92">
        <v>0</v>
      </c>
      <c r="AF1131" s="92">
        <v>0</v>
      </c>
      <c r="AG1131" s="92">
        <v>0</v>
      </c>
    </row>
    <row r="1132" spans="1:35" x14ac:dyDescent="0.25">
      <c r="A1132" t="str">
        <f t="shared" si="21"/>
        <v>30-20-25</v>
      </c>
      <c r="B1132">
        <v>30</v>
      </c>
      <c r="C1132" s="92" t="s">
        <v>1043</v>
      </c>
      <c r="D1132" s="92">
        <v>20</v>
      </c>
      <c r="E1132" s="92" t="s">
        <v>153</v>
      </c>
      <c r="F1132" s="92">
        <v>25</v>
      </c>
      <c r="G1132" s="92" t="s">
        <v>456</v>
      </c>
      <c r="H1132" s="92"/>
      <c r="I1132" s="92">
        <v>0</v>
      </c>
      <c r="J1132" s="92">
        <v>87915</v>
      </c>
      <c r="K1132" s="92" t="s">
        <v>1061</v>
      </c>
      <c r="L1132" s="92">
        <v>0</v>
      </c>
      <c r="M1132" s="92">
        <v>455</v>
      </c>
      <c r="N1132" s="92">
        <v>1</v>
      </c>
      <c r="O1132" s="92">
        <v>1</v>
      </c>
      <c r="P1132" s="92">
        <v>0</v>
      </c>
      <c r="Q1132" s="92">
        <v>0</v>
      </c>
      <c r="R1132" s="92">
        <v>0</v>
      </c>
      <c r="S1132" s="92">
        <v>0</v>
      </c>
      <c r="T1132" s="92">
        <v>0</v>
      </c>
      <c r="U1132" s="92">
        <v>0</v>
      </c>
      <c r="V1132" s="92">
        <v>0</v>
      </c>
      <c r="W1132" s="92">
        <v>0</v>
      </c>
      <c r="X1132" s="92">
        <v>0</v>
      </c>
      <c r="Y1132" s="92">
        <v>0</v>
      </c>
      <c r="Z1132" s="92">
        <v>0</v>
      </c>
      <c r="AA1132" s="92">
        <v>0</v>
      </c>
      <c r="AB1132" s="92">
        <v>57200</v>
      </c>
      <c r="AC1132" s="92">
        <v>60091</v>
      </c>
      <c r="AD1132" s="92">
        <v>61907</v>
      </c>
      <c r="AE1132" s="92">
        <v>0</v>
      </c>
      <c r="AF1132" s="92">
        <v>0</v>
      </c>
      <c r="AG1132" s="92">
        <v>0</v>
      </c>
    </row>
    <row r="1133" spans="1:35" x14ac:dyDescent="0.25">
      <c r="A1133" t="str">
        <f t="shared" si="21"/>
        <v>31-9-185</v>
      </c>
      <c r="B1133">
        <v>31</v>
      </c>
      <c r="C1133" s="92" t="s">
        <v>1044</v>
      </c>
      <c r="D1133" s="92">
        <v>9</v>
      </c>
      <c r="E1133" s="92" t="s">
        <v>588</v>
      </c>
      <c r="F1133" s="92">
        <v>185</v>
      </c>
      <c r="G1133" s="92" t="s">
        <v>464</v>
      </c>
      <c r="H1133" s="92"/>
      <c r="I1133" s="92">
        <v>1749</v>
      </c>
      <c r="J1133" s="92">
        <v>3850405</v>
      </c>
      <c r="K1133" s="92" t="s">
        <v>1061</v>
      </c>
      <c r="L1133" s="92">
        <v>0</v>
      </c>
      <c r="M1133" s="92">
        <v>133</v>
      </c>
      <c r="N1133" s="92">
        <v>71</v>
      </c>
      <c r="O1133" s="92">
        <v>71</v>
      </c>
      <c r="P1133" s="92">
        <v>0</v>
      </c>
      <c r="Q1133" s="92">
        <v>0</v>
      </c>
      <c r="R1133" s="92">
        <v>0</v>
      </c>
      <c r="S1133" s="92">
        <v>0</v>
      </c>
      <c r="T1133" s="92">
        <v>0</v>
      </c>
      <c r="U1133" s="92">
        <v>0</v>
      </c>
      <c r="V1133" s="92">
        <v>0</v>
      </c>
      <c r="W1133" s="92">
        <v>0</v>
      </c>
      <c r="X1133" s="92">
        <v>0</v>
      </c>
      <c r="Y1133" s="92">
        <v>0</v>
      </c>
      <c r="Z1133" s="92">
        <v>0</v>
      </c>
      <c r="AA1133" s="92">
        <v>0</v>
      </c>
      <c r="AB1133" s="92">
        <v>55567</v>
      </c>
      <c r="AC1133" s="92">
        <v>57472</v>
      </c>
      <c r="AD1133" s="92">
        <v>59424</v>
      </c>
      <c r="AE1133" s="92">
        <v>0</v>
      </c>
      <c r="AF1133" s="92">
        <v>0</v>
      </c>
      <c r="AG1133" s="92">
        <v>0</v>
      </c>
      <c r="AI1133" s="250">
        <v>5.2784399999999997E-4</v>
      </c>
    </row>
    <row r="1134" spans="1:35" x14ac:dyDescent="0.25">
      <c r="A1134" t="str">
        <f t="shared" si="21"/>
        <v>25-7-185</v>
      </c>
      <c r="B1134">
        <v>25</v>
      </c>
      <c r="C1134" s="92" t="s">
        <v>1038</v>
      </c>
      <c r="D1134" s="92">
        <v>7</v>
      </c>
      <c r="E1134" s="92" t="s">
        <v>586</v>
      </c>
      <c r="F1134" s="92">
        <v>185</v>
      </c>
      <c r="G1134" s="92" t="s">
        <v>377</v>
      </c>
      <c r="H1134" s="92"/>
      <c r="I1134" s="92">
        <v>232</v>
      </c>
      <c r="J1134" s="92">
        <v>53021</v>
      </c>
      <c r="K1134" s="92" t="s">
        <v>1061</v>
      </c>
      <c r="L1134" s="92">
        <v>122</v>
      </c>
      <c r="M1134" s="92">
        <v>15</v>
      </c>
      <c r="N1134" s="92">
        <v>0</v>
      </c>
      <c r="O1134" s="92">
        <v>0</v>
      </c>
      <c r="P1134" s="92">
        <v>0</v>
      </c>
      <c r="Q1134" s="92">
        <v>0</v>
      </c>
      <c r="R1134" s="92">
        <v>0</v>
      </c>
      <c r="S1134" s="92">
        <v>0</v>
      </c>
      <c r="T1134" s="92">
        <v>0</v>
      </c>
      <c r="U1134" s="92">
        <v>0</v>
      </c>
      <c r="V1134" s="92">
        <v>0</v>
      </c>
      <c r="W1134" s="92">
        <v>0</v>
      </c>
      <c r="X1134" s="92">
        <v>0</v>
      </c>
      <c r="Y1134" s="92">
        <v>0</v>
      </c>
      <c r="Z1134" s="92">
        <v>0</v>
      </c>
      <c r="AA1134" s="92">
        <v>0</v>
      </c>
      <c r="AB1134" s="92">
        <v>2794</v>
      </c>
      <c r="AC1134" s="92">
        <v>2882</v>
      </c>
      <c r="AD1134" s="92">
        <v>2973</v>
      </c>
      <c r="AE1134" s="92">
        <v>0</v>
      </c>
      <c r="AF1134" s="92">
        <v>0</v>
      </c>
      <c r="AG1134" s="92">
        <v>0</v>
      </c>
    </row>
    <row r="1135" spans="1:35" x14ac:dyDescent="0.25">
      <c r="A1135" t="str">
        <f t="shared" si="21"/>
        <v>29-7-186</v>
      </c>
      <c r="B1135">
        <v>29</v>
      </c>
      <c r="C1135" s="92" t="s">
        <v>1042</v>
      </c>
      <c r="D1135" s="92">
        <v>7</v>
      </c>
      <c r="E1135" s="92" t="s">
        <v>586</v>
      </c>
      <c r="F1135" s="92">
        <v>186</v>
      </c>
      <c r="G1135" s="92" t="s">
        <v>904</v>
      </c>
      <c r="H1135" s="92"/>
      <c r="I1135" s="92">
        <v>2255</v>
      </c>
      <c r="J1135" s="92">
        <v>1280166</v>
      </c>
      <c r="K1135" s="92" t="s">
        <v>1061</v>
      </c>
      <c r="L1135" s="92">
        <v>241</v>
      </c>
      <c r="M1135" s="92">
        <v>145</v>
      </c>
      <c r="N1135" s="92">
        <v>43</v>
      </c>
      <c r="O1135" s="92">
        <v>43</v>
      </c>
      <c r="P1135" s="92">
        <v>0</v>
      </c>
      <c r="Q1135" s="92">
        <v>0</v>
      </c>
      <c r="R1135" s="92">
        <v>0</v>
      </c>
      <c r="S1135" s="92">
        <v>6.09</v>
      </c>
      <c r="T1135" s="92">
        <v>10</v>
      </c>
      <c r="U1135" s="92">
        <v>0</v>
      </c>
      <c r="V1135" s="92">
        <v>0</v>
      </c>
      <c r="W1135" s="92">
        <v>0</v>
      </c>
      <c r="X1135" s="92">
        <v>0</v>
      </c>
      <c r="Y1135" s="92">
        <v>0</v>
      </c>
      <c r="Z1135" s="92">
        <v>0</v>
      </c>
      <c r="AA1135" s="92">
        <v>0</v>
      </c>
      <c r="AB1135" s="92">
        <v>15410</v>
      </c>
      <c r="AC1135" s="92">
        <v>15410</v>
      </c>
      <c r="AD1135" s="92">
        <v>15420</v>
      </c>
      <c r="AE1135" s="92">
        <v>0</v>
      </c>
      <c r="AF1135" s="92">
        <v>0</v>
      </c>
      <c r="AG1135" s="92">
        <v>0</v>
      </c>
    </row>
    <row r="1136" spans="1:35" x14ac:dyDescent="0.25">
      <c r="A1136" t="str">
        <f t="shared" si="21"/>
        <v>25-7-187</v>
      </c>
      <c r="B1136">
        <v>25</v>
      </c>
      <c r="C1136" s="92" t="s">
        <v>1038</v>
      </c>
      <c r="D1136" s="92">
        <v>7</v>
      </c>
      <c r="E1136" s="92" t="s">
        <v>586</v>
      </c>
      <c r="F1136" s="92">
        <v>187</v>
      </c>
      <c r="G1136" s="92" t="s">
        <v>378</v>
      </c>
      <c r="H1136" s="92"/>
      <c r="I1136" s="92">
        <v>75</v>
      </c>
      <c r="J1136" s="92">
        <v>578233</v>
      </c>
      <c r="K1136" s="92" t="s">
        <v>1061</v>
      </c>
      <c r="L1136" s="92">
        <v>61</v>
      </c>
      <c r="M1136" s="92">
        <v>14</v>
      </c>
      <c r="N1136" s="92">
        <v>0</v>
      </c>
      <c r="O1136" s="92">
        <v>0</v>
      </c>
      <c r="P1136" s="92">
        <v>0</v>
      </c>
      <c r="Q1136" s="92">
        <v>0</v>
      </c>
      <c r="R1136" s="92">
        <v>0</v>
      </c>
      <c r="S1136" s="92">
        <v>0</v>
      </c>
      <c r="T1136" s="92">
        <v>0</v>
      </c>
      <c r="U1136" s="92">
        <v>0</v>
      </c>
      <c r="V1136" s="92">
        <v>0</v>
      </c>
      <c r="W1136" s="92">
        <v>0</v>
      </c>
      <c r="X1136" s="92">
        <v>0</v>
      </c>
      <c r="Y1136" s="92">
        <v>0</v>
      </c>
      <c r="Z1136" s="92">
        <v>0</v>
      </c>
      <c r="AA1136" s="92">
        <v>0</v>
      </c>
      <c r="AB1136" s="92">
        <v>2911</v>
      </c>
      <c r="AC1136" s="92">
        <v>3043</v>
      </c>
      <c r="AD1136" s="92">
        <v>3043</v>
      </c>
      <c r="AE1136" s="92">
        <v>0</v>
      </c>
      <c r="AF1136" s="92">
        <v>0</v>
      </c>
      <c r="AG1136" s="92">
        <v>0</v>
      </c>
    </row>
    <row r="1137" spans="1:35" x14ac:dyDescent="0.25">
      <c r="A1137" t="str">
        <f t="shared" si="21"/>
        <v>6-7-188</v>
      </c>
      <c r="B1137">
        <v>6</v>
      </c>
      <c r="C1137" s="92" t="s">
        <v>1020</v>
      </c>
      <c r="D1137" s="92">
        <v>7</v>
      </c>
      <c r="E1137" s="92" t="s">
        <v>586</v>
      </c>
      <c r="F1137" s="92">
        <v>188</v>
      </c>
      <c r="G1137" s="92" t="s">
        <v>147</v>
      </c>
      <c r="H1137" s="92"/>
      <c r="I1137" s="92">
        <v>1215</v>
      </c>
      <c r="J1137" s="92">
        <v>4581298</v>
      </c>
      <c r="K1137" s="92">
        <v>1</v>
      </c>
      <c r="L1137" s="92">
        <v>155</v>
      </c>
      <c r="M1137" s="92">
        <v>63</v>
      </c>
      <c r="N1137" s="92">
        <v>39</v>
      </c>
      <c r="O1137" s="92">
        <v>39</v>
      </c>
      <c r="P1137" s="92">
        <v>0</v>
      </c>
      <c r="Q1137" s="92">
        <v>0</v>
      </c>
      <c r="R1137" s="92">
        <v>0</v>
      </c>
      <c r="S1137" s="92">
        <v>0</v>
      </c>
      <c r="T1137" s="92">
        <v>0</v>
      </c>
      <c r="U1137" s="92">
        <v>0</v>
      </c>
      <c r="V1137" s="92">
        <v>0</v>
      </c>
      <c r="W1137" s="92">
        <v>0</v>
      </c>
      <c r="X1137" s="92">
        <v>0</v>
      </c>
      <c r="Y1137" s="92">
        <v>0</v>
      </c>
      <c r="Z1137" s="92">
        <v>0</v>
      </c>
      <c r="AA1137" s="92">
        <v>0</v>
      </c>
      <c r="AB1137" s="92">
        <v>11038</v>
      </c>
      <c r="AC1137" s="92">
        <v>11942</v>
      </c>
      <c r="AD1137" s="92">
        <v>11942</v>
      </c>
      <c r="AE1137" s="92">
        <v>0</v>
      </c>
      <c r="AF1137" s="92">
        <v>0</v>
      </c>
      <c r="AG1137" s="92">
        <v>0</v>
      </c>
    </row>
    <row r="1138" spans="1:35" x14ac:dyDescent="0.25">
      <c r="A1138" t="str">
        <f t="shared" si="21"/>
        <v>10-7-188</v>
      </c>
      <c r="B1138">
        <v>10</v>
      </c>
      <c r="C1138" s="92" t="s">
        <v>1023</v>
      </c>
      <c r="D1138" s="92">
        <v>7</v>
      </c>
      <c r="E1138" s="92" t="s">
        <v>586</v>
      </c>
      <c r="F1138" s="92">
        <v>188</v>
      </c>
      <c r="G1138" s="92" t="s">
        <v>147</v>
      </c>
      <c r="H1138" s="92"/>
      <c r="I1138" s="92">
        <v>1215</v>
      </c>
      <c r="J1138" s="92">
        <v>1374685</v>
      </c>
      <c r="K1138" s="92">
        <v>1</v>
      </c>
      <c r="L1138" s="92">
        <v>155</v>
      </c>
      <c r="M1138" s="92">
        <v>63</v>
      </c>
      <c r="N1138" s="92">
        <v>39</v>
      </c>
      <c r="O1138" s="92">
        <v>39</v>
      </c>
      <c r="P1138" s="92">
        <v>0</v>
      </c>
      <c r="Q1138" s="92">
        <v>0</v>
      </c>
      <c r="R1138" s="92">
        <v>0</v>
      </c>
      <c r="S1138" s="92">
        <v>0</v>
      </c>
      <c r="T1138" s="92">
        <v>0</v>
      </c>
      <c r="U1138" s="92">
        <v>0</v>
      </c>
      <c r="V1138" s="92">
        <v>0</v>
      </c>
      <c r="W1138" s="92">
        <v>0</v>
      </c>
      <c r="X1138" s="92">
        <v>0</v>
      </c>
      <c r="Y1138" s="92">
        <v>0</v>
      </c>
      <c r="Z1138" s="92">
        <v>0</v>
      </c>
      <c r="AA1138" s="92">
        <v>0</v>
      </c>
      <c r="AB1138" s="92">
        <v>11038</v>
      </c>
      <c r="AC1138" s="92">
        <v>11942</v>
      </c>
      <c r="AD1138" s="92">
        <v>11942</v>
      </c>
      <c r="AE1138" s="92">
        <v>0</v>
      </c>
      <c r="AF1138" s="92">
        <v>0</v>
      </c>
      <c r="AG1138" s="92">
        <v>0</v>
      </c>
    </row>
    <row r="1139" spans="1:35" x14ac:dyDescent="0.25">
      <c r="A1139" t="str">
        <f t="shared" si="21"/>
        <v>28-9-100</v>
      </c>
      <c r="B1139">
        <v>28</v>
      </c>
      <c r="C1139" s="92" t="s">
        <v>1041</v>
      </c>
      <c r="D1139" s="92">
        <v>9</v>
      </c>
      <c r="E1139" s="92" t="s">
        <v>588</v>
      </c>
      <c r="F1139" s="92">
        <v>100</v>
      </c>
      <c r="G1139" s="92" t="s">
        <v>424</v>
      </c>
      <c r="H1139" s="92"/>
      <c r="I1139" s="92">
        <v>14146</v>
      </c>
      <c r="J1139" s="92">
        <v>0</v>
      </c>
      <c r="K1139" s="92" t="s">
        <v>1061</v>
      </c>
      <c r="L1139" s="92">
        <v>4162</v>
      </c>
      <c r="M1139" s="92">
        <v>2005</v>
      </c>
      <c r="N1139" s="92">
        <v>269</v>
      </c>
      <c r="O1139" s="92">
        <v>269</v>
      </c>
      <c r="P1139" s="92">
        <v>0</v>
      </c>
      <c r="Q1139" s="92">
        <v>0</v>
      </c>
      <c r="R1139" s="92">
        <v>0</v>
      </c>
      <c r="S1139" s="92">
        <v>0</v>
      </c>
      <c r="T1139" s="92">
        <v>0</v>
      </c>
      <c r="U1139" s="92">
        <v>0</v>
      </c>
      <c r="V1139" s="92">
        <v>0</v>
      </c>
      <c r="W1139" s="92">
        <v>0</v>
      </c>
      <c r="X1139" s="92">
        <v>0</v>
      </c>
      <c r="Y1139" s="92">
        <v>0</v>
      </c>
      <c r="Z1139" s="92">
        <v>0</v>
      </c>
      <c r="AA1139" s="92">
        <v>0</v>
      </c>
      <c r="AB1139" s="92">
        <v>1105436</v>
      </c>
      <c r="AC1139" s="92">
        <v>1165049</v>
      </c>
      <c r="AD1139" s="92">
        <v>1200194</v>
      </c>
      <c r="AE1139" s="92">
        <v>0</v>
      </c>
      <c r="AF1139" s="92">
        <v>0</v>
      </c>
      <c r="AG1139" s="92">
        <v>0</v>
      </c>
      <c r="AI1139" s="250">
        <v>4.7066799999999999E-4</v>
      </c>
    </row>
    <row r="1140" spans="1:35" x14ac:dyDescent="0.25">
      <c r="A1140" t="str">
        <f t="shared" si="21"/>
        <v>28-11-68</v>
      </c>
      <c r="B1140">
        <v>28</v>
      </c>
      <c r="C1140" s="92" t="s">
        <v>1041</v>
      </c>
      <c r="D1140" s="92">
        <v>11</v>
      </c>
      <c r="E1140" s="92" t="s">
        <v>1062</v>
      </c>
      <c r="F1140" s="92">
        <v>68</v>
      </c>
      <c r="G1140" s="92" t="s">
        <v>427</v>
      </c>
      <c r="H1140" s="92"/>
      <c r="I1140" s="92">
        <v>0</v>
      </c>
      <c r="J1140" s="92">
        <v>42559160</v>
      </c>
      <c r="K1140" s="92" t="s">
        <v>1061</v>
      </c>
      <c r="L1140" s="92">
        <v>5576</v>
      </c>
      <c r="M1140" s="92">
        <v>9859</v>
      </c>
      <c r="N1140" s="92">
        <v>1397</v>
      </c>
      <c r="O1140" s="92">
        <v>1189</v>
      </c>
      <c r="P1140" s="92">
        <v>0</v>
      </c>
      <c r="Q1140" s="92">
        <v>0</v>
      </c>
      <c r="R1140" s="92">
        <v>0</v>
      </c>
      <c r="S1140" s="92">
        <v>0</v>
      </c>
      <c r="T1140" s="92">
        <v>0</v>
      </c>
      <c r="U1140" s="92">
        <v>570</v>
      </c>
      <c r="V1140" s="92">
        <v>0</v>
      </c>
      <c r="W1140" s="92">
        <v>0</v>
      </c>
      <c r="X1140" s="92">
        <v>0</v>
      </c>
      <c r="Y1140" s="92">
        <v>0</v>
      </c>
      <c r="Z1140" s="92">
        <v>0</v>
      </c>
      <c r="AA1140" s="92">
        <v>0</v>
      </c>
      <c r="AB1140" s="92">
        <v>3136936</v>
      </c>
      <c r="AC1140" s="92">
        <v>3273116</v>
      </c>
      <c r="AD1140" s="92">
        <v>3543592</v>
      </c>
      <c r="AE1140" s="92">
        <v>0</v>
      </c>
      <c r="AF1140" s="92">
        <v>0</v>
      </c>
      <c r="AG1140" s="92">
        <v>88138</v>
      </c>
    </row>
    <row r="1141" spans="1:35" x14ac:dyDescent="0.25">
      <c r="A1141" t="str">
        <f t="shared" si="21"/>
        <v>43-9-140</v>
      </c>
      <c r="B1141">
        <v>43</v>
      </c>
      <c r="C1141" s="92" t="s">
        <v>1053</v>
      </c>
      <c r="D1141" s="92">
        <v>9</v>
      </c>
      <c r="E1141" s="92" t="s">
        <v>588</v>
      </c>
      <c r="F1141" s="92">
        <v>140</v>
      </c>
      <c r="G1141" s="92" t="s">
        <v>570</v>
      </c>
      <c r="H1141" s="92"/>
      <c r="I1141" s="92">
        <v>586</v>
      </c>
      <c r="J1141" s="92">
        <v>0</v>
      </c>
      <c r="K1141" s="92" t="s">
        <v>1061</v>
      </c>
      <c r="L1141" s="92">
        <v>0</v>
      </c>
      <c r="M1141" s="92">
        <v>288</v>
      </c>
      <c r="N1141" s="92">
        <v>0</v>
      </c>
      <c r="O1141" s="92">
        <v>0</v>
      </c>
      <c r="P1141" s="92">
        <v>0</v>
      </c>
      <c r="Q1141" s="92">
        <v>0</v>
      </c>
      <c r="R1141" s="92">
        <v>0</v>
      </c>
      <c r="S1141" s="92">
        <v>0</v>
      </c>
      <c r="T1141" s="92">
        <v>0</v>
      </c>
      <c r="U1141" s="92">
        <v>0</v>
      </c>
      <c r="V1141" s="92">
        <v>0</v>
      </c>
      <c r="W1141" s="92">
        <v>0</v>
      </c>
      <c r="X1141" s="92">
        <v>0</v>
      </c>
      <c r="Y1141" s="92">
        <v>0</v>
      </c>
      <c r="Z1141" s="92">
        <v>0</v>
      </c>
      <c r="AA1141" s="92">
        <v>0</v>
      </c>
      <c r="AB1141" s="92">
        <v>19509</v>
      </c>
      <c r="AC1141" s="92">
        <v>21139</v>
      </c>
      <c r="AD1141" s="92">
        <v>20521</v>
      </c>
      <c r="AE1141" s="92">
        <v>0</v>
      </c>
      <c r="AF1141" s="92">
        <v>618</v>
      </c>
      <c r="AG1141" s="92">
        <v>0</v>
      </c>
      <c r="AI1141" s="250">
        <v>9.1073100000000002E-4</v>
      </c>
    </row>
    <row r="1142" spans="1:35" x14ac:dyDescent="0.25">
      <c r="M1142" s="92"/>
    </row>
  </sheetData>
  <sheetProtection algorithmName="SHA-512" hashValue="gLlLb1ga1A+1I53alLxLqQRRlzFRai29SVTvjhjxHNaSfp5PRF4dVRNTWWc9ug7ATDGcLzO9EiTp0gSXAanCfQ==" saltValue="a64caDmgUi3phOf+HbwnMw==" spinCount="100000" sheet="1" objects="1" scenarios="1"/>
  <autoFilter ref="C1:AF1141" xr:uid="{DB489A29-5E5E-43AB-BCF2-5F746508E22C}"/>
  <sortState xmlns:xlrd2="http://schemas.microsoft.com/office/spreadsheetml/2017/richdata2" ref="A2:AH1145">
    <sortCondition ref="G2:G1145"/>
  </sortState>
  <phoneticPr fontId="26" type="noConversion"/>
  <conditionalFormatting sqref="O2:O1141">
    <cfRule type="expression" dxfId="171" priority="3">
      <formula>O2&lt;&gt;N2</formula>
    </cfRule>
  </conditionalFormatting>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27242-BE5D-40CC-B8EC-D3767A89628D}">
  <dimension ref="A1:AR80"/>
  <sheetViews>
    <sheetView topLeftCell="F1" workbookViewId="0">
      <selection activeCell="L28" sqref="L28"/>
    </sheetView>
  </sheetViews>
  <sheetFormatPr defaultRowHeight="15.75" x14ac:dyDescent="0.25"/>
  <cols>
    <col min="1" max="1" width="27.125" bestFit="1" customWidth="1"/>
    <col min="2" max="2" width="24.5" bestFit="1" customWidth="1"/>
    <col min="3" max="3" width="20.75" bestFit="1" customWidth="1"/>
    <col min="4" max="4" width="34.625" bestFit="1" customWidth="1"/>
    <col min="5" max="5" width="23.25" bestFit="1" customWidth="1"/>
    <col min="6" max="8" width="34.625" bestFit="1" customWidth="1"/>
    <col min="9" max="9" width="24.25" bestFit="1" customWidth="1"/>
    <col min="10" max="11" width="34.625" bestFit="1" customWidth="1"/>
    <col min="12" max="12" width="24.25" bestFit="1" customWidth="1"/>
    <col min="13" max="13" width="21.25" bestFit="1" customWidth="1"/>
    <col min="14" max="14" width="27.125" bestFit="1" customWidth="1"/>
    <col min="15" max="15" width="34.625" bestFit="1" customWidth="1"/>
    <col min="16" max="16" width="26.375" bestFit="1" customWidth="1"/>
    <col min="17" max="17" width="19.25" bestFit="1" customWidth="1"/>
    <col min="18" max="18" width="23.75" bestFit="1" customWidth="1"/>
    <col min="19" max="19" width="21.875" bestFit="1" customWidth="1"/>
    <col min="20" max="20" width="26.875" bestFit="1" customWidth="1"/>
    <col min="21" max="21" width="23.5" bestFit="1" customWidth="1"/>
    <col min="22" max="23" width="34.625" bestFit="1" customWidth="1"/>
    <col min="24" max="24" width="22.75" bestFit="1" customWidth="1"/>
    <col min="25" max="25" width="25.75" bestFit="1" customWidth="1"/>
    <col min="26" max="26" width="34.625" bestFit="1" customWidth="1"/>
    <col min="27" max="27" width="20.5" bestFit="1" customWidth="1"/>
    <col min="28" max="28" width="28" bestFit="1" customWidth="1"/>
    <col min="29" max="29" width="25.75" bestFit="1" customWidth="1"/>
    <col min="30" max="30" width="18.25" bestFit="1" customWidth="1"/>
    <col min="31" max="31" width="22.5" bestFit="1" customWidth="1"/>
    <col min="32" max="32" width="22.25" bestFit="1" customWidth="1"/>
    <col min="33" max="33" width="34.625" bestFit="1" customWidth="1"/>
    <col min="34" max="34" width="23.75" bestFit="1" customWidth="1"/>
    <col min="35" max="35" width="19.875" bestFit="1" customWidth="1"/>
    <col min="36" max="36" width="19.75" bestFit="1" customWidth="1"/>
    <col min="37" max="37" width="26.875" bestFit="1" customWidth="1"/>
    <col min="38" max="38" width="23.625" bestFit="1" customWidth="1"/>
    <col min="39" max="39" width="26.5" bestFit="1" customWidth="1"/>
    <col min="40" max="40" width="28" bestFit="1" customWidth="1"/>
    <col min="41" max="41" width="34.625" bestFit="1" customWidth="1"/>
    <col min="42" max="42" width="21" bestFit="1" customWidth="1"/>
    <col min="43" max="43" width="34.625" bestFit="1" customWidth="1"/>
    <col min="44" max="44" width="25.875" bestFit="1" customWidth="1"/>
  </cols>
  <sheetData>
    <row r="1" spans="1:44" x14ac:dyDescent="0.25">
      <c r="A1" t="s">
        <v>1016</v>
      </c>
      <c r="B1" t="s">
        <v>1017</v>
      </c>
      <c r="C1" t="s">
        <v>1018</v>
      </c>
      <c r="D1" t="s">
        <v>1194</v>
      </c>
      <c r="E1" t="s">
        <v>1019</v>
      </c>
      <c r="F1" t="s">
        <v>1020</v>
      </c>
      <c r="G1" t="s">
        <v>1057</v>
      </c>
      <c r="H1" t="s">
        <v>1021</v>
      </c>
      <c r="I1" t="s">
        <v>1022</v>
      </c>
      <c r="J1" t="s">
        <v>1023</v>
      </c>
      <c r="K1" t="s">
        <v>1024</v>
      </c>
      <c r="L1" t="s">
        <v>1025</v>
      </c>
      <c r="M1" t="s">
        <v>1026</v>
      </c>
      <c r="N1" t="s">
        <v>1027</v>
      </c>
      <c r="O1" t="s">
        <v>1028</v>
      </c>
      <c r="P1" t="s">
        <v>1029</v>
      </c>
      <c r="Q1" t="s">
        <v>1030</v>
      </c>
      <c r="R1" t="s">
        <v>1031</v>
      </c>
      <c r="S1" t="s">
        <v>1032</v>
      </c>
      <c r="T1" t="s">
        <v>1033</v>
      </c>
      <c r="U1" t="s">
        <v>1034</v>
      </c>
      <c r="V1" t="s">
        <v>1035</v>
      </c>
      <c r="W1" t="s">
        <v>1036</v>
      </c>
      <c r="X1" t="s">
        <v>1037</v>
      </c>
      <c r="Y1" t="s">
        <v>1038</v>
      </c>
      <c r="Z1" t="s">
        <v>1039</v>
      </c>
      <c r="AA1" t="s">
        <v>1040</v>
      </c>
      <c r="AB1" t="s">
        <v>1041</v>
      </c>
      <c r="AC1" t="s">
        <v>1042</v>
      </c>
      <c r="AD1" t="s">
        <v>1043</v>
      </c>
      <c r="AE1" t="s">
        <v>1044</v>
      </c>
      <c r="AF1" t="s">
        <v>1045</v>
      </c>
      <c r="AG1" t="s">
        <v>1046</v>
      </c>
      <c r="AH1" t="s">
        <v>1047</v>
      </c>
      <c r="AI1" t="s">
        <v>1195</v>
      </c>
      <c r="AJ1" t="s">
        <v>1048</v>
      </c>
      <c r="AK1" t="s">
        <v>1049</v>
      </c>
      <c r="AL1" t="s">
        <v>1050</v>
      </c>
      <c r="AM1" t="s">
        <v>79</v>
      </c>
      <c r="AN1" t="s">
        <v>1051</v>
      </c>
      <c r="AO1" t="s">
        <v>1052</v>
      </c>
      <c r="AP1" t="s">
        <v>1196</v>
      </c>
      <c r="AQ1" t="s">
        <v>1053</v>
      </c>
      <c r="AR1" t="s">
        <v>1054</v>
      </c>
    </row>
    <row r="2" spans="1:44" x14ac:dyDescent="0.25">
      <c r="A2" t="s">
        <v>200</v>
      </c>
      <c r="B2" t="s">
        <v>200</v>
      </c>
      <c r="C2" t="s">
        <v>200</v>
      </c>
      <c r="D2" t="s">
        <v>586</v>
      </c>
      <c r="E2" t="s">
        <v>67</v>
      </c>
      <c r="F2" t="s">
        <v>200</v>
      </c>
      <c r="G2" t="s">
        <v>200</v>
      </c>
      <c r="H2" t="s">
        <v>200</v>
      </c>
      <c r="I2" t="s">
        <v>200</v>
      </c>
      <c r="J2" t="s">
        <v>200</v>
      </c>
      <c r="K2" t="s">
        <v>1224</v>
      </c>
      <c r="L2" t="s">
        <v>586</v>
      </c>
      <c r="M2" t="s">
        <v>586</v>
      </c>
      <c r="N2" t="s">
        <v>200</v>
      </c>
      <c r="O2" t="s">
        <v>586</v>
      </c>
      <c r="P2" t="s">
        <v>586</v>
      </c>
      <c r="Q2" t="s">
        <v>586</v>
      </c>
      <c r="R2" t="s">
        <v>200</v>
      </c>
      <c r="S2" t="s">
        <v>200</v>
      </c>
      <c r="T2" t="s">
        <v>200</v>
      </c>
      <c r="U2" t="s">
        <v>586</v>
      </c>
      <c r="V2" t="s">
        <v>200</v>
      </c>
      <c r="W2" t="s">
        <v>586</v>
      </c>
      <c r="X2" t="s">
        <v>200</v>
      </c>
      <c r="Y2" t="s">
        <v>200</v>
      </c>
      <c r="Z2" t="s">
        <v>200</v>
      </c>
      <c r="AA2" t="s">
        <v>200</v>
      </c>
      <c r="AB2" t="s">
        <v>200</v>
      </c>
      <c r="AC2" t="s">
        <v>586</v>
      </c>
      <c r="AD2" t="s">
        <v>67</v>
      </c>
      <c r="AE2" t="s">
        <v>592</v>
      </c>
      <c r="AF2" t="s">
        <v>200</v>
      </c>
      <c r="AG2" t="s">
        <v>200</v>
      </c>
      <c r="AH2" t="s">
        <v>586</v>
      </c>
      <c r="AI2" t="s">
        <v>592</v>
      </c>
      <c r="AJ2" t="s">
        <v>586</v>
      </c>
      <c r="AK2" t="s">
        <v>200</v>
      </c>
      <c r="AL2" t="s">
        <v>200</v>
      </c>
      <c r="AM2" t="s">
        <v>200</v>
      </c>
      <c r="AN2" t="s">
        <v>200</v>
      </c>
      <c r="AO2" t="s">
        <v>586</v>
      </c>
      <c r="AP2" t="s">
        <v>200</v>
      </c>
      <c r="AQ2" t="s">
        <v>200</v>
      </c>
      <c r="AR2" t="s">
        <v>200</v>
      </c>
    </row>
    <row r="3" spans="1:44" x14ac:dyDescent="0.25">
      <c r="A3" t="s">
        <v>586</v>
      </c>
      <c r="B3" t="s">
        <v>586</v>
      </c>
      <c r="C3" t="s">
        <v>586</v>
      </c>
      <c r="D3" t="s">
        <v>67</v>
      </c>
      <c r="E3" t="s">
        <v>588</v>
      </c>
      <c r="F3" t="s">
        <v>586</v>
      </c>
      <c r="G3" t="s">
        <v>586</v>
      </c>
      <c r="H3" t="s">
        <v>586</v>
      </c>
      <c r="I3" t="s">
        <v>586</v>
      </c>
      <c r="J3" t="s">
        <v>586</v>
      </c>
      <c r="K3" t="s">
        <v>67</v>
      </c>
      <c r="L3" t="s">
        <v>67</v>
      </c>
      <c r="M3" t="s">
        <v>67</v>
      </c>
      <c r="N3" t="s">
        <v>586</v>
      </c>
      <c r="O3" t="s">
        <v>67</v>
      </c>
      <c r="P3" t="s">
        <v>67</v>
      </c>
      <c r="Q3" t="s">
        <v>67</v>
      </c>
      <c r="R3" t="s">
        <v>592</v>
      </c>
      <c r="S3" t="s">
        <v>586</v>
      </c>
      <c r="T3" t="s">
        <v>67</v>
      </c>
      <c r="U3" t="s">
        <v>67</v>
      </c>
      <c r="V3" t="s">
        <v>586</v>
      </c>
      <c r="W3" t="s">
        <v>67</v>
      </c>
      <c r="X3" t="s">
        <v>586</v>
      </c>
      <c r="Y3" t="s">
        <v>586</v>
      </c>
      <c r="Z3" t="s">
        <v>586</v>
      </c>
      <c r="AA3" t="s">
        <v>586</v>
      </c>
      <c r="AB3" t="s">
        <v>67</v>
      </c>
      <c r="AC3" t="s">
        <v>67</v>
      </c>
      <c r="AD3" t="s">
        <v>53</v>
      </c>
      <c r="AE3" t="s">
        <v>586</v>
      </c>
      <c r="AF3" t="s">
        <v>586</v>
      </c>
      <c r="AG3" t="s">
        <v>586</v>
      </c>
      <c r="AH3" t="s">
        <v>67</v>
      </c>
      <c r="AI3" t="s">
        <v>586</v>
      </c>
      <c r="AJ3" t="s">
        <v>67</v>
      </c>
      <c r="AK3" t="s">
        <v>586</v>
      </c>
      <c r="AL3" t="s">
        <v>586</v>
      </c>
      <c r="AM3" t="s">
        <v>586</v>
      </c>
      <c r="AN3" t="s">
        <v>67</v>
      </c>
      <c r="AO3" t="s">
        <v>67</v>
      </c>
      <c r="AP3" t="s">
        <v>586</v>
      </c>
      <c r="AQ3" t="s">
        <v>586</v>
      </c>
      <c r="AR3" t="s">
        <v>586</v>
      </c>
    </row>
    <row r="4" spans="1:44" x14ac:dyDescent="0.25">
      <c r="A4" t="s">
        <v>67</v>
      </c>
      <c r="B4" t="s">
        <v>67</v>
      </c>
      <c r="C4" t="s">
        <v>67</v>
      </c>
      <c r="D4" t="s">
        <v>1224</v>
      </c>
      <c r="E4" t="s">
        <v>70</v>
      </c>
      <c r="F4" t="s">
        <v>67</v>
      </c>
      <c r="G4" t="s">
        <v>67</v>
      </c>
      <c r="H4" t="s">
        <v>67</v>
      </c>
      <c r="I4" t="s">
        <v>67</v>
      </c>
      <c r="J4" t="s">
        <v>67</v>
      </c>
      <c r="K4" t="s">
        <v>66</v>
      </c>
      <c r="L4" t="s">
        <v>53</v>
      </c>
      <c r="M4" t="s">
        <v>53</v>
      </c>
      <c r="N4" t="s">
        <v>67</v>
      </c>
      <c r="O4" t="s">
        <v>1224</v>
      </c>
      <c r="P4" t="s">
        <v>588</v>
      </c>
      <c r="Q4" t="s">
        <v>53</v>
      </c>
      <c r="R4" t="s">
        <v>586</v>
      </c>
      <c r="S4" t="s">
        <v>67</v>
      </c>
      <c r="T4" t="s">
        <v>53</v>
      </c>
      <c r="U4" t="s">
        <v>588</v>
      </c>
      <c r="V4" t="s">
        <v>67</v>
      </c>
      <c r="W4" t="s">
        <v>590</v>
      </c>
      <c r="X4" t="s">
        <v>67</v>
      </c>
      <c r="Y4" t="s">
        <v>67</v>
      </c>
      <c r="Z4" t="s">
        <v>67</v>
      </c>
      <c r="AA4" t="s">
        <v>67</v>
      </c>
      <c r="AB4" t="s">
        <v>53</v>
      </c>
      <c r="AC4" t="s">
        <v>53</v>
      </c>
      <c r="AD4" t="s">
        <v>588</v>
      </c>
      <c r="AE4" t="s">
        <v>67</v>
      </c>
      <c r="AF4" t="s">
        <v>67</v>
      </c>
      <c r="AG4" t="s">
        <v>67</v>
      </c>
      <c r="AH4" t="s">
        <v>53</v>
      </c>
      <c r="AI4" t="s">
        <v>67</v>
      </c>
      <c r="AJ4" t="s">
        <v>53</v>
      </c>
      <c r="AK4" t="s">
        <v>67</v>
      </c>
      <c r="AL4" t="s">
        <v>67</v>
      </c>
      <c r="AM4" t="s">
        <v>67</v>
      </c>
      <c r="AN4" t="s">
        <v>588</v>
      </c>
      <c r="AO4" t="s">
        <v>1224</v>
      </c>
      <c r="AP4" t="s">
        <v>67</v>
      </c>
      <c r="AQ4" t="s">
        <v>67</v>
      </c>
      <c r="AR4" t="s">
        <v>67</v>
      </c>
    </row>
    <row r="5" spans="1:44" x14ac:dyDescent="0.25">
      <c r="A5" t="s">
        <v>590</v>
      </c>
      <c r="B5" t="s">
        <v>53</v>
      </c>
      <c r="C5" t="s">
        <v>588</v>
      </c>
      <c r="D5" t="s">
        <v>588</v>
      </c>
      <c r="E5" t="s">
        <v>571</v>
      </c>
      <c r="F5" t="s">
        <v>1224</v>
      </c>
      <c r="G5" t="s">
        <v>1224</v>
      </c>
      <c r="H5" t="s">
        <v>590</v>
      </c>
      <c r="I5" t="s">
        <v>588</v>
      </c>
      <c r="J5" t="s">
        <v>1224</v>
      </c>
      <c r="K5" t="s">
        <v>200</v>
      </c>
      <c r="L5" t="s">
        <v>588</v>
      </c>
      <c r="M5" t="s">
        <v>588</v>
      </c>
      <c r="N5" t="s">
        <v>53</v>
      </c>
      <c r="O5" t="s">
        <v>588</v>
      </c>
      <c r="P5" t="s">
        <v>589</v>
      </c>
      <c r="Q5" t="s">
        <v>571</v>
      </c>
      <c r="R5" t="s">
        <v>67</v>
      </c>
      <c r="S5" t="s">
        <v>53</v>
      </c>
      <c r="T5" t="s">
        <v>588</v>
      </c>
      <c r="U5" t="s">
        <v>70</v>
      </c>
      <c r="V5" t="s">
        <v>1224</v>
      </c>
      <c r="W5" t="s">
        <v>1224</v>
      </c>
      <c r="X5" t="s">
        <v>53</v>
      </c>
      <c r="Y5" t="s">
        <v>588</v>
      </c>
      <c r="Z5" t="s">
        <v>1224</v>
      </c>
      <c r="AA5" t="s">
        <v>53</v>
      </c>
      <c r="AB5" t="s">
        <v>588</v>
      </c>
      <c r="AC5" t="s">
        <v>588</v>
      </c>
      <c r="AD5" t="s">
        <v>571</v>
      </c>
      <c r="AE5" t="s">
        <v>53</v>
      </c>
      <c r="AF5" t="s">
        <v>53</v>
      </c>
      <c r="AG5" t="s">
        <v>1224</v>
      </c>
      <c r="AH5" t="s">
        <v>588</v>
      </c>
      <c r="AI5" t="s">
        <v>588</v>
      </c>
      <c r="AJ5" t="s">
        <v>588</v>
      </c>
      <c r="AK5" t="s">
        <v>588</v>
      </c>
      <c r="AL5" t="s">
        <v>587</v>
      </c>
      <c r="AM5" t="s">
        <v>53</v>
      </c>
      <c r="AN5" t="s">
        <v>70</v>
      </c>
      <c r="AO5" t="s">
        <v>588</v>
      </c>
      <c r="AP5" t="s">
        <v>53</v>
      </c>
      <c r="AQ5" t="s">
        <v>1224</v>
      </c>
      <c r="AR5" t="s">
        <v>587</v>
      </c>
    </row>
    <row r="6" spans="1:44" x14ac:dyDescent="0.25">
      <c r="A6" t="s">
        <v>53</v>
      </c>
      <c r="B6" t="s">
        <v>588</v>
      </c>
      <c r="C6" t="s">
        <v>70</v>
      </c>
      <c r="D6" t="s">
        <v>571</v>
      </c>
      <c r="E6" t="s">
        <v>66</v>
      </c>
      <c r="F6" t="s">
        <v>588</v>
      </c>
      <c r="G6" t="s">
        <v>588</v>
      </c>
      <c r="H6" t="s">
        <v>1224</v>
      </c>
      <c r="I6" t="s">
        <v>70</v>
      </c>
      <c r="J6" t="s">
        <v>588</v>
      </c>
      <c r="K6" t="s">
        <v>588</v>
      </c>
      <c r="L6" t="s">
        <v>71</v>
      </c>
      <c r="M6" t="s">
        <v>571</v>
      </c>
      <c r="N6" t="s">
        <v>587</v>
      </c>
      <c r="O6" t="s">
        <v>571</v>
      </c>
      <c r="P6" t="s">
        <v>70</v>
      </c>
      <c r="Q6" t="s">
        <v>66</v>
      </c>
      <c r="R6" t="s">
        <v>53</v>
      </c>
      <c r="S6" t="s">
        <v>588</v>
      </c>
      <c r="T6" t="s">
        <v>70</v>
      </c>
      <c r="U6" t="s">
        <v>571</v>
      </c>
      <c r="V6" t="s">
        <v>588</v>
      </c>
      <c r="W6" t="s">
        <v>588</v>
      </c>
      <c r="X6" t="s">
        <v>588</v>
      </c>
      <c r="Y6" t="s">
        <v>589</v>
      </c>
      <c r="Z6" t="s">
        <v>588</v>
      </c>
      <c r="AA6" t="s">
        <v>588</v>
      </c>
      <c r="AB6" t="s">
        <v>589</v>
      </c>
      <c r="AC6" t="s">
        <v>70</v>
      </c>
      <c r="AD6" t="s">
        <v>66</v>
      </c>
      <c r="AE6" t="s">
        <v>588</v>
      </c>
      <c r="AF6" t="s">
        <v>588</v>
      </c>
      <c r="AG6" t="s">
        <v>588</v>
      </c>
      <c r="AH6" t="s">
        <v>70</v>
      </c>
      <c r="AI6" t="s">
        <v>70</v>
      </c>
      <c r="AJ6" t="s">
        <v>571</v>
      </c>
      <c r="AK6" t="s">
        <v>70</v>
      </c>
      <c r="AL6" t="s">
        <v>588</v>
      </c>
      <c r="AM6" t="s">
        <v>588</v>
      </c>
      <c r="AN6" t="s">
        <v>71</v>
      </c>
      <c r="AO6" t="s">
        <v>589</v>
      </c>
      <c r="AP6" t="s">
        <v>588</v>
      </c>
      <c r="AQ6" t="s">
        <v>588</v>
      </c>
      <c r="AR6" t="s">
        <v>588</v>
      </c>
    </row>
    <row r="7" spans="1:44" x14ac:dyDescent="0.25">
      <c r="A7" t="s">
        <v>587</v>
      </c>
      <c r="B7" t="s">
        <v>589</v>
      </c>
      <c r="C7" t="s">
        <v>571</v>
      </c>
      <c r="D7" t="s">
        <v>152</v>
      </c>
      <c r="E7" t="s">
        <v>1197</v>
      </c>
      <c r="F7" t="s">
        <v>589</v>
      </c>
      <c r="G7" t="s">
        <v>589</v>
      </c>
      <c r="H7" t="s">
        <v>588</v>
      </c>
      <c r="I7" t="s">
        <v>71</v>
      </c>
      <c r="J7" t="s">
        <v>589</v>
      </c>
      <c r="K7" t="s">
        <v>571</v>
      </c>
      <c r="L7" t="s">
        <v>571</v>
      </c>
      <c r="M7" t="s">
        <v>152</v>
      </c>
      <c r="N7" t="s">
        <v>588</v>
      </c>
      <c r="O7" t="s">
        <v>66</v>
      </c>
      <c r="P7" t="s">
        <v>571</v>
      </c>
      <c r="R7" t="s">
        <v>588</v>
      </c>
      <c r="S7" t="s">
        <v>70</v>
      </c>
      <c r="T7" t="s">
        <v>71</v>
      </c>
      <c r="U7" t="s">
        <v>152</v>
      </c>
      <c r="V7" t="s">
        <v>71</v>
      </c>
      <c r="W7" t="s">
        <v>571</v>
      </c>
      <c r="X7" t="s">
        <v>70</v>
      </c>
      <c r="Y7" t="s">
        <v>70</v>
      </c>
      <c r="Z7" t="s">
        <v>589</v>
      </c>
      <c r="AA7" t="s">
        <v>70</v>
      </c>
      <c r="AB7" t="s">
        <v>70</v>
      </c>
      <c r="AC7" t="s">
        <v>571</v>
      </c>
      <c r="AD7" t="s">
        <v>1197</v>
      </c>
      <c r="AE7" t="s">
        <v>70</v>
      </c>
      <c r="AF7" t="s">
        <v>70</v>
      </c>
      <c r="AG7" t="s">
        <v>589</v>
      </c>
      <c r="AH7" t="s">
        <v>66</v>
      </c>
      <c r="AI7" t="s">
        <v>571</v>
      </c>
      <c r="AJ7" t="s">
        <v>593</v>
      </c>
      <c r="AK7" t="s">
        <v>571</v>
      </c>
      <c r="AL7" t="s">
        <v>70</v>
      </c>
      <c r="AM7" t="s">
        <v>70</v>
      </c>
      <c r="AN7" t="s">
        <v>571</v>
      </c>
      <c r="AO7" t="s">
        <v>571</v>
      </c>
      <c r="AP7" t="s">
        <v>70</v>
      </c>
      <c r="AQ7" t="s">
        <v>71</v>
      </c>
      <c r="AR7" t="s">
        <v>589</v>
      </c>
    </row>
    <row r="8" spans="1:44" x14ac:dyDescent="0.25">
      <c r="A8" t="s">
        <v>588</v>
      </c>
      <c r="B8" t="s">
        <v>571</v>
      </c>
      <c r="C8" t="s">
        <v>152</v>
      </c>
      <c r="D8" t="s">
        <v>593</v>
      </c>
      <c r="F8" t="s">
        <v>571</v>
      </c>
      <c r="G8" t="s">
        <v>571</v>
      </c>
      <c r="H8" t="s">
        <v>71</v>
      </c>
      <c r="I8" t="s">
        <v>571</v>
      </c>
      <c r="J8" t="s">
        <v>209</v>
      </c>
      <c r="L8" t="s">
        <v>66</v>
      </c>
      <c r="M8" t="s">
        <v>66</v>
      </c>
      <c r="N8" t="s">
        <v>589</v>
      </c>
      <c r="P8" t="s">
        <v>593</v>
      </c>
      <c r="R8" t="s">
        <v>70</v>
      </c>
      <c r="S8" t="s">
        <v>71</v>
      </c>
      <c r="T8" t="s">
        <v>571</v>
      </c>
      <c r="U8" t="s">
        <v>66</v>
      </c>
      <c r="V8" t="s">
        <v>571</v>
      </c>
      <c r="W8" t="s">
        <v>152</v>
      </c>
      <c r="X8" t="s">
        <v>571</v>
      </c>
      <c r="Y8" t="s">
        <v>71</v>
      </c>
      <c r="Z8" t="s">
        <v>571</v>
      </c>
      <c r="AA8" t="s">
        <v>209</v>
      </c>
      <c r="AB8" t="s">
        <v>209</v>
      </c>
      <c r="AC8" t="s">
        <v>593</v>
      </c>
      <c r="AD8" t="s">
        <v>1198</v>
      </c>
      <c r="AE8" t="s">
        <v>571</v>
      </c>
      <c r="AF8" t="s">
        <v>571</v>
      </c>
      <c r="AG8" t="s">
        <v>571</v>
      </c>
      <c r="AI8" t="s">
        <v>591</v>
      </c>
      <c r="AJ8" t="s">
        <v>66</v>
      </c>
      <c r="AK8" t="s">
        <v>66</v>
      </c>
      <c r="AL8" t="s">
        <v>152</v>
      </c>
      <c r="AM8" t="s">
        <v>71</v>
      </c>
      <c r="AN8" t="s">
        <v>66</v>
      </c>
      <c r="AO8" t="s">
        <v>152</v>
      </c>
      <c r="AP8" t="s">
        <v>209</v>
      </c>
      <c r="AQ8" t="s">
        <v>571</v>
      </c>
      <c r="AR8" t="s">
        <v>70</v>
      </c>
    </row>
    <row r="9" spans="1:44" x14ac:dyDescent="0.25">
      <c r="A9" t="s">
        <v>589</v>
      </c>
      <c r="B9" t="s">
        <v>66</v>
      </c>
      <c r="C9" t="s">
        <v>66</v>
      </c>
      <c r="D9" t="s">
        <v>66</v>
      </c>
      <c r="F9" t="s">
        <v>152</v>
      </c>
      <c r="G9" t="s">
        <v>593</v>
      </c>
      <c r="H9" t="s">
        <v>571</v>
      </c>
      <c r="I9" t="s">
        <v>593</v>
      </c>
      <c r="J9" t="s">
        <v>152</v>
      </c>
      <c r="L9" t="s">
        <v>595</v>
      </c>
      <c r="N9" t="s">
        <v>70</v>
      </c>
      <c r="P9" t="s">
        <v>66</v>
      </c>
      <c r="R9" t="s">
        <v>571</v>
      </c>
      <c r="S9" t="s">
        <v>571</v>
      </c>
      <c r="T9" t="s">
        <v>152</v>
      </c>
      <c r="V9" t="s">
        <v>152</v>
      </c>
      <c r="W9" t="s">
        <v>66</v>
      </c>
      <c r="X9" t="s">
        <v>593</v>
      </c>
      <c r="Y9" t="s">
        <v>571</v>
      </c>
      <c r="Z9" t="s">
        <v>152</v>
      </c>
      <c r="AA9" t="s">
        <v>593</v>
      </c>
      <c r="AB9" t="s">
        <v>571</v>
      </c>
      <c r="AC9" t="s">
        <v>66</v>
      </c>
      <c r="AD9" t="s">
        <v>594</v>
      </c>
      <c r="AE9" t="s">
        <v>66</v>
      </c>
      <c r="AF9" t="s">
        <v>593</v>
      </c>
      <c r="AG9" t="s">
        <v>152</v>
      </c>
      <c r="AI9" t="s">
        <v>593</v>
      </c>
      <c r="AL9" t="s">
        <v>593</v>
      </c>
      <c r="AM9" t="s">
        <v>571</v>
      </c>
      <c r="AN9" t="s">
        <v>1197</v>
      </c>
      <c r="AO9" t="s">
        <v>66</v>
      </c>
      <c r="AP9" t="s">
        <v>571</v>
      </c>
      <c r="AQ9" t="s">
        <v>152</v>
      </c>
      <c r="AR9" t="s">
        <v>71</v>
      </c>
    </row>
    <row r="10" spans="1:44" x14ac:dyDescent="0.25">
      <c r="A10" t="s">
        <v>70</v>
      </c>
      <c r="D10" t="s">
        <v>1198</v>
      </c>
      <c r="F10" t="s">
        <v>593</v>
      </c>
      <c r="G10" t="s">
        <v>66</v>
      </c>
      <c r="H10" t="s">
        <v>66</v>
      </c>
      <c r="I10" t="s">
        <v>66</v>
      </c>
      <c r="J10" t="s">
        <v>66</v>
      </c>
      <c r="N10" t="s">
        <v>209</v>
      </c>
      <c r="R10" t="s">
        <v>593</v>
      </c>
      <c r="S10" t="s">
        <v>152</v>
      </c>
      <c r="T10" t="s">
        <v>593</v>
      </c>
      <c r="V10" t="s">
        <v>66</v>
      </c>
      <c r="X10" t="s">
        <v>66</v>
      </c>
      <c r="Y10" t="s">
        <v>593</v>
      </c>
      <c r="Z10" t="s">
        <v>66</v>
      </c>
      <c r="AA10" t="s">
        <v>66</v>
      </c>
      <c r="AB10" t="s">
        <v>66</v>
      </c>
      <c r="AF10" t="s">
        <v>66</v>
      </c>
      <c r="AG10" t="s">
        <v>66</v>
      </c>
      <c r="AI10" t="s">
        <v>66</v>
      </c>
      <c r="AL10" t="s">
        <v>66</v>
      </c>
      <c r="AM10" t="s">
        <v>152</v>
      </c>
      <c r="AN10" t="s">
        <v>1198</v>
      </c>
      <c r="AO10" t="s">
        <v>593</v>
      </c>
      <c r="AP10" t="s">
        <v>152</v>
      </c>
      <c r="AQ10" t="s">
        <v>66</v>
      </c>
      <c r="AR10" t="s">
        <v>571</v>
      </c>
    </row>
    <row r="11" spans="1:44" x14ac:dyDescent="0.25">
      <c r="A11" t="s">
        <v>209</v>
      </c>
      <c r="F11" t="s">
        <v>66</v>
      </c>
      <c r="G11" t="s">
        <v>1197</v>
      </c>
      <c r="I11" t="s">
        <v>1197</v>
      </c>
      <c r="N11" t="s">
        <v>571</v>
      </c>
      <c r="R11" t="s">
        <v>66</v>
      </c>
      <c r="S11" t="s">
        <v>66</v>
      </c>
      <c r="T11" t="s">
        <v>66</v>
      </c>
      <c r="Y11" t="s">
        <v>66</v>
      </c>
      <c r="AB11" t="s">
        <v>1197</v>
      </c>
      <c r="AI11" t="s">
        <v>1198</v>
      </c>
      <c r="AM11" t="s">
        <v>66</v>
      </c>
      <c r="AN11" t="s">
        <v>594</v>
      </c>
      <c r="AP11" t="s">
        <v>593</v>
      </c>
      <c r="AQ11" t="s">
        <v>1197</v>
      </c>
      <c r="AR11" t="s">
        <v>66</v>
      </c>
    </row>
    <row r="12" spans="1:44" x14ac:dyDescent="0.25">
      <c r="A12" t="s">
        <v>571</v>
      </c>
      <c r="F12" t="s">
        <v>1197</v>
      </c>
      <c r="N12" t="s">
        <v>152</v>
      </c>
      <c r="R12" t="s">
        <v>1197</v>
      </c>
      <c r="AB12" t="s">
        <v>1198</v>
      </c>
      <c r="AP12" t="s">
        <v>66</v>
      </c>
      <c r="AQ12" t="s">
        <v>594</v>
      </c>
    </row>
    <row r="13" spans="1:44" x14ac:dyDescent="0.25">
      <c r="A13" t="s">
        <v>152</v>
      </c>
      <c r="N13" t="s">
        <v>593</v>
      </c>
      <c r="AB13" t="s">
        <v>594</v>
      </c>
    </row>
    <row r="14" spans="1:44" x14ac:dyDescent="0.25">
      <c r="A14" t="s">
        <v>593</v>
      </c>
      <c r="N14" t="s">
        <v>66</v>
      </c>
      <c r="AB14" t="s">
        <v>595</v>
      </c>
    </row>
    <row r="15" spans="1:44" x14ac:dyDescent="0.25">
      <c r="A15" t="s">
        <v>66</v>
      </c>
      <c r="N15" t="s">
        <v>1197</v>
      </c>
    </row>
    <row r="16" spans="1:44" x14ac:dyDescent="0.25">
      <c r="A16" t="s">
        <v>1197</v>
      </c>
    </row>
    <row r="18" spans="1:44" x14ac:dyDescent="0.25">
      <c r="A18" s="90" t="s">
        <v>1016</v>
      </c>
      <c r="B18" s="90" t="s">
        <v>1017</v>
      </c>
      <c r="C18" s="90" t="s">
        <v>1018</v>
      </c>
      <c r="D18" s="90" t="s">
        <v>1194</v>
      </c>
      <c r="E18" s="90" t="s">
        <v>1019</v>
      </c>
      <c r="F18" s="90" t="s">
        <v>1020</v>
      </c>
      <c r="G18" s="90" t="s">
        <v>1057</v>
      </c>
      <c r="H18" s="90" t="s">
        <v>1021</v>
      </c>
      <c r="I18" s="90" t="s">
        <v>1022</v>
      </c>
      <c r="J18" s="90" t="s">
        <v>1023</v>
      </c>
      <c r="K18" s="90" t="s">
        <v>1024</v>
      </c>
      <c r="L18" s="90" t="s">
        <v>1025</v>
      </c>
      <c r="M18" s="90" t="s">
        <v>1026</v>
      </c>
      <c r="N18" s="90" t="s">
        <v>1027</v>
      </c>
      <c r="O18" s="90" t="s">
        <v>1028</v>
      </c>
      <c r="P18" s="90" t="s">
        <v>1029</v>
      </c>
      <c r="Q18" s="90" t="s">
        <v>1030</v>
      </c>
      <c r="R18" s="90" t="s">
        <v>1031</v>
      </c>
      <c r="S18" s="90" t="s">
        <v>1032</v>
      </c>
      <c r="T18" s="90" t="s">
        <v>1033</v>
      </c>
      <c r="U18" s="90" t="s">
        <v>1034</v>
      </c>
      <c r="V18" s="90" t="s">
        <v>1035</v>
      </c>
      <c r="W18" s="90" t="s">
        <v>1036</v>
      </c>
      <c r="X18" s="90" t="s">
        <v>1037</v>
      </c>
      <c r="Y18" s="90" t="s">
        <v>1038</v>
      </c>
      <c r="Z18" s="90" t="s">
        <v>1039</v>
      </c>
      <c r="AA18" s="90" t="s">
        <v>1040</v>
      </c>
      <c r="AB18" s="90" t="s">
        <v>1041</v>
      </c>
      <c r="AC18" s="90" t="s">
        <v>1042</v>
      </c>
      <c r="AD18" s="90" t="s">
        <v>1043</v>
      </c>
      <c r="AE18" s="90" t="s">
        <v>1044</v>
      </c>
      <c r="AF18" s="90" t="s">
        <v>1045</v>
      </c>
      <c r="AG18" s="90" t="s">
        <v>1046</v>
      </c>
      <c r="AH18" s="90" t="s">
        <v>1047</v>
      </c>
      <c r="AI18" s="90" t="s">
        <v>1195</v>
      </c>
      <c r="AJ18" s="90" t="s">
        <v>1048</v>
      </c>
      <c r="AK18" s="90" t="s">
        <v>1049</v>
      </c>
      <c r="AL18" s="90" t="s">
        <v>1050</v>
      </c>
      <c r="AM18" s="90" t="s">
        <v>79</v>
      </c>
      <c r="AN18" s="90" t="s">
        <v>1051</v>
      </c>
      <c r="AO18" s="90" t="s">
        <v>1052</v>
      </c>
      <c r="AP18" s="90" t="s">
        <v>1196</v>
      </c>
      <c r="AQ18" s="90" t="s">
        <v>1053</v>
      </c>
      <c r="AR18" s="90" t="s">
        <v>1054</v>
      </c>
    </row>
    <row r="19" spans="1:44" x14ac:dyDescent="0.25">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row>
    <row r="20" spans="1:44" x14ac:dyDescent="0.25">
      <c r="A20" s="90" t="s">
        <v>80</v>
      </c>
      <c r="B20" s="90" t="s">
        <v>94</v>
      </c>
      <c r="C20" s="90"/>
      <c r="D20" s="90" t="s">
        <v>113</v>
      </c>
      <c r="E20" s="90"/>
      <c r="F20" s="90" t="s">
        <v>133</v>
      </c>
      <c r="G20" s="148" t="s">
        <v>154</v>
      </c>
      <c r="H20" s="90" t="s">
        <v>167</v>
      </c>
      <c r="I20" s="90"/>
      <c r="J20" s="90" t="s">
        <v>193</v>
      </c>
      <c r="K20" s="90" t="s">
        <v>210</v>
      </c>
      <c r="L20" s="90" t="s">
        <v>211</v>
      </c>
      <c r="M20" s="90" t="s">
        <v>215</v>
      </c>
      <c r="N20" s="90" t="s">
        <v>217</v>
      </c>
      <c r="O20" s="90" t="s">
        <v>252</v>
      </c>
      <c r="P20" s="90"/>
      <c r="Q20" s="90" t="s">
        <v>279</v>
      </c>
      <c r="R20" s="90" t="s">
        <v>284</v>
      </c>
      <c r="S20" s="90" t="s">
        <v>298</v>
      </c>
      <c r="T20" s="90" t="s">
        <v>306</v>
      </c>
      <c r="U20" s="90"/>
      <c r="V20" s="90" t="s">
        <v>330</v>
      </c>
      <c r="W20" s="90" t="s">
        <v>338</v>
      </c>
      <c r="X20" s="90" t="s">
        <v>344</v>
      </c>
      <c r="Y20" s="90"/>
      <c r="Z20" s="90" t="s">
        <v>389</v>
      </c>
      <c r="AA20" s="90" t="s">
        <v>397</v>
      </c>
      <c r="AB20" s="90" t="s">
        <v>404</v>
      </c>
      <c r="AC20" s="90" t="s">
        <v>433</v>
      </c>
      <c r="AD20" s="90" t="s">
        <v>452</v>
      </c>
      <c r="AE20" s="90" t="s">
        <v>458</v>
      </c>
      <c r="AF20" s="90" t="s">
        <v>465</v>
      </c>
      <c r="AG20" s="90" t="s">
        <v>477</v>
      </c>
      <c r="AH20" s="90" t="s">
        <v>487</v>
      </c>
      <c r="AI20" s="90"/>
      <c r="AJ20" s="90" t="s">
        <v>502</v>
      </c>
      <c r="AK20" s="90"/>
      <c r="AL20" s="90"/>
      <c r="AM20" s="90" t="s">
        <v>525</v>
      </c>
      <c r="AN20" s="90"/>
      <c r="AO20" s="90" t="s">
        <v>542</v>
      </c>
      <c r="AP20" s="90" t="s">
        <v>550</v>
      </c>
      <c r="AQ20" s="90" t="s">
        <v>564</v>
      </c>
      <c r="AR20" s="90"/>
    </row>
    <row r="21" spans="1:44" x14ac:dyDescent="0.25">
      <c r="A21" s="90" t="s">
        <v>599</v>
      </c>
      <c r="B21" s="90" t="s">
        <v>622</v>
      </c>
      <c r="C21" s="90" t="s">
        <v>99</v>
      </c>
      <c r="D21" s="90" t="s">
        <v>114</v>
      </c>
      <c r="E21" s="90" t="s">
        <v>131</v>
      </c>
      <c r="F21" s="90" t="s">
        <v>134</v>
      </c>
      <c r="G21" s="148" t="s">
        <v>155</v>
      </c>
      <c r="H21" s="90" t="s">
        <v>600</v>
      </c>
      <c r="I21" s="90" t="s">
        <v>178</v>
      </c>
      <c r="J21" s="90" t="s">
        <v>194</v>
      </c>
      <c r="K21" s="90" t="s">
        <v>735</v>
      </c>
      <c r="L21" s="90" t="s">
        <v>212</v>
      </c>
      <c r="M21" s="90" t="s">
        <v>216</v>
      </c>
      <c r="N21" s="90" t="s">
        <v>218</v>
      </c>
      <c r="O21" s="90" t="s">
        <v>253</v>
      </c>
      <c r="P21" s="90" t="s">
        <v>265</v>
      </c>
      <c r="Q21" s="90" t="s">
        <v>280</v>
      </c>
      <c r="R21" s="90" t="s">
        <v>285</v>
      </c>
      <c r="S21" s="90" t="s">
        <v>299</v>
      </c>
      <c r="T21" s="90" t="s">
        <v>307</v>
      </c>
      <c r="U21" s="90" t="s">
        <v>314</v>
      </c>
      <c r="V21" s="90" t="s">
        <v>331</v>
      </c>
      <c r="W21" s="90" t="s">
        <v>600</v>
      </c>
      <c r="X21" s="90" t="s">
        <v>345</v>
      </c>
      <c r="Y21" s="90" t="s">
        <v>362</v>
      </c>
      <c r="Z21" s="90" t="s">
        <v>390</v>
      </c>
      <c r="AA21" s="90" t="s">
        <v>398</v>
      </c>
      <c r="AB21" s="90" t="s">
        <v>405</v>
      </c>
      <c r="AC21" s="90" t="s">
        <v>434</v>
      </c>
      <c r="AD21" s="90" t="s">
        <v>453</v>
      </c>
      <c r="AE21" s="90" t="s">
        <v>459</v>
      </c>
      <c r="AF21" s="90" t="s">
        <v>466</v>
      </c>
      <c r="AG21" s="90" t="s">
        <v>478</v>
      </c>
      <c r="AH21" s="90" t="s">
        <v>488</v>
      </c>
      <c r="AI21" s="90" t="s">
        <v>494</v>
      </c>
      <c r="AJ21" s="90" t="s">
        <v>503</v>
      </c>
      <c r="AK21" s="90" t="s">
        <v>510</v>
      </c>
      <c r="AL21" s="90" t="s">
        <v>519</v>
      </c>
      <c r="AM21" s="90" t="s">
        <v>526</v>
      </c>
      <c r="AN21" s="90" t="s">
        <v>532</v>
      </c>
      <c r="AO21" s="90" t="s">
        <v>543</v>
      </c>
      <c r="AP21" s="90" t="s">
        <v>551</v>
      </c>
      <c r="AQ21" s="90" t="s">
        <v>565</v>
      </c>
      <c r="AR21" s="90" t="s">
        <v>575</v>
      </c>
    </row>
    <row r="22" spans="1:44" x14ac:dyDescent="0.25">
      <c r="A22" s="90" t="s">
        <v>600</v>
      </c>
      <c r="B22" s="90" t="s">
        <v>623</v>
      </c>
      <c r="C22" s="90" t="s">
        <v>100</v>
      </c>
      <c r="D22" s="90" t="s">
        <v>115</v>
      </c>
      <c r="E22" s="90" t="s">
        <v>664</v>
      </c>
      <c r="F22" s="90" t="s">
        <v>135</v>
      </c>
      <c r="G22" s="148" t="s">
        <v>157</v>
      </c>
      <c r="H22" s="90" t="s">
        <v>168</v>
      </c>
      <c r="I22" s="90" t="s">
        <v>180</v>
      </c>
      <c r="J22" s="90" t="s">
        <v>195</v>
      </c>
      <c r="K22" s="90" t="s">
        <v>736</v>
      </c>
      <c r="L22" s="90" t="s">
        <v>213</v>
      </c>
      <c r="M22" s="90" t="s">
        <v>746</v>
      </c>
      <c r="N22" s="90" t="s">
        <v>219</v>
      </c>
      <c r="O22" s="90" t="s">
        <v>254</v>
      </c>
      <c r="P22" s="90" t="s">
        <v>267</v>
      </c>
      <c r="Q22" s="90" t="s">
        <v>281</v>
      </c>
      <c r="R22" s="90" t="s">
        <v>286</v>
      </c>
      <c r="S22" s="90" t="s">
        <v>300</v>
      </c>
      <c r="T22" s="90" t="s">
        <v>308</v>
      </c>
      <c r="U22" s="90" t="s">
        <v>315</v>
      </c>
      <c r="V22" s="90" t="s">
        <v>332</v>
      </c>
      <c r="W22" s="90" t="s">
        <v>339</v>
      </c>
      <c r="X22" s="90" t="s">
        <v>346</v>
      </c>
      <c r="Y22" s="90" t="s">
        <v>363</v>
      </c>
      <c r="Z22" s="90" t="s">
        <v>391</v>
      </c>
      <c r="AA22" s="90" t="s">
        <v>399</v>
      </c>
      <c r="AB22" s="90" t="s">
        <v>406</v>
      </c>
      <c r="AC22" s="90" t="s">
        <v>435</v>
      </c>
      <c r="AD22" s="90" t="s">
        <v>454</v>
      </c>
      <c r="AE22" s="90" t="s">
        <v>460</v>
      </c>
      <c r="AF22" s="90" t="s">
        <v>467</v>
      </c>
      <c r="AG22" s="90" t="s">
        <v>479</v>
      </c>
      <c r="AH22" s="90" t="s">
        <v>489</v>
      </c>
      <c r="AI22" s="90" t="s">
        <v>495</v>
      </c>
      <c r="AJ22" s="90" t="s">
        <v>766</v>
      </c>
      <c r="AK22" s="90" t="s">
        <v>511</v>
      </c>
      <c r="AL22" s="90" t="s">
        <v>520</v>
      </c>
      <c r="AM22" s="90" t="s">
        <v>105</v>
      </c>
      <c r="AN22" s="90" t="s">
        <v>533</v>
      </c>
      <c r="AO22" s="90" t="s">
        <v>544</v>
      </c>
      <c r="AP22" s="90" t="s">
        <v>552</v>
      </c>
      <c r="AQ22" s="90" t="s">
        <v>566</v>
      </c>
      <c r="AR22" s="90" t="s">
        <v>576</v>
      </c>
    </row>
    <row r="23" spans="1:44" x14ac:dyDescent="0.25">
      <c r="A23" s="90" t="s">
        <v>601</v>
      </c>
      <c r="B23" s="90" t="s">
        <v>624</v>
      </c>
      <c r="C23" s="90" t="s">
        <v>101</v>
      </c>
      <c r="D23" s="90" t="s">
        <v>116</v>
      </c>
      <c r="E23" s="90" t="s">
        <v>132</v>
      </c>
      <c r="F23" s="90" t="s">
        <v>136</v>
      </c>
      <c r="G23" s="148" t="s">
        <v>158</v>
      </c>
      <c r="H23" s="90" t="s">
        <v>169</v>
      </c>
      <c r="I23" s="90" t="s">
        <v>181</v>
      </c>
      <c r="J23" s="90" t="s">
        <v>196</v>
      </c>
      <c r="K23" s="90" t="s">
        <v>737</v>
      </c>
      <c r="L23" s="90" t="s">
        <v>1342</v>
      </c>
      <c r="M23" s="90" t="s">
        <v>747</v>
      </c>
      <c r="N23" s="90" t="s">
        <v>220</v>
      </c>
      <c r="O23" s="90" t="s">
        <v>255</v>
      </c>
      <c r="P23" s="90" t="s">
        <v>268</v>
      </c>
      <c r="Q23" s="90" t="s">
        <v>784</v>
      </c>
      <c r="R23" s="90" t="s">
        <v>287</v>
      </c>
      <c r="S23" s="90" t="s">
        <v>301</v>
      </c>
      <c r="T23" s="90" t="s">
        <v>1174</v>
      </c>
      <c r="U23" s="90" t="s">
        <v>316</v>
      </c>
      <c r="V23" s="90" t="s">
        <v>333</v>
      </c>
      <c r="W23" s="90" t="s">
        <v>701</v>
      </c>
      <c r="X23" s="90" t="s">
        <v>347</v>
      </c>
      <c r="Y23" s="90" t="s">
        <v>364</v>
      </c>
      <c r="Z23" s="90" t="s">
        <v>392</v>
      </c>
      <c r="AA23" s="90" t="s">
        <v>400</v>
      </c>
      <c r="AB23" s="90" t="s">
        <v>407</v>
      </c>
      <c r="AC23" s="90" t="s">
        <v>436</v>
      </c>
      <c r="AD23" s="90" t="s">
        <v>811</v>
      </c>
      <c r="AE23" s="90" t="s">
        <v>921</v>
      </c>
      <c r="AF23" s="90" t="s">
        <v>468</v>
      </c>
      <c r="AG23" s="90" t="s">
        <v>837</v>
      </c>
      <c r="AH23" s="90" t="s">
        <v>490</v>
      </c>
      <c r="AI23" s="90" t="s">
        <v>496</v>
      </c>
      <c r="AJ23" s="90" t="s">
        <v>947</v>
      </c>
      <c r="AK23" s="90" t="s">
        <v>512</v>
      </c>
      <c r="AL23" s="90" t="s">
        <v>521</v>
      </c>
      <c r="AM23" s="90" t="s">
        <v>527</v>
      </c>
      <c r="AN23" s="90" t="s">
        <v>534</v>
      </c>
      <c r="AO23" s="90" t="s">
        <v>545</v>
      </c>
      <c r="AP23" s="90" t="s">
        <v>553</v>
      </c>
      <c r="AQ23" s="90" t="s">
        <v>567</v>
      </c>
      <c r="AR23" s="90" t="s">
        <v>577</v>
      </c>
    </row>
    <row r="24" spans="1:44" x14ac:dyDescent="0.25">
      <c r="A24" s="90" t="s">
        <v>602</v>
      </c>
      <c r="B24" s="90" t="s">
        <v>625</v>
      </c>
      <c r="C24" s="90" t="s">
        <v>102</v>
      </c>
      <c r="D24" s="90" t="s">
        <v>117</v>
      </c>
      <c r="E24" s="90" t="s">
        <v>665</v>
      </c>
      <c r="F24" s="90" t="s">
        <v>137</v>
      </c>
      <c r="G24" s="148" t="s">
        <v>159</v>
      </c>
      <c r="H24" s="90" t="s">
        <v>170</v>
      </c>
      <c r="I24" s="90" t="s">
        <v>182</v>
      </c>
      <c r="J24" s="90" t="s">
        <v>197</v>
      </c>
      <c r="K24" s="90" t="s">
        <v>738</v>
      </c>
      <c r="L24" s="90" t="s">
        <v>741</v>
      </c>
      <c r="M24" s="90" t="s">
        <v>1226</v>
      </c>
      <c r="N24" s="90" t="s">
        <v>221</v>
      </c>
      <c r="O24" s="90" t="s">
        <v>638</v>
      </c>
      <c r="P24" s="90" t="s">
        <v>269</v>
      </c>
      <c r="Q24" s="90" t="s">
        <v>282</v>
      </c>
      <c r="R24" s="90" t="s">
        <v>288</v>
      </c>
      <c r="S24" s="90" t="s">
        <v>741</v>
      </c>
      <c r="T24" s="90" t="s">
        <v>821</v>
      </c>
      <c r="U24" s="90" t="s">
        <v>317</v>
      </c>
      <c r="V24" s="90" t="s">
        <v>334</v>
      </c>
      <c r="W24" s="90" t="s">
        <v>340</v>
      </c>
      <c r="X24" s="90" t="s">
        <v>348</v>
      </c>
      <c r="Y24" s="90" t="s">
        <v>460</v>
      </c>
      <c r="Z24" s="90" t="s">
        <v>393</v>
      </c>
      <c r="AA24" s="90" t="s">
        <v>855</v>
      </c>
      <c r="AB24" s="90" t="s">
        <v>408</v>
      </c>
      <c r="AC24" s="90" t="s">
        <v>437</v>
      </c>
      <c r="AD24" s="90" t="s">
        <v>915</v>
      </c>
      <c r="AE24" s="90" t="s">
        <v>461</v>
      </c>
      <c r="AF24" s="90" t="s">
        <v>852</v>
      </c>
      <c r="AG24" s="90" t="s">
        <v>868</v>
      </c>
      <c r="AH24" s="90" t="s">
        <v>491</v>
      </c>
      <c r="AI24" s="90" t="s">
        <v>497</v>
      </c>
      <c r="AJ24" s="90" t="s">
        <v>504</v>
      </c>
      <c r="AK24" s="90" t="s">
        <v>606</v>
      </c>
      <c r="AL24" s="90" t="s">
        <v>961</v>
      </c>
      <c r="AM24" s="90" t="s">
        <v>768</v>
      </c>
      <c r="AN24" s="90" t="s">
        <v>535</v>
      </c>
      <c r="AO24" s="90" t="s">
        <v>980</v>
      </c>
      <c r="AP24" s="90" t="s">
        <v>554</v>
      </c>
      <c r="AQ24" s="90" t="s">
        <v>626</v>
      </c>
      <c r="AR24" s="90" t="s">
        <v>961</v>
      </c>
    </row>
    <row r="25" spans="1:44" x14ac:dyDescent="0.25">
      <c r="A25" s="90" t="s">
        <v>603</v>
      </c>
      <c r="B25" s="90" t="s">
        <v>626</v>
      </c>
      <c r="C25" s="90" t="s">
        <v>103</v>
      </c>
      <c r="D25" s="90" t="s">
        <v>655</v>
      </c>
      <c r="E25" s="90" t="s">
        <v>666</v>
      </c>
      <c r="F25" s="90" t="s">
        <v>138</v>
      </c>
      <c r="G25" s="148" t="s">
        <v>156</v>
      </c>
      <c r="H25" s="90" t="s">
        <v>604</v>
      </c>
      <c r="I25" s="90" t="s">
        <v>183</v>
      </c>
      <c r="J25" s="90" t="s">
        <v>198</v>
      </c>
      <c r="K25" s="90" t="s">
        <v>739</v>
      </c>
      <c r="L25" s="90" t="s">
        <v>742</v>
      </c>
      <c r="M25" s="90" t="s">
        <v>748</v>
      </c>
      <c r="N25" s="90" t="s">
        <v>222</v>
      </c>
      <c r="O25" s="90" t="s">
        <v>640</v>
      </c>
      <c r="P25" s="90" t="s">
        <v>266</v>
      </c>
      <c r="Q25" s="90" t="s">
        <v>283</v>
      </c>
      <c r="R25" s="90" t="s">
        <v>785</v>
      </c>
      <c r="S25" s="90" t="s">
        <v>811</v>
      </c>
      <c r="T25" s="90" t="s">
        <v>822</v>
      </c>
      <c r="U25" s="90" t="s">
        <v>318</v>
      </c>
      <c r="V25" s="90" t="s">
        <v>335</v>
      </c>
      <c r="W25" s="90" t="s">
        <v>341</v>
      </c>
      <c r="X25" s="90" t="s">
        <v>852</v>
      </c>
      <c r="Y25" s="90" t="s">
        <v>365</v>
      </c>
      <c r="Z25" s="90" t="s">
        <v>197</v>
      </c>
      <c r="AA25" s="90" t="s">
        <v>881</v>
      </c>
      <c r="AB25" s="90" t="s">
        <v>409</v>
      </c>
      <c r="AC25" s="90" t="s">
        <v>438</v>
      </c>
      <c r="AD25" s="90" t="s">
        <v>916</v>
      </c>
      <c r="AE25" s="90" t="s">
        <v>462</v>
      </c>
      <c r="AF25" s="90" t="s">
        <v>855</v>
      </c>
      <c r="AG25" s="90" t="s">
        <v>938</v>
      </c>
      <c r="AH25" s="90" t="s">
        <v>492</v>
      </c>
      <c r="AI25" s="90" t="s">
        <v>785</v>
      </c>
      <c r="AJ25" s="90" t="s">
        <v>948</v>
      </c>
      <c r="AK25" s="90" t="s">
        <v>821</v>
      </c>
      <c r="AL25" s="90" t="s">
        <v>962</v>
      </c>
      <c r="AM25" s="90" t="s">
        <v>965</v>
      </c>
      <c r="AN25" s="90" t="s">
        <v>536</v>
      </c>
      <c r="AO25" s="90" t="s">
        <v>546</v>
      </c>
      <c r="AP25" s="90" t="s">
        <v>555</v>
      </c>
      <c r="AQ25" s="90" t="s">
        <v>1000</v>
      </c>
      <c r="AR25" s="90" t="s">
        <v>1008</v>
      </c>
    </row>
    <row r="26" spans="1:44" x14ac:dyDescent="0.25">
      <c r="A26" s="90" t="s">
        <v>225</v>
      </c>
      <c r="B26" s="90" t="s">
        <v>627</v>
      </c>
      <c r="C26" s="90" t="s">
        <v>104</v>
      </c>
      <c r="D26" s="90" t="s">
        <v>656</v>
      </c>
      <c r="E26" s="90" t="s">
        <v>667</v>
      </c>
      <c r="F26" s="90" t="s">
        <v>675</v>
      </c>
      <c r="G26" s="148" t="s">
        <v>690</v>
      </c>
      <c r="H26" s="90" t="s">
        <v>698</v>
      </c>
      <c r="I26" s="90" t="s">
        <v>184</v>
      </c>
      <c r="J26" s="90" t="s">
        <v>199</v>
      </c>
      <c r="K26" s="90" t="s">
        <v>740</v>
      </c>
      <c r="L26" s="90" t="s">
        <v>743</v>
      </c>
      <c r="M26" s="90" t="s">
        <v>749</v>
      </c>
      <c r="N26" s="90" t="s">
        <v>223</v>
      </c>
      <c r="O26" s="90" t="s">
        <v>762</v>
      </c>
      <c r="P26" s="90" t="s">
        <v>766</v>
      </c>
      <c r="Q26" s="90"/>
      <c r="R26" s="90" t="s">
        <v>786</v>
      </c>
      <c r="S26" s="90" t="s">
        <v>742</v>
      </c>
      <c r="T26" s="90" t="s">
        <v>823</v>
      </c>
      <c r="U26" s="90" t="s">
        <v>640</v>
      </c>
      <c r="V26" s="90" t="s">
        <v>336</v>
      </c>
      <c r="W26" s="90" t="s">
        <v>342</v>
      </c>
      <c r="X26" s="90" t="s">
        <v>853</v>
      </c>
      <c r="Y26" s="90" t="s">
        <v>366</v>
      </c>
      <c r="Z26" s="90" t="s">
        <v>394</v>
      </c>
      <c r="AA26" s="90" t="s">
        <v>882</v>
      </c>
      <c r="AB26" s="90" t="s">
        <v>410</v>
      </c>
      <c r="AC26" s="90" t="s">
        <v>439</v>
      </c>
      <c r="AD26" s="90" t="s">
        <v>813</v>
      </c>
      <c r="AE26" s="90" t="s">
        <v>785</v>
      </c>
      <c r="AF26" s="90" t="s">
        <v>882</v>
      </c>
      <c r="AG26" s="90" t="s">
        <v>838</v>
      </c>
      <c r="AH26" s="90" t="s">
        <v>266</v>
      </c>
      <c r="AI26" s="90" t="s">
        <v>899</v>
      </c>
      <c r="AJ26" s="90" t="s">
        <v>506</v>
      </c>
      <c r="AK26" s="90" t="s">
        <v>757</v>
      </c>
      <c r="AL26" s="90" t="s">
        <v>963</v>
      </c>
      <c r="AM26" s="90" t="s">
        <v>966</v>
      </c>
      <c r="AN26" s="90" t="s">
        <v>537</v>
      </c>
      <c r="AO26" s="90" t="s">
        <v>981</v>
      </c>
      <c r="AP26" s="90" t="s">
        <v>556</v>
      </c>
      <c r="AQ26" s="90" t="s">
        <v>1172</v>
      </c>
      <c r="AR26" s="90" t="s">
        <v>627</v>
      </c>
    </row>
    <row r="27" spans="1:44" x14ac:dyDescent="0.25">
      <c r="A27" s="90" t="s">
        <v>604</v>
      </c>
      <c r="B27" s="90" t="s">
        <v>628</v>
      </c>
      <c r="C27" s="90" t="s">
        <v>105</v>
      </c>
      <c r="D27" s="90" t="s">
        <v>657</v>
      </c>
      <c r="E27" s="90" t="s">
        <v>668</v>
      </c>
      <c r="F27" s="90" t="s">
        <v>676</v>
      </c>
      <c r="G27" s="148" t="s">
        <v>160</v>
      </c>
      <c r="H27" s="90" t="s">
        <v>699</v>
      </c>
      <c r="I27" s="90" t="s">
        <v>185</v>
      </c>
      <c r="J27" s="90" t="s">
        <v>679</v>
      </c>
      <c r="K27" s="90" t="s">
        <v>1229</v>
      </c>
      <c r="L27" s="90" t="s">
        <v>744</v>
      </c>
      <c r="M27" s="90"/>
      <c r="N27" s="90" t="s">
        <v>224</v>
      </c>
      <c r="O27" s="90" t="s">
        <v>657</v>
      </c>
      <c r="P27" s="90" t="s">
        <v>767</v>
      </c>
      <c r="Q27" s="90"/>
      <c r="R27" s="90" t="s">
        <v>787</v>
      </c>
      <c r="S27" s="90" t="s">
        <v>812</v>
      </c>
      <c r="T27" s="90" t="s">
        <v>824</v>
      </c>
      <c r="U27" s="90" t="s">
        <v>641</v>
      </c>
      <c r="V27" s="90" t="s">
        <v>337</v>
      </c>
      <c r="W27" s="90" t="s">
        <v>848</v>
      </c>
      <c r="X27" s="90" t="s">
        <v>854</v>
      </c>
      <c r="Y27" s="90" t="s">
        <v>367</v>
      </c>
      <c r="Z27" s="90" t="s">
        <v>868</v>
      </c>
      <c r="AA27" s="90" t="s">
        <v>767</v>
      </c>
      <c r="AB27" s="90" t="s">
        <v>411</v>
      </c>
      <c r="AC27" s="90" t="s">
        <v>440</v>
      </c>
      <c r="AD27" s="90" t="s">
        <v>917</v>
      </c>
      <c r="AE27" s="90" t="s">
        <v>860</v>
      </c>
      <c r="AF27" s="90" t="s">
        <v>931</v>
      </c>
      <c r="AG27" s="90" t="s">
        <v>480</v>
      </c>
      <c r="AH27" s="90" t="s">
        <v>767</v>
      </c>
      <c r="AI27" s="90" t="s">
        <v>786</v>
      </c>
      <c r="AJ27" s="90" t="s">
        <v>505</v>
      </c>
      <c r="AK27" s="90" t="s">
        <v>951</v>
      </c>
      <c r="AL27" s="90" t="s">
        <v>1259</v>
      </c>
      <c r="AM27" s="90" t="s">
        <v>1263</v>
      </c>
      <c r="AN27" s="90" t="s">
        <v>538</v>
      </c>
      <c r="AO27" s="90" t="s">
        <v>982</v>
      </c>
      <c r="AP27" s="90" t="s">
        <v>557</v>
      </c>
      <c r="AQ27" s="90" t="s">
        <v>568</v>
      </c>
      <c r="AR27" s="90" t="s">
        <v>1009</v>
      </c>
    </row>
    <row r="28" spans="1:44" x14ac:dyDescent="0.25">
      <c r="A28" s="90" t="s">
        <v>81</v>
      </c>
      <c r="B28" s="90" t="s">
        <v>629</v>
      </c>
      <c r="C28" s="90" t="s">
        <v>638</v>
      </c>
      <c r="D28" s="90" t="s">
        <v>118</v>
      </c>
      <c r="E28" s="90" t="s">
        <v>422</v>
      </c>
      <c r="F28" s="90" t="s">
        <v>677</v>
      </c>
      <c r="G28" s="148" t="s">
        <v>161</v>
      </c>
      <c r="H28" s="90" t="s">
        <v>700</v>
      </c>
      <c r="I28" s="90" t="s">
        <v>186</v>
      </c>
      <c r="J28" s="90" t="s">
        <v>725</v>
      </c>
      <c r="L28" s="90" t="s">
        <v>1359</v>
      </c>
      <c r="M28" s="90"/>
      <c r="N28" s="90" t="s">
        <v>226</v>
      </c>
      <c r="O28" s="90" t="s">
        <v>256</v>
      </c>
      <c r="P28" s="90" t="s">
        <v>768</v>
      </c>
      <c r="Q28" s="90"/>
      <c r="R28" s="90" t="s">
        <v>788</v>
      </c>
      <c r="S28" s="90" t="s">
        <v>302</v>
      </c>
      <c r="T28" s="90" t="s">
        <v>309</v>
      </c>
      <c r="U28" s="90" t="s">
        <v>642</v>
      </c>
      <c r="V28" s="90" t="s">
        <v>837</v>
      </c>
      <c r="W28" s="90" t="s">
        <v>849</v>
      </c>
      <c r="X28" s="90" t="s">
        <v>823</v>
      </c>
      <c r="Y28" s="90" t="s">
        <v>1320</v>
      </c>
      <c r="Z28" s="90" t="s">
        <v>727</v>
      </c>
      <c r="AA28" s="90" t="s">
        <v>401</v>
      </c>
      <c r="AB28" s="90" t="s">
        <v>412</v>
      </c>
      <c r="AC28" s="90" t="s">
        <v>441</v>
      </c>
      <c r="AD28" s="90" t="s">
        <v>918</v>
      </c>
      <c r="AE28" s="90" t="s">
        <v>787</v>
      </c>
      <c r="AF28" s="90" t="s">
        <v>932</v>
      </c>
      <c r="AG28" s="90" t="s">
        <v>481</v>
      </c>
      <c r="AH28" s="90" t="s">
        <v>939</v>
      </c>
      <c r="AI28" s="90" t="s">
        <v>862</v>
      </c>
      <c r="AJ28" s="90" t="s">
        <v>949</v>
      </c>
      <c r="AK28" s="90" t="s">
        <v>824</v>
      </c>
      <c r="AL28" s="90" t="s">
        <v>522</v>
      </c>
      <c r="AM28" s="90" t="s">
        <v>528</v>
      </c>
      <c r="AN28" s="90" t="s">
        <v>665</v>
      </c>
      <c r="AO28" s="90" t="s">
        <v>547</v>
      </c>
      <c r="AP28" s="90" t="s">
        <v>558</v>
      </c>
      <c r="AQ28" s="90" t="s">
        <v>569</v>
      </c>
      <c r="AR28" s="90" t="s">
        <v>578</v>
      </c>
    </row>
    <row r="29" spans="1:44" x14ac:dyDescent="0.25">
      <c r="A29" s="90" t="s">
        <v>605</v>
      </c>
      <c r="B29" s="90" t="s">
        <v>630</v>
      </c>
      <c r="C29" s="90" t="s">
        <v>639</v>
      </c>
      <c r="D29" s="90" t="s">
        <v>120</v>
      </c>
      <c r="E29" s="90" t="s">
        <v>669</v>
      </c>
      <c r="F29" s="90" t="s">
        <v>678</v>
      </c>
      <c r="G29" s="148" t="s">
        <v>162</v>
      </c>
      <c r="H29" s="90" t="s">
        <v>701</v>
      </c>
      <c r="I29" s="90" t="s">
        <v>179</v>
      </c>
      <c r="J29" s="90" t="s">
        <v>726</v>
      </c>
      <c r="K29" s="90"/>
      <c r="L29" s="90" t="s">
        <v>745</v>
      </c>
      <c r="M29" s="90"/>
      <c r="N29" s="90" t="s">
        <v>225</v>
      </c>
      <c r="O29" s="90" t="s">
        <v>257</v>
      </c>
      <c r="P29" s="90" t="s">
        <v>769</v>
      </c>
      <c r="Q29" s="90"/>
      <c r="R29" s="90" t="s">
        <v>789</v>
      </c>
      <c r="S29" s="90" t="s">
        <v>303</v>
      </c>
      <c r="T29" s="90" t="s">
        <v>825</v>
      </c>
      <c r="U29" s="90" t="s">
        <v>319</v>
      </c>
      <c r="V29" s="90" t="s">
        <v>838</v>
      </c>
      <c r="W29" s="90" t="s">
        <v>239</v>
      </c>
      <c r="X29" s="90" t="s">
        <v>855</v>
      </c>
      <c r="Y29" s="90" t="s">
        <v>860</v>
      </c>
      <c r="Z29" s="90" t="s">
        <v>869</v>
      </c>
      <c r="AA29" s="90" t="s">
        <v>402</v>
      </c>
      <c r="AB29" s="90" t="s">
        <v>413</v>
      </c>
      <c r="AC29" s="90" t="s">
        <v>898</v>
      </c>
      <c r="AD29" s="90" t="s">
        <v>919</v>
      </c>
      <c r="AE29" s="90" t="s">
        <v>861</v>
      </c>
      <c r="AF29" s="90" t="s">
        <v>767</v>
      </c>
      <c r="AG29" s="90" t="s">
        <v>482</v>
      </c>
      <c r="AH29" s="90" t="s">
        <v>940</v>
      </c>
      <c r="AI29" s="90" t="s">
        <v>942</v>
      </c>
      <c r="AJ29" s="90" t="s">
        <v>950</v>
      </c>
      <c r="AK29" s="90" t="s">
        <v>758</v>
      </c>
      <c r="AL29" s="90" t="s">
        <v>964</v>
      </c>
      <c r="AM29" s="90" t="s">
        <v>967</v>
      </c>
      <c r="AN29" s="90" t="s">
        <v>889</v>
      </c>
      <c r="AO29" s="90" t="s">
        <v>548</v>
      </c>
      <c r="AP29" s="90" t="s">
        <v>766</v>
      </c>
      <c r="AQ29" s="90" t="s">
        <v>1001</v>
      </c>
      <c r="AR29" s="90" t="s">
        <v>580</v>
      </c>
    </row>
    <row r="30" spans="1:44" x14ac:dyDescent="0.25">
      <c r="A30" s="90" t="s">
        <v>606</v>
      </c>
      <c r="B30" s="90" t="s">
        <v>631</v>
      </c>
      <c r="C30" s="90" t="s">
        <v>640</v>
      </c>
      <c r="D30" s="90" t="s">
        <v>121</v>
      </c>
      <c r="E30" s="90" t="s">
        <v>539</v>
      </c>
      <c r="F30" s="90" t="s">
        <v>679</v>
      </c>
      <c r="G30" s="148" t="s">
        <v>163</v>
      </c>
      <c r="H30" s="90" t="s">
        <v>1343</v>
      </c>
      <c r="I30" s="90" t="s">
        <v>707</v>
      </c>
      <c r="J30" s="90" t="s">
        <v>680</v>
      </c>
      <c r="K30" s="90"/>
      <c r="L30" s="90" t="s">
        <v>214</v>
      </c>
      <c r="M30" s="90"/>
      <c r="N30" s="90" t="s">
        <v>81</v>
      </c>
      <c r="O30" s="90" t="s">
        <v>763</v>
      </c>
      <c r="P30" s="90" t="s">
        <v>270</v>
      </c>
      <c r="Q30" s="90"/>
      <c r="R30" s="90" t="s">
        <v>289</v>
      </c>
      <c r="S30" s="90" t="s">
        <v>813</v>
      </c>
      <c r="T30" s="90" t="s">
        <v>826</v>
      </c>
      <c r="U30" s="90" t="s">
        <v>320</v>
      </c>
      <c r="V30" s="90" t="s">
        <v>1234</v>
      </c>
      <c r="W30" s="90" t="s">
        <v>343</v>
      </c>
      <c r="X30" s="90" t="s">
        <v>856</v>
      </c>
      <c r="Y30" s="90" t="s">
        <v>787</v>
      </c>
      <c r="Z30" s="90" t="s">
        <v>870</v>
      </c>
      <c r="AA30" s="90" t="s">
        <v>883</v>
      </c>
      <c r="AB30" s="90" t="s">
        <v>414</v>
      </c>
      <c r="AC30" s="90" t="s">
        <v>899</v>
      </c>
      <c r="AD30" s="90" t="s">
        <v>920</v>
      </c>
      <c r="AE30" s="90" t="s">
        <v>862</v>
      </c>
      <c r="AF30" s="90" t="s">
        <v>469</v>
      </c>
      <c r="AG30" s="90" t="s">
        <v>483</v>
      </c>
      <c r="AH30" s="90" t="s">
        <v>941</v>
      </c>
      <c r="AI30" s="90" t="s">
        <v>943</v>
      </c>
      <c r="AJ30" s="90" t="s">
        <v>507</v>
      </c>
      <c r="AK30" s="90" t="s">
        <v>952</v>
      </c>
      <c r="AL30" s="90" t="s">
        <v>1260</v>
      </c>
      <c r="AM30" s="90" t="s">
        <v>968</v>
      </c>
      <c r="AN30" s="90" t="s">
        <v>972</v>
      </c>
      <c r="AO30" s="90" t="s">
        <v>983</v>
      </c>
      <c r="AP30" s="90" t="s">
        <v>854</v>
      </c>
      <c r="AQ30" s="90" t="s">
        <v>1002</v>
      </c>
      <c r="AR30" s="90" t="s">
        <v>581</v>
      </c>
    </row>
    <row r="31" spans="1:44" x14ac:dyDescent="0.25">
      <c r="A31" s="90" t="s">
        <v>82</v>
      </c>
      <c r="B31" s="90" t="s">
        <v>632</v>
      </c>
      <c r="C31" s="90" t="s">
        <v>641</v>
      </c>
      <c r="D31" s="90" t="s">
        <v>122</v>
      </c>
      <c r="E31" s="90" t="s">
        <v>670</v>
      </c>
      <c r="F31" s="90" t="s">
        <v>680</v>
      </c>
      <c r="G31" s="148" t="s">
        <v>164</v>
      </c>
      <c r="H31" s="90" t="s">
        <v>171</v>
      </c>
      <c r="I31" s="90" t="s">
        <v>708</v>
      </c>
      <c r="J31" s="90" t="s">
        <v>657</v>
      </c>
      <c r="K31" s="90"/>
      <c r="L31" s="90"/>
      <c r="M31" s="90"/>
      <c r="N31" s="90" t="s">
        <v>605</v>
      </c>
      <c r="O31" s="90" t="s">
        <v>202</v>
      </c>
      <c r="P31" s="90" t="s">
        <v>271</v>
      </c>
      <c r="Q31" s="90"/>
      <c r="R31" s="90" t="s">
        <v>790</v>
      </c>
      <c r="S31" s="90" t="s">
        <v>814</v>
      </c>
      <c r="T31" s="90" t="s">
        <v>827</v>
      </c>
      <c r="U31" s="90" t="s">
        <v>321</v>
      </c>
      <c r="V31" s="90" t="s">
        <v>1250</v>
      </c>
      <c r="W31" s="90" t="s">
        <v>851</v>
      </c>
      <c r="X31" s="90" t="s">
        <v>349</v>
      </c>
      <c r="Y31" s="90" t="s">
        <v>861</v>
      </c>
      <c r="Z31" s="90" t="s">
        <v>395</v>
      </c>
      <c r="AA31" s="90" t="s">
        <v>1091</v>
      </c>
      <c r="AB31" s="90" t="s">
        <v>415</v>
      </c>
      <c r="AC31" s="90" t="s">
        <v>786</v>
      </c>
      <c r="AD31" s="90" t="s">
        <v>455</v>
      </c>
      <c r="AE31" s="90" t="s">
        <v>922</v>
      </c>
      <c r="AF31" s="90" t="s">
        <v>933</v>
      </c>
      <c r="AG31" s="90" t="s">
        <v>484</v>
      </c>
      <c r="AH31" s="90" t="s">
        <v>692</v>
      </c>
      <c r="AI31" s="90" t="s">
        <v>922</v>
      </c>
      <c r="AJ31" s="90" t="s">
        <v>508</v>
      </c>
      <c r="AK31" s="90" t="s">
        <v>953</v>
      </c>
      <c r="AL31" s="90" t="s">
        <v>523</v>
      </c>
      <c r="AM31" s="90" t="s">
        <v>969</v>
      </c>
      <c r="AN31" s="90" t="s">
        <v>973</v>
      </c>
      <c r="AO31" s="90" t="s">
        <v>549</v>
      </c>
      <c r="AP31" s="90" t="s">
        <v>823</v>
      </c>
      <c r="AQ31" s="90" t="s">
        <v>570</v>
      </c>
      <c r="AR31" s="90" t="s">
        <v>579</v>
      </c>
    </row>
    <row r="32" spans="1:44" x14ac:dyDescent="0.25">
      <c r="A32" s="90" t="s">
        <v>83</v>
      </c>
      <c r="B32" s="90" t="s">
        <v>633</v>
      </c>
      <c r="C32" s="90" t="s">
        <v>642</v>
      </c>
      <c r="D32" s="90" t="s">
        <v>125</v>
      </c>
      <c r="E32" s="90" t="s">
        <v>671</v>
      </c>
      <c r="F32" s="90" t="s">
        <v>681</v>
      </c>
      <c r="G32" s="148" t="s">
        <v>165</v>
      </c>
      <c r="H32" s="90" t="s">
        <v>342</v>
      </c>
      <c r="I32" s="90" t="s">
        <v>709</v>
      </c>
      <c r="J32" s="90" t="s">
        <v>727</v>
      </c>
      <c r="K32" s="90"/>
      <c r="L32" s="90"/>
      <c r="M32" s="90"/>
      <c r="N32" s="90" t="s">
        <v>750</v>
      </c>
      <c r="O32" s="90" t="s">
        <v>258</v>
      </c>
      <c r="P32" s="90" t="s">
        <v>770</v>
      </c>
      <c r="Q32" s="90"/>
      <c r="R32" s="90" t="s">
        <v>290</v>
      </c>
      <c r="S32" s="90" t="s">
        <v>815</v>
      </c>
      <c r="T32" s="90" t="s">
        <v>828</v>
      </c>
      <c r="U32" s="90" t="s">
        <v>322</v>
      </c>
      <c r="V32" s="90" t="s">
        <v>839</v>
      </c>
      <c r="W32" s="90" t="s">
        <v>621</v>
      </c>
      <c r="X32" s="90" t="s">
        <v>350</v>
      </c>
      <c r="Y32" s="90" t="s">
        <v>862</v>
      </c>
      <c r="Z32" s="90" t="s">
        <v>871</v>
      </c>
      <c r="AA32" s="90" t="s">
        <v>884</v>
      </c>
      <c r="AB32" s="90" t="s">
        <v>416</v>
      </c>
      <c r="AC32" s="90" t="s">
        <v>900</v>
      </c>
      <c r="AD32" s="90" t="s">
        <v>456</v>
      </c>
      <c r="AE32" s="90" t="s">
        <v>923</v>
      </c>
      <c r="AF32" s="90" t="s">
        <v>471</v>
      </c>
      <c r="AG32" s="90" t="s">
        <v>485</v>
      </c>
      <c r="AH32" s="90" t="s">
        <v>885</v>
      </c>
      <c r="AI32" s="90" t="s">
        <v>923</v>
      </c>
      <c r="AJ32" s="90"/>
      <c r="AK32" s="90" t="s">
        <v>1344</v>
      </c>
      <c r="AL32" s="90" t="s">
        <v>240</v>
      </c>
      <c r="AM32" s="90" t="s">
        <v>970</v>
      </c>
      <c r="AN32" s="90" t="s">
        <v>974</v>
      </c>
      <c r="AO32" s="90" t="s">
        <v>984</v>
      </c>
      <c r="AP32" s="90" t="s">
        <v>986</v>
      </c>
      <c r="AQ32" s="90" t="s">
        <v>1003</v>
      </c>
      <c r="AR32" s="90" t="s">
        <v>1010</v>
      </c>
    </row>
    <row r="33" spans="1:44" x14ac:dyDescent="0.25">
      <c r="A33" s="90" t="s">
        <v>607</v>
      </c>
      <c r="B33" s="90" t="s">
        <v>95</v>
      </c>
      <c r="C33" s="90" t="s">
        <v>643</v>
      </c>
      <c r="D33" s="90" t="s">
        <v>126</v>
      </c>
      <c r="E33" s="90" t="s">
        <v>673</v>
      </c>
      <c r="F33" s="90" t="s">
        <v>139</v>
      </c>
      <c r="G33" s="148" t="s">
        <v>691</v>
      </c>
      <c r="H33" s="90" t="s">
        <v>702</v>
      </c>
      <c r="I33" s="90" t="s">
        <v>710</v>
      </c>
      <c r="J33" s="90" t="s">
        <v>728</v>
      </c>
      <c r="K33" s="90"/>
      <c r="L33" s="90"/>
      <c r="M33" s="90"/>
      <c r="N33" s="90" t="s">
        <v>751</v>
      </c>
      <c r="O33" s="90" t="s">
        <v>259</v>
      </c>
      <c r="P33" s="90" t="s">
        <v>771</v>
      </c>
      <c r="Q33" s="90"/>
      <c r="R33" s="90" t="s">
        <v>291</v>
      </c>
      <c r="S33" s="90" t="s">
        <v>816</v>
      </c>
      <c r="T33" s="90" t="s">
        <v>829</v>
      </c>
      <c r="U33" s="90" t="s">
        <v>323</v>
      </c>
      <c r="V33" s="90" t="s">
        <v>840</v>
      </c>
      <c r="W33" s="90"/>
      <c r="X33" s="90" t="s">
        <v>351</v>
      </c>
      <c r="Y33" s="90" t="s">
        <v>628</v>
      </c>
      <c r="Z33" s="90" t="s">
        <v>872</v>
      </c>
      <c r="AA33" s="90" t="s">
        <v>885</v>
      </c>
      <c r="AB33" s="90" t="s">
        <v>417</v>
      </c>
      <c r="AC33" s="90" t="s">
        <v>901</v>
      </c>
      <c r="AD33" s="90" t="s">
        <v>457</v>
      </c>
      <c r="AE33" s="90" t="s">
        <v>372</v>
      </c>
      <c r="AF33" s="90" t="s">
        <v>470</v>
      </c>
      <c r="AG33" s="90" t="s">
        <v>486</v>
      </c>
      <c r="AH33" s="90" t="s">
        <v>1246</v>
      </c>
      <c r="AI33" s="90" t="s">
        <v>443</v>
      </c>
      <c r="AJ33" s="90"/>
      <c r="AK33" s="90" t="s">
        <v>513</v>
      </c>
      <c r="AL33" s="90" t="s">
        <v>524</v>
      </c>
      <c r="AM33" s="90" t="s">
        <v>1264</v>
      </c>
      <c r="AN33" s="90" t="s">
        <v>1265</v>
      </c>
      <c r="AO33" s="90" t="s">
        <v>985</v>
      </c>
      <c r="AP33" s="90" t="s">
        <v>856</v>
      </c>
      <c r="AQ33" s="90" t="s">
        <v>1158</v>
      </c>
      <c r="AR33" s="90" t="s">
        <v>1011</v>
      </c>
    </row>
    <row r="34" spans="1:44" x14ac:dyDescent="0.25">
      <c r="A34" s="90" t="s">
        <v>84</v>
      </c>
      <c r="B34" s="90" t="s">
        <v>634</v>
      </c>
      <c r="C34" s="90" t="s">
        <v>106</v>
      </c>
      <c r="D34" s="90" t="s">
        <v>127</v>
      </c>
      <c r="E34" s="90" t="s">
        <v>674</v>
      </c>
      <c r="F34" s="90" t="s">
        <v>140</v>
      </c>
      <c r="G34" s="148" t="s">
        <v>1090</v>
      </c>
      <c r="H34" s="90" t="s">
        <v>703</v>
      </c>
      <c r="I34" s="90" t="s">
        <v>187</v>
      </c>
      <c r="J34" s="90" t="s">
        <v>201</v>
      </c>
      <c r="K34" s="90"/>
      <c r="L34" s="90"/>
      <c r="M34" s="90"/>
      <c r="N34" s="90" t="s">
        <v>752</v>
      </c>
      <c r="O34" s="90" t="s">
        <v>108</v>
      </c>
      <c r="P34" s="90" t="s">
        <v>274</v>
      </c>
      <c r="Q34" s="90"/>
      <c r="R34" s="90" t="s">
        <v>791</v>
      </c>
      <c r="S34" s="90" t="s">
        <v>1359</v>
      </c>
      <c r="T34" s="90" t="s">
        <v>830</v>
      </c>
      <c r="U34" s="90" t="s">
        <v>324</v>
      </c>
      <c r="V34" s="90" t="s">
        <v>841</v>
      </c>
      <c r="W34" s="90"/>
      <c r="X34" s="90" t="s">
        <v>352</v>
      </c>
      <c r="Y34" s="90" t="s">
        <v>1389</v>
      </c>
      <c r="Z34" s="90" t="s">
        <v>873</v>
      </c>
      <c r="AA34" s="90" t="s">
        <v>886</v>
      </c>
      <c r="AB34" s="90" t="s">
        <v>887</v>
      </c>
      <c r="AC34" s="90" t="s">
        <v>788</v>
      </c>
      <c r="AD34" s="90"/>
      <c r="AE34" s="90" t="s">
        <v>924</v>
      </c>
      <c r="AF34" s="90" t="s">
        <v>934</v>
      </c>
      <c r="AG34" s="90" t="s">
        <v>1243</v>
      </c>
      <c r="AH34" s="90"/>
      <c r="AI34" s="90" t="s">
        <v>498</v>
      </c>
      <c r="AJ34" s="90"/>
      <c r="AK34" s="90" t="s">
        <v>514</v>
      </c>
      <c r="AL34" s="90" t="s">
        <v>1089</v>
      </c>
      <c r="AM34" s="90" t="s">
        <v>971</v>
      </c>
      <c r="AN34" s="90" t="s">
        <v>540</v>
      </c>
      <c r="AO34" s="90" t="s">
        <v>1347</v>
      </c>
      <c r="AP34" s="90" t="s">
        <v>987</v>
      </c>
      <c r="AQ34" s="90" t="s">
        <v>1159</v>
      </c>
      <c r="AR34" s="90" t="s">
        <v>1012</v>
      </c>
    </row>
    <row r="35" spans="1:44" x14ac:dyDescent="0.25">
      <c r="A35" s="90" t="s">
        <v>85</v>
      </c>
      <c r="B35" s="90" t="s">
        <v>635</v>
      </c>
      <c r="C35" s="90" t="s">
        <v>107</v>
      </c>
      <c r="D35" s="90" t="s">
        <v>128</v>
      </c>
      <c r="F35" s="90" t="s">
        <v>141</v>
      </c>
      <c r="G35" s="148" t="s">
        <v>692</v>
      </c>
      <c r="H35" s="90" t="s">
        <v>704</v>
      </c>
      <c r="I35" s="90" t="s">
        <v>711</v>
      </c>
      <c r="J35" s="90" t="s">
        <v>395</v>
      </c>
      <c r="K35" s="90"/>
      <c r="L35" s="90"/>
      <c r="M35" s="90"/>
      <c r="N35" s="90" t="s">
        <v>753</v>
      </c>
      <c r="O35" s="90" t="s">
        <v>260</v>
      </c>
      <c r="P35" s="90" t="s">
        <v>273</v>
      </c>
      <c r="Q35" s="90"/>
      <c r="R35" s="90" t="s">
        <v>292</v>
      </c>
      <c r="S35" s="90" t="s">
        <v>817</v>
      </c>
      <c r="T35" s="90" t="s">
        <v>1247</v>
      </c>
      <c r="U35" s="90" t="s">
        <v>325</v>
      </c>
      <c r="V35" s="90" t="s">
        <v>486</v>
      </c>
      <c r="W35" s="90"/>
      <c r="X35" s="90" t="s">
        <v>560</v>
      </c>
      <c r="Y35" s="90" t="s">
        <v>1390</v>
      </c>
      <c r="Z35" s="90" t="s">
        <v>874</v>
      </c>
      <c r="AA35" s="90" t="s">
        <v>1238</v>
      </c>
      <c r="AB35" s="90" t="s">
        <v>707</v>
      </c>
      <c r="AC35" s="90" t="s">
        <v>902</v>
      </c>
      <c r="AD35" s="90"/>
      <c r="AE35" s="90" t="s">
        <v>463</v>
      </c>
      <c r="AF35" s="90" t="s">
        <v>935</v>
      </c>
      <c r="AG35" s="90" t="s">
        <v>731</v>
      </c>
      <c r="AH35" s="90"/>
      <c r="AI35" s="90" t="s">
        <v>499</v>
      </c>
      <c r="AJ35" s="90"/>
      <c r="AK35" s="90" t="s">
        <v>515</v>
      </c>
      <c r="AL35" s="90" t="s">
        <v>1258</v>
      </c>
      <c r="AM35" s="90" t="s">
        <v>530</v>
      </c>
      <c r="AN35" s="90" t="s">
        <v>890</v>
      </c>
      <c r="AO35" s="90"/>
      <c r="AP35" s="90" t="s">
        <v>988</v>
      </c>
      <c r="AQ35" s="90" t="s">
        <v>572</v>
      </c>
      <c r="AR35" s="90" t="s">
        <v>582</v>
      </c>
    </row>
    <row r="36" spans="1:44" x14ac:dyDescent="0.25">
      <c r="A36" s="90" t="s">
        <v>86</v>
      </c>
      <c r="B36" s="90" t="s">
        <v>636</v>
      </c>
      <c r="C36" s="90" t="s">
        <v>108</v>
      </c>
      <c r="D36" s="90" t="s">
        <v>119</v>
      </c>
      <c r="F36" s="90" t="s">
        <v>142</v>
      </c>
      <c r="G36" s="148" t="s">
        <v>693</v>
      </c>
      <c r="H36" s="90" t="s">
        <v>705</v>
      </c>
      <c r="I36" s="90" t="s">
        <v>421</v>
      </c>
      <c r="J36" s="90" t="s">
        <v>202</v>
      </c>
      <c r="K36" s="90"/>
      <c r="L36" s="90"/>
      <c r="M36" s="90"/>
      <c r="N36" s="90" t="s">
        <v>754</v>
      </c>
      <c r="O36" s="90" t="s">
        <v>261</v>
      </c>
      <c r="P36" s="90" t="s">
        <v>272</v>
      </c>
      <c r="Q36" s="90"/>
      <c r="R36" s="90" t="s">
        <v>293</v>
      </c>
      <c r="S36" s="90" t="s">
        <v>304</v>
      </c>
      <c r="T36" s="90" t="s">
        <v>310</v>
      </c>
      <c r="U36" s="90" t="s">
        <v>326</v>
      </c>
      <c r="V36" s="90" t="s">
        <v>842</v>
      </c>
      <c r="W36" s="90"/>
      <c r="X36" s="90" t="s">
        <v>857</v>
      </c>
      <c r="Y36" s="251" t="s">
        <v>1149</v>
      </c>
      <c r="Z36" s="90" t="s">
        <v>206</v>
      </c>
      <c r="AA36" s="90" t="s">
        <v>1266</v>
      </c>
      <c r="AB36" s="90" t="s">
        <v>888</v>
      </c>
      <c r="AC36" s="90" t="s">
        <v>442</v>
      </c>
      <c r="AD36" s="90"/>
      <c r="AE36" s="90" t="s">
        <v>382</v>
      </c>
      <c r="AF36" s="90" t="s">
        <v>936</v>
      </c>
      <c r="AG36" s="90" t="s">
        <v>148</v>
      </c>
      <c r="AH36" s="90"/>
      <c r="AI36" s="90" t="s">
        <v>446</v>
      </c>
      <c r="AJ36" s="90"/>
      <c r="AK36" s="90" t="s">
        <v>954</v>
      </c>
      <c r="AL36" s="90" t="s">
        <v>1261</v>
      </c>
      <c r="AM36" s="90" t="s">
        <v>529</v>
      </c>
      <c r="AN36" s="90" t="s">
        <v>975</v>
      </c>
      <c r="AO36" s="90"/>
      <c r="AP36" s="90" t="s">
        <v>989</v>
      </c>
      <c r="AQ36" s="90" t="s">
        <v>573</v>
      </c>
      <c r="AR36" s="90" t="s">
        <v>96</v>
      </c>
    </row>
    <row r="37" spans="1:44" x14ac:dyDescent="0.25">
      <c r="A37" s="90" t="s">
        <v>87</v>
      </c>
      <c r="B37" s="90" t="s">
        <v>1002</v>
      </c>
      <c r="C37" s="90" t="s">
        <v>110</v>
      </c>
      <c r="D37" s="90" t="s">
        <v>123</v>
      </c>
      <c r="E37" s="90"/>
      <c r="F37" s="90" t="s">
        <v>143</v>
      </c>
      <c r="G37" s="148" t="s">
        <v>1226</v>
      </c>
      <c r="H37" s="90" t="s">
        <v>1166</v>
      </c>
      <c r="I37" s="90" t="s">
        <v>712</v>
      </c>
      <c r="J37" s="90" t="s">
        <v>203</v>
      </c>
      <c r="K37" s="90"/>
      <c r="L37" s="90"/>
      <c r="M37" s="90"/>
      <c r="N37" s="90" t="s">
        <v>606</v>
      </c>
      <c r="O37" s="90" t="s">
        <v>262</v>
      </c>
      <c r="P37" s="90" t="s">
        <v>772</v>
      </c>
      <c r="Q37" s="90"/>
      <c r="R37" s="90" t="s">
        <v>294</v>
      </c>
      <c r="S37" s="90" t="s">
        <v>818</v>
      </c>
      <c r="T37" s="90" t="s">
        <v>311</v>
      </c>
      <c r="U37" s="90" t="s">
        <v>261</v>
      </c>
      <c r="V37" s="90" t="s">
        <v>843</v>
      </c>
      <c r="W37" s="90"/>
      <c r="X37" s="90" t="s">
        <v>858</v>
      </c>
      <c r="Y37" s="90" t="s">
        <v>368</v>
      </c>
      <c r="Z37" s="90" t="s">
        <v>875</v>
      </c>
      <c r="AA37" s="90" t="s">
        <v>1239</v>
      </c>
      <c r="AB37" s="90" t="s">
        <v>666</v>
      </c>
      <c r="AC37" s="90" t="s">
        <v>443</v>
      </c>
      <c r="AD37" s="90"/>
      <c r="AE37" s="90" t="s">
        <v>925</v>
      </c>
      <c r="AF37" s="90" t="s">
        <v>472</v>
      </c>
      <c r="AG37" s="90" t="s">
        <v>1245</v>
      </c>
      <c r="AH37" s="90"/>
      <c r="AI37" s="90" t="s">
        <v>791</v>
      </c>
      <c r="AJ37" s="90"/>
      <c r="AK37" s="90" t="s">
        <v>955</v>
      </c>
      <c r="AM37" s="90" t="s">
        <v>1262</v>
      </c>
      <c r="AN37" s="90" t="s">
        <v>976</v>
      </c>
      <c r="AO37" s="90"/>
      <c r="AP37" s="90" t="s">
        <v>952</v>
      </c>
      <c r="AQ37" s="90" t="s">
        <v>1004</v>
      </c>
      <c r="AR37" s="90" t="s">
        <v>1013</v>
      </c>
    </row>
    <row r="38" spans="1:44" x14ac:dyDescent="0.25">
      <c r="A38" s="90" t="s">
        <v>88</v>
      </c>
      <c r="B38" s="90" t="s">
        <v>96</v>
      </c>
      <c r="C38" s="90" t="s">
        <v>109</v>
      </c>
      <c r="D38" s="90" t="s">
        <v>124</v>
      </c>
      <c r="E38" s="90"/>
      <c r="F38" s="90" t="s">
        <v>682</v>
      </c>
      <c r="G38" s="148" t="s">
        <v>1345</v>
      </c>
      <c r="H38" s="90" t="s">
        <v>1346</v>
      </c>
      <c r="I38" s="90" t="s">
        <v>1268</v>
      </c>
      <c r="J38" s="90" t="s">
        <v>729</v>
      </c>
      <c r="K38" s="90"/>
      <c r="L38" s="90"/>
      <c r="M38" s="90"/>
      <c r="N38" s="90" t="s">
        <v>755</v>
      </c>
      <c r="O38" s="90" t="s">
        <v>658</v>
      </c>
      <c r="P38" s="90" t="s">
        <v>692</v>
      </c>
      <c r="Q38" s="90"/>
      <c r="R38" s="90" t="s">
        <v>295</v>
      </c>
      <c r="S38" s="90" t="s">
        <v>305</v>
      </c>
      <c r="T38" s="90" t="s">
        <v>312</v>
      </c>
      <c r="U38" s="90" t="s">
        <v>327</v>
      </c>
      <c r="V38" s="90" t="s">
        <v>1251</v>
      </c>
      <c r="W38" s="90"/>
      <c r="X38" s="90" t="s">
        <v>859</v>
      </c>
      <c r="Y38" s="90" t="s">
        <v>369</v>
      </c>
      <c r="Z38" s="90" t="s">
        <v>843</v>
      </c>
      <c r="AA38" s="90" t="s">
        <v>403</v>
      </c>
      <c r="AB38" s="90" t="s">
        <v>889</v>
      </c>
      <c r="AC38" s="90" t="s">
        <v>444</v>
      </c>
      <c r="AD38" s="90"/>
      <c r="AE38" s="90" t="s">
        <v>464</v>
      </c>
      <c r="AF38" s="90" t="s">
        <v>473</v>
      </c>
      <c r="AG38" s="90" t="s">
        <v>846</v>
      </c>
      <c r="AH38" s="90"/>
      <c r="AI38" s="90" t="s">
        <v>500</v>
      </c>
      <c r="AJ38" s="90"/>
      <c r="AK38" s="90" t="s">
        <v>825</v>
      </c>
      <c r="AL38" s="90"/>
      <c r="AM38" s="90"/>
      <c r="AN38" s="90" t="s">
        <v>539</v>
      </c>
      <c r="AO38" s="90"/>
      <c r="AP38" s="90" t="s">
        <v>953</v>
      </c>
      <c r="AQ38" s="90" t="s">
        <v>1005</v>
      </c>
      <c r="AR38" s="90" t="s">
        <v>583</v>
      </c>
    </row>
    <row r="39" spans="1:44" x14ac:dyDescent="0.25">
      <c r="A39" s="90" t="s">
        <v>608</v>
      </c>
      <c r="B39" s="90" t="s">
        <v>97</v>
      </c>
      <c r="C39" s="90" t="s">
        <v>111</v>
      </c>
      <c r="D39" s="90" t="s">
        <v>658</v>
      </c>
      <c r="E39" s="90"/>
      <c r="F39" s="90" t="s">
        <v>144</v>
      </c>
      <c r="G39" s="148" t="s">
        <v>694</v>
      </c>
      <c r="H39" s="90" t="s">
        <v>172</v>
      </c>
      <c r="I39" s="90" t="s">
        <v>713</v>
      </c>
      <c r="J39" s="90" t="s">
        <v>204</v>
      </c>
      <c r="K39" s="90"/>
      <c r="L39" s="90"/>
      <c r="M39" s="90"/>
      <c r="N39" s="90" t="s">
        <v>756</v>
      </c>
      <c r="O39" s="90" t="s">
        <v>764</v>
      </c>
      <c r="P39" s="90" t="s">
        <v>1249</v>
      </c>
      <c r="Q39" s="90"/>
      <c r="R39" s="90" t="s">
        <v>792</v>
      </c>
      <c r="S39" s="90" t="s">
        <v>819</v>
      </c>
      <c r="T39" s="90" t="s">
        <v>1231</v>
      </c>
      <c r="U39" s="90" t="s">
        <v>328</v>
      </c>
      <c r="V39" s="90" t="s">
        <v>844</v>
      </c>
      <c r="W39" s="90"/>
      <c r="X39" s="90" t="s">
        <v>353</v>
      </c>
      <c r="Y39" s="90" t="s">
        <v>370</v>
      </c>
      <c r="Z39" s="90" t="s">
        <v>876</v>
      </c>
      <c r="AA39" s="90"/>
      <c r="AB39" s="90" t="s">
        <v>667</v>
      </c>
      <c r="AC39" s="90" t="s">
        <v>445</v>
      </c>
      <c r="AD39" s="90"/>
      <c r="AE39" s="90" t="s">
        <v>926</v>
      </c>
      <c r="AF39" s="90" t="s">
        <v>474</v>
      </c>
      <c r="AG39" s="90" t="s">
        <v>1242</v>
      </c>
      <c r="AH39" s="90"/>
      <c r="AI39" s="90" t="s">
        <v>463</v>
      </c>
      <c r="AJ39" s="90"/>
      <c r="AK39" s="90" t="s">
        <v>236</v>
      </c>
      <c r="AL39" s="90"/>
      <c r="AM39" s="90"/>
      <c r="AN39" s="90" t="s">
        <v>977</v>
      </c>
      <c r="AO39" s="90"/>
      <c r="AP39" s="90" t="s">
        <v>769</v>
      </c>
      <c r="AQ39" s="90" t="s">
        <v>1006</v>
      </c>
      <c r="AR39" s="90" t="s">
        <v>1015</v>
      </c>
    </row>
    <row r="40" spans="1:44" x14ac:dyDescent="0.25">
      <c r="A40" s="90" t="s">
        <v>609</v>
      </c>
      <c r="B40" s="90" t="s">
        <v>637</v>
      </c>
      <c r="C40" s="90" t="s">
        <v>644</v>
      </c>
      <c r="D40" s="90" t="s">
        <v>659</v>
      </c>
      <c r="E40" s="90"/>
      <c r="F40" s="90" t="s">
        <v>145</v>
      </c>
      <c r="G40" s="148" t="s">
        <v>166</v>
      </c>
      <c r="H40" s="90" t="s">
        <v>173</v>
      </c>
      <c r="I40" s="90" t="s">
        <v>714</v>
      </c>
      <c r="J40" s="90" t="s">
        <v>205</v>
      </c>
      <c r="K40" s="90"/>
      <c r="L40" s="90"/>
      <c r="M40" s="90"/>
      <c r="N40" s="90" t="s">
        <v>757</v>
      </c>
      <c r="O40" s="90" t="s">
        <v>263</v>
      </c>
      <c r="P40" s="90" t="s">
        <v>773</v>
      </c>
      <c r="Q40" s="90"/>
      <c r="R40" s="90" t="s">
        <v>793</v>
      </c>
      <c r="S40" s="90" t="s">
        <v>820</v>
      </c>
      <c r="T40" s="90" t="s">
        <v>831</v>
      </c>
      <c r="U40" s="90" t="s">
        <v>329</v>
      </c>
      <c r="V40" s="90" t="s">
        <v>845</v>
      </c>
      <c r="W40" s="90"/>
      <c r="X40" s="90" t="s">
        <v>354</v>
      </c>
      <c r="Y40" s="90" t="s">
        <v>371</v>
      </c>
      <c r="Z40" s="90" t="s">
        <v>877</v>
      </c>
      <c r="AA40" s="90"/>
      <c r="AB40" s="90" t="s">
        <v>1240</v>
      </c>
      <c r="AC40" s="90" t="s">
        <v>446</v>
      </c>
      <c r="AD40" s="90"/>
      <c r="AE40" s="90" t="s">
        <v>927</v>
      </c>
      <c r="AF40" s="90" t="s">
        <v>475</v>
      </c>
      <c r="AH40" s="90"/>
      <c r="AI40" s="90" t="s">
        <v>294</v>
      </c>
      <c r="AJ40" s="90"/>
      <c r="AK40" s="90" t="s">
        <v>237</v>
      </c>
      <c r="AL40" s="90"/>
      <c r="AM40" s="90"/>
      <c r="AN40" s="90" t="s">
        <v>541</v>
      </c>
      <c r="AO40" s="90"/>
      <c r="AP40" s="90" t="s">
        <v>990</v>
      </c>
      <c r="AQ40" s="90" t="s">
        <v>1007</v>
      </c>
      <c r="AR40" s="90" t="s">
        <v>584</v>
      </c>
    </row>
    <row r="41" spans="1:44" x14ac:dyDescent="0.25">
      <c r="A41" s="90" t="s">
        <v>342</v>
      </c>
      <c r="B41" s="90"/>
      <c r="C41" s="90" t="s">
        <v>645</v>
      </c>
      <c r="D41" s="90" t="s">
        <v>661</v>
      </c>
      <c r="E41" s="90"/>
      <c r="F41" s="90" t="s">
        <v>146</v>
      </c>
      <c r="G41" s="148" t="s">
        <v>695</v>
      </c>
      <c r="H41" s="90" t="s">
        <v>174</v>
      </c>
      <c r="I41" s="90" t="s">
        <v>715</v>
      </c>
      <c r="J41" s="90" t="s">
        <v>206</v>
      </c>
      <c r="K41" s="90"/>
      <c r="L41" s="90"/>
      <c r="M41" s="90"/>
      <c r="N41" s="90" t="s">
        <v>758</v>
      </c>
      <c r="P41" s="90" t="s">
        <v>774</v>
      </c>
      <c r="Q41" s="90"/>
      <c r="R41" s="90" t="s">
        <v>794</v>
      </c>
      <c r="S41" s="90"/>
      <c r="T41" s="90" t="s">
        <v>1270</v>
      </c>
      <c r="U41" s="90" t="s">
        <v>832</v>
      </c>
      <c r="V41" s="90" t="s">
        <v>1252</v>
      </c>
      <c r="W41" s="90"/>
      <c r="X41" s="90" t="s">
        <v>355</v>
      </c>
      <c r="Y41" s="90" t="s">
        <v>372</v>
      </c>
      <c r="Z41" s="90" t="s">
        <v>731</v>
      </c>
      <c r="AA41" s="90"/>
      <c r="AB41" s="90" t="s">
        <v>890</v>
      </c>
      <c r="AC41" s="90" t="s">
        <v>447</v>
      </c>
      <c r="AD41" s="90"/>
      <c r="AE41" s="90" t="s">
        <v>928</v>
      </c>
      <c r="AF41" s="90" t="s">
        <v>476</v>
      </c>
      <c r="AG41" s="90"/>
      <c r="AH41" s="90"/>
      <c r="AI41" s="90" t="s">
        <v>906</v>
      </c>
      <c r="AJ41" s="90"/>
      <c r="AK41" s="90" t="s">
        <v>956</v>
      </c>
      <c r="AL41" s="90"/>
      <c r="AM41" s="90"/>
      <c r="AN41" s="90" t="s">
        <v>978</v>
      </c>
      <c r="AO41" s="90"/>
      <c r="AP41" s="90" t="s">
        <v>559</v>
      </c>
    </row>
    <row r="42" spans="1:44" x14ac:dyDescent="0.25">
      <c r="A42" s="90" t="s">
        <v>610</v>
      </c>
      <c r="B42" s="90"/>
      <c r="C42" s="90" t="s">
        <v>646</v>
      </c>
      <c r="D42" s="90" t="s">
        <v>129</v>
      </c>
      <c r="E42" s="90"/>
      <c r="F42" s="90" t="s">
        <v>147</v>
      </c>
      <c r="G42" s="148" t="s">
        <v>696</v>
      </c>
      <c r="H42" s="90" t="s">
        <v>176</v>
      </c>
      <c r="I42" s="90" t="s">
        <v>716</v>
      </c>
      <c r="J42" s="90" t="s">
        <v>146</v>
      </c>
      <c r="K42" s="90"/>
      <c r="L42" s="90"/>
      <c r="M42" s="90"/>
      <c r="N42" s="90" t="s">
        <v>227</v>
      </c>
      <c r="O42" s="90"/>
      <c r="P42" s="90" t="s">
        <v>775</v>
      </c>
      <c r="Q42" s="90"/>
      <c r="R42" s="90" t="s">
        <v>795</v>
      </c>
      <c r="S42" s="90"/>
      <c r="T42" s="90"/>
      <c r="U42" s="90" t="s">
        <v>833</v>
      </c>
      <c r="V42" s="90" t="s">
        <v>1235</v>
      </c>
      <c r="W42" s="90"/>
      <c r="X42" s="90" t="s">
        <v>356</v>
      </c>
      <c r="Y42" s="90" t="s">
        <v>373</v>
      </c>
      <c r="Z42" s="90" t="s">
        <v>148</v>
      </c>
      <c r="AA42" s="90"/>
      <c r="AB42" s="90" t="s">
        <v>419</v>
      </c>
      <c r="AC42" s="90" t="s">
        <v>903</v>
      </c>
      <c r="AD42" s="90"/>
      <c r="AE42" s="90" t="s">
        <v>929</v>
      </c>
      <c r="AF42" s="90" t="s">
        <v>937</v>
      </c>
      <c r="AG42" s="90"/>
      <c r="AH42" s="90"/>
      <c r="AI42" s="90" t="s">
        <v>796</v>
      </c>
      <c r="AJ42" s="90"/>
      <c r="AK42" s="90" t="s">
        <v>957</v>
      </c>
      <c r="AL42" s="90"/>
      <c r="AM42" s="90"/>
      <c r="AN42" s="90" t="s">
        <v>895</v>
      </c>
      <c r="AO42" s="90"/>
      <c r="AP42" s="90" t="s">
        <v>991</v>
      </c>
      <c r="AQ42" s="90"/>
      <c r="AR42" s="90"/>
    </row>
    <row r="43" spans="1:44" x14ac:dyDescent="0.25">
      <c r="A43" s="90" t="s">
        <v>238</v>
      </c>
      <c r="B43" s="90"/>
      <c r="C43" s="90" t="s">
        <v>647</v>
      </c>
      <c r="D43" s="90" t="s">
        <v>662</v>
      </c>
      <c r="E43" s="90"/>
      <c r="F43" s="90" t="s">
        <v>683</v>
      </c>
      <c r="G43" s="148" t="s">
        <v>697</v>
      </c>
      <c r="H43" s="90" t="s">
        <v>175</v>
      </c>
      <c r="I43" s="90" t="s">
        <v>717</v>
      </c>
      <c r="J43" s="90" t="s">
        <v>208</v>
      </c>
      <c r="K43" s="90"/>
      <c r="L43" s="90"/>
      <c r="M43" s="90"/>
      <c r="N43" s="90" t="s">
        <v>607</v>
      </c>
      <c r="O43" s="90"/>
      <c r="P43" s="90" t="s">
        <v>776</v>
      </c>
      <c r="Q43" s="90"/>
      <c r="R43" s="90" t="s">
        <v>796</v>
      </c>
      <c r="S43" s="90"/>
      <c r="T43" s="90"/>
      <c r="U43" s="90" t="s">
        <v>651</v>
      </c>
      <c r="V43" s="90" t="s">
        <v>846</v>
      </c>
      <c r="W43" s="90"/>
      <c r="X43" s="90" t="s">
        <v>357</v>
      </c>
      <c r="Y43" s="90" t="s">
        <v>374</v>
      </c>
      <c r="Z43" s="90" t="s">
        <v>396</v>
      </c>
      <c r="AA43" s="90"/>
      <c r="AB43" s="90" t="s">
        <v>421</v>
      </c>
      <c r="AC43" s="90" t="s">
        <v>904</v>
      </c>
      <c r="AD43" s="90"/>
      <c r="AE43" s="90" t="s">
        <v>930</v>
      </c>
      <c r="AF43" s="90"/>
      <c r="AG43" s="90"/>
      <c r="AH43" s="90"/>
      <c r="AI43" s="90" t="s">
        <v>799</v>
      </c>
      <c r="AJ43" s="90"/>
      <c r="AK43" s="90" t="s">
        <v>958</v>
      </c>
      <c r="AL43" s="90"/>
      <c r="AM43" s="90"/>
      <c r="AN43" s="90" t="s">
        <v>428</v>
      </c>
      <c r="AO43" s="90"/>
      <c r="AP43" s="90" t="s">
        <v>560</v>
      </c>
      <c r="AQ43" s="90"/>
      <c r="AR43" s="90"/>
    </row>
    <row r="44" spans="1:44" x14ac:dyDescent="0.25">
      <c r="A44" s="90" t="s">
        <v>611</v>
      </c>
      <c r="B44" s="90"/>
      <c r="C44" s="90" t="s">
        <v>648</v>
      </c>
      <c r="D44" s="90" t="s">
        <v>1173</v>
      </c>
      <c r="E44" s="90"/>
      <c r="F44" s="90" t="s">
        <v>684</v>
      </c>
      <c r="G44" s="90"/>
      <c r="H44" s="90" t="s">
        <v>621</v>
      </c>
      <c r="I44" s="90" t="s">
        <v>423</v>
      </c>
      <c r="J44" s="90" t="s">
        <v>147</v>
      </c>
      <c r="K44" s="90"/>
      <c r="L44" s="90"/>
      <c r="M44" s="90"/>
      <c r="N44" s="90" t="s">
        <v>228</v>
      </c>
      <c r="O44" s="90"/>
      <c r="P44" s="90" t="s">
        <v>275</v>
      </c>
      <c r="Q44" s="90"/>
      <c r="R44" s="90" t="s">
        <v>797</v>
      </c>
      <c r="S44" s="90"/>
      <c r="T44" s="90"/>
      <c r="U44" s="90" t="s">
        <v>835</v>
      </c>
      <c r="V44" s="90" t="s">
        <v>847</v>
      </c>
      <c r="W44" s="90"/>
      <c r="X44" s="90" t="s">
        <v>358</v>
      </c>
      <c r="Y44" s="90" t="s">
        <v>375</v>
      </c>
      <c r="Z44" s="90" t="s">
        <v>878</v>
      </c>
      <c r="AA44" s="90"/>
      <c r="AB44" s="90" t="s">
        <v>422</v>
      </c>
      <c r="AC44" s="90" t="s">
        <v>905</v>
      </c>
      <c r="AD44" s="90"/>
      <c r="AE44" s="90" t="s">
        <v>866</v>
      </c>
      <c r="AF44" s="90"/>
      <c r="AG44" s="90"/>
      <c r="AH44" s="90"/>
      <c r="AI44" s="90" t="s">
        <v>944</v>
      </c>
      <c r="AJ44" s="90"/>
      <c r="AK44" s="90" t="s">
        <v>959</v>
      </c>
      <c r="AL44" s="90"/>
      <c r="AM44" s="90"/>
      <c r="AN44" s="90" t="s">
        <v>430</v>
      </c>
      <c r="AO44" s="90"/>
      <c r="AP44" s="90" t="s">
        <v>858</v>
      </c>
      <c r="AQ44" s="90"/>
      <c r="AR44" s="90"/>
    </row>
    <row r="45" spans="1:44" x14ac:dyDescent="0.25">
      <c r="A45" s="90" t="s">
        <v>241</v>
      </c>
      <c r="B45" s="90"/>
      <c r="C45" s="90" t="s">
        <v>649</v>
      </c>
      <c r="D45" s="90" t="s">
        <v>663</v>
      </c>
      <c r="E45" s="90"/>
      <c r="F45" s="90" t="s">
        <v>685</v>
      </c>
      <c r="G45" s="90"/>
      <c r="H45" s="90"/>
      <c r="I45" s="90" t="s">
        <v>718</v>
      </c>
      <c r="J45" s="90" t="s">
        <v>207</v>
      </c>
      <c r="K45" s="90"/>
      <c r="L45" s="90"/>
      <c r="M45" s="90"/>
      <c r="N45" s="90" t="s">
        <v>85</v>
      </c>
      <c r="O45" s="90"/>
      <c r="P45" s="90" t="s">
        <v>276</v>
      </c>
      <c r="Q45" s="90"/>
      <c r="R45" s="90" t="s">
        <v>798</v>
      </c>
      <c r="S45" s="90"/>
      <c r="T45" s="90"/>
      <c r="U45" s="90" t="s">
        <v>836</v>
      </c>
      <c r="W45" s="90"/>
      <c r="X45" s="90" t="s">
        <v>360</v>
      </c>
      <c r="Y45" s="90" t="s">
        <v>376</v>
      </c>
      <c r="Z45" s="90" t="s">
        <v>734</v>
      </c>
      <c r="AA45" s="90"/>
      <c r="AB45" s="90" t="s">
        <v>424</v>
      </c>
      <c r="AC45" s="90" t="s">
        <v>906</v>
      </c>
      <c r="AD45" s="90"/>
      <c r="AE45" s="90"/>
      <c r="AF45" s="90"/>
      <c r="AG45" s="90"/>
      <c r="AH45" s="90"/>
      <c r="AI45" s="90" t="s">
        <v>501</v>
      </c>
      <c r="AJ45" s="90"/>
      <c r="AK45" s="90" t="s">
        <v>517</v>
      </c>
      <c r="AL45" s="90"/>
      <c r="AM45" s="90"/>
      <c r="AN45" s="90" t="s">
        <v>1175</v>
      </c>
      <c r="AO45" s="90"/>
      <c r="AP45" s="90" t="s">
        <v>992</v>
      </c>
      <c r="AQ45" s="90"/>
      <c r="AR45" s="90"/>
    </row>
    <row r="46" spans="1:44" x14ac:dyDescent="0.25">
      <c r="A46" s="90" t="s">
        <v>612</v>
      </c>
      <c r="B46" s="90"/>
      <c r="C46" s="90" t="s">
        <v>650</v>
      </c>
      <c r="D46" s="90"/>
      <c r="E46" s="90"/>
      <c r="F46" s="90" t="s">
        <v>148</v>
      </c>
      <c r="G46" s="90"/>
      <c r="H46" s="90"/>
      <c r="I46" s="90" t="s">
        <v>719</v>
      </c>
      <c r="J46" s="90" t="s">
        <v>1232</v>
      </c>
      <c r="K46" s="90"/>
      <c r="L46" s="90"/>
      <c r="M46" s="90"/>
      <c r="N46" s="90" t="s">
        <v>229</v>
      </c>
      <c r="O46" s="90"/>
      <c r="P46" s="90" t="s">
        <v>777</v>
      </c>
      <c r="Q46" s="90"/>
      <c r="R46" s="90" t="s">
        <v>799</v>
      </c>
      <c r="S46" s="90"/>
      <c r="T46" s="90"/>
      <c r="V46" s="90"/>
      <c r="W46" s="90"/>
      <c r="X46" s="90" t="s">
        <v>359</v>
      </c>
      <c r="Y46" s="90" t="s">
        <v>377</v>
      </c>
      <c r="Z46" s="90" t="s">
        <v>879</v>
      </c>
      <c r="AA46" s="90"/>
      <c r="AB46" s="90" t="s">
        <v>418</v>
      </c>
      <c r="AC46" s="90" t="s">
        <v>907</v>
      </c>
      <c r="AD46" s="90"/>
      <c r="AE46" s="90"/>
      <c r="AF46" s="90"/>
      <c r="AG46" s="90"/>
      <c r="AH46" s="90"/>
      <c r="AI46" s="90" t="s">
        <v>913</v>
      </c>
      <c r="AJ46" s="90"/>
      <c r="AK46" s="90" t="s">
        <v>516</v>
      </c>
      <c r="AL46" s="90"/>
      <c r="AM46" s="90"/>
      <c r="AN46" s="90" t="s">
        <v>431</v>
      </c>
      <c r="AO46" s="90"/>
      <c r="AP46" s="90" t="s">
        <v>993</v>
      </c>
      <c r="AQ46" s="90"/>
      <c r="AR46" s="90"/>
    </row>
    <row r="47" spans="1:44" x14ac:dyDescent="0.25">
      <c r="A47" s="90" t="s">
        <v>613</v>
      </c>
      <c r="B47" s="90"/>
      <c r="C47" s="90" t="s">
        <v>651</v>
      </c>
      <c r="D47" s="90"/>
      <c r="E47" s="90"/>
      <c r="F47" s="90" t="s">
        <v>149</v>
      </c>
      <c r="G47" s="90"/>
      <c r="H47" s="90"/>
      <c r="I47" s="90" t="s">
        <v>720</v>
      </c>
      <c r="J47" s="90" t="s">
        <v>730</v>
      </c>
      <c r="K47" s="90"/>
      <c r="L47" s="90"/>
      <c r="M47" s="90"/>
      <c r="N47" s="90" t="s">
        <v>86</v>
      </c>
      <c r="O47" s="90"/>
      <c r="P47" s="90" t="s">
        <v>778</v>
      </c>
      <c r="Q47" s="90"/>
      <c r="R47" s="90" t="s">
        <v>800</v>
      </c>
      <c r="S47" s="90"/>
      <c r="T47" s="90"/>
      <c r="V47" s="90"/>
      <c r="W47" s="90"/>
      <c r="X47" s="90"/>
      <c r="Y47" s="90" t="s">
        <v>378</v>
      </c>
      <c r="Z47" s="90" t="s">
        <v>880</v>
      </c>
      <c r="AA47" s="90"/>
      <c r="AB47" s="90" t="s">
        <v>423</v>
      </c>
      <c r="AC47" s="90" t="s">
        <v>908</v>
      </c>
      <c r="AD47" s="90"/>
      <c r="AE47" s="90"/>
      <c r="AF47" s="90"/>
      <c r="AG47" s="90"/>
      <c r="AH47" s="90"/>
      <c r="AI47" s="90" t="s">
        <v>866</v>
      </c>
      <c r="AJ47" s="90"/>
      <c r="AK47" s="90" t="s">
        <v>248</v>
      </c>
      <c r="AL47" s="90"/>
      <c r="AM47" s="90"/>
      <c r="AN47" s="90" t="s">
        <v>979</v>
      </c>
      <c r="AO47" s="90"/>
      <c r="AP47" s="90" t="s">
        <v>994</v>
      </c>
      <c r="AQ47" s="90"/>
      <c r="AR47" s="90"/>
    </row>
    <row r="48" spans="1:44" x14ac:dyDescent="0.25">
      <c r="A48" s="90" t="s">
        <v>89</v>
      </c>
      <c r="B48" s="90"/>
      <c r="C48" s="90" t="s">
        <v>112</v>
      </c>
      <c r="D48" s="90"/>
      <c r="E48" s="90"/>
      <c r="F48" s="90" t="s">
        <v>151</v>
      </c>
      <c r="G48" s="90"/>
      <c r="H48" s="90"/>
      <c r="I48" s="90" t="s">
        <v>188</v>
      </c>
      <c r="J48" s="90" t="s">
        <v>731</v>
      </c>
      <c r="K48" s="90"/>
      <c r="L48" s="90"/>
      <c r="M48" s="90"/>
      <c r="N48" s="90" t="s">
        <v>230</v>
      </c>
      <c r="O48" s="90"/>
      <c r="P48" s="90" t="s">
        <v>780</v>
      </c>
      <c r="Q48" s="90"/>
      <c r="R48" s="90" t="s">
        <v>801</v>
      </c>
      <c r="S48" s="90"/>
      <c r="T48" s="90"/>
      <c r="U48" s="90"/>
      <c r="V48" s="90"/>
      <c r="W48" s="90"/>
      <c r="X48" s="90"/>
      <c r="Y48" s="90" t="s">
        <v>379</v>
      </c>
      <c r="AA48" s="90"/>
      <c r="AB48" s="90" t="s">
        <v>891</v>
      </c>
      <c r="AC48" s="90" t="s">
        <v>909</v>
      </c>
      <c r="AD48" s="90"/>
      <c r="AE48" s="90"/>
      <c r="AF48" s="90"/>
      <c r="AG48" s="90"/>
      <c r="AH48" s="90"/>
      <c r="AI48" s="90" t="s">
        <v>945</v>
      </c>
      <c r="AJ48" s="90"/>
      <c r="AK48" s="90" t="s">
        <v>1148</v>
      </c>
      <c r="AL48" s="90"/>
      <c r="AM48" s="90"/>
      <c r="AN48" s="90"/>
      <c r="AO48" s="90"/>
      <c r="AP48" s="90" t="s">
        <v>775</v>
      </c>
      <c r="AQ48" s="90"/>
      <c r="AR48" s="90"/>
    </row>
    <row r="49" spans="1:44" x14ac:dyDescent="0.25">
      <c r="A49" s="90" t="s">
        <v>614</v>
      </c>
      <c r="B49" s="90"/>
      <c r="C49" s="90" t="s">
        <v>653</v>
      </c>
      <c r="D49" s="90"/>
      <c r="E49" s="90"/>
      <c r="F49" s="90" t="s">
        <v>1248</v>
      </c>
      <c r="G49" s="90"/>
      <c r="H49" s="90"/>
      <c r="I49" s="90" t="s">
        <v>189</v>
      </c>
      <c r="J49" s="90" t="s">
        <v>732</v>
      </c>
      <c r="K49" s="90"/>
      <c r="L49" s="90"/>
      <c r="M49" s="90"/>
      <c r="N49" s="90" t="s">
        <v>231</v>
      </c>
      <c r="O49" s="90"/>
      <c r="P49" s="90" t="s">
        <v>781</v>
      </c>
      <c r="Q49" s="90"/>
      <c r="R49" s="90" t="s">
        <v>802</v>
      </c>
      <c r="S49" s="90"/>
      <c r="T49" s="90"/>
      <c r="U49" s="90"/>
      <c r="V49" s="90"/>
      <c r="W49" s="90"/>
      <c r="X49" s="90"/>
      <c r="Y49" s="90" t="s">
        <v>380</v>
      </c>
      <c r="Z49" s="90"/>
      <c r="AA49" s="90"/>
      <c r="AB49" s="90" t="s">
        <v>420</v>
      </c>
      <c r="AC49" s="90" t="s">
        <v>910</v>
      </c>
      <c r="AD49" s="90"/>
      <c r="AE49" s="90"/>
      <c r="AF49" s="90"/>
      <c r="AG49" s="90"/>
      <c r="AH49" s="90"/>
      <c r="AI49" s="90" t="s">
        <v>914</v>
      </c>
      <c r="AJ49" s="90"/>
      <c r="AK49" s="90"/>
      <c r="AL49" s="90"/>
      <c r="AM49" s="90"/>
      <c r="AN49" s="90"/>
      <c r="AO49" s="90"/>
      <c r="AP49" s="90" t="s">
        <v>995</v>
      </c>
      <c r="AQ49" s="90"/>
      <c r="AR49" s="90"/>
    </row>
    <row r="50" spans="1:44" x14ac:dyDescent="0.25">
      <c r="A50" s="90" t="s">
        <v>615</v>
      </c>
      <c r="B50" s="90"/>
      <c r="C50" s="90" t="s">
        <v>654</v>
      </c>
      <c r="D50" s="90"/>
      <c r="E50" s="90"/>
      <c r="F50" s="90" t="s">
        <v>687</v>
      </c>
      <c r="G50" s="90"/>
      <c r="H50" s="90"/>
      <c r="I50" s="90" t="s">
        <v>190</v>
      </c>
      <c r="J50" s="90" t="s">
        <v>148</v>
      </c>
      <c r="K50" s="90"/>
      <c r="L50" s="90"/>
      <c r="M50" s="90"/>
      <c r="N50" s="90" t="s">
        <v>233</v>
      </c>
      <c r="O50" s="90"/>
      <c r="P50" s="90" t="s">
        <v>782</v>
      </c>
      <c r="Q50" s="90"/>
      <c r="R50" s="90" t="s">
        <v>803</v>
      </c>
      <c r="S50" s="90"/>
      <c r="T50" s="90"/>
      <c r="U50" s="90"/>
      <c r="V50" s="90"/>
      <c r="W50" s="90"/>
      <c r="X50" s="90"/>
      <c r="Y50" s="90" t="s">
        <v>382</v>
      </c>
      <c r="Z50" s="90"/>
      <c r="AA50" s="90"/>
      <c r="AB50" s="90" t="s">
        <v>892</v>
      </c>
      <c r="AC50" s="90" t="s">
        <v>911</v>
      </c>
      <c r="AD50" s="90"/>
      <c r="AE50" s="90"/>
      <c r="AF50" s="90"/>
      <c r="AG50" s="90"/>
      <c r="AH50" s="90"/>
      <c r="AI50" s="90" t="s">
        <v>946</v>
      </c>
      <c r="AJ50" s="90"/>
      <c r="AK50" s="90"/>
      <c r="AL50" s="90"/>
      <c r="AM50" s="90"/>
      <c r="AN50" s="90"/>
      <c r="AO50" s="90"/>
      <c r="AP50" s="90" t="s">
        <v>996</v>
      </c>
      <c r="AQ50" s="90"/>
      <c r="AR50" s="90"/>
    </row>
    <row r="51" spans="1:44" x14ac:dyDescent="0.25">
      <c r="A51" s="90" t="s">
        <v>91</v>
      </c>
      <c r="B51" s="90"/>
      <c r="D51" s="90"/>
      <c r="E51" s="90"/>
      <c r="F51" s="90" t="s">
        <v>150</v>
      </c>
      <c r="G51" s="90"/>
      <c r="H51" s="90"/>
      <c r="I51" s="90" t="s">
        <v>191</v>
      </c>
      <c r="J51" s="90" t="s">
        <v>733</v>
      </c>
      <c r="K51" s="90"/>
      <c r="L51" s="90"/>
      <c r="M51" s="90"/>
      <c r="N51" s="90" t="s">
        <v>234</v>
      </c>
      <c r="O51" s="90"/>
      <c r="P51" s="90" t="s">
        <v>783</v>
      </c>
      <c r="Q51" s="90"/>
      <c r="R51" s="90" t="s">
        <v>804</v>
      </c>
      <c r="S51" s="90"/>
      <c r="T51" s="90"/>
      <c r="U51" s="90"/>
      <c r="V51" s="90"/>
      <c r="W51" s="90"/>
      <c r="X51" s="90"/>
      <c r="Y51" s="90" t="s">
        <v>381</v>
      </c>
      <c r="Z51" s="90"/>
      <c r="AA51" s="90"/>
      <c r="AB51" s="90" t="s">
        <v>893</v>
      </c>
      <c r="AC51" s="90" t="s">
        <v>912</v>
      </c>
      <c r="AD51" s="90"/>
      <c r="AE51" s="90"/>
      <c r="AF51" s="90"/>
      <c r="AG51" s="90"/>
      <c r="AH51" s="90"/>
      <c r="AJ51" s="90"/>
      <c r="AK51" s="90"/>
      <c r="AL51" s="90"/>
      <c r="AM51" s="90"/>
      <c r="AN51" s="90"/>
      <c r="AO51" s="90"/>
      <c r="AP51" s="90" t="s">
        <v>997</v>
      </c>
      <c r="AQ51" s="90"/>
      <c r="AR51" s="90"/>
    </row>
    <row r="52" spans="1:44" x14ac:dyDescent="0.25">
      <c r="A52" s="90" t="s">
        <v>92</v>
      </c>
      <c r="B52" s="90"/>
      <c r="C52" s="90"/>
      <c r="D52" s="90"/>
      <c r="E52" s="90"/>
      <c r="F52" s="90" t="s">
        <v>688</v>
      </c>
      <c r="G52" s="90"/>
      <c r="H52" s="90"/>
      <c r="I52" s="90" t="s">
        <v>192</v>
      </c>
      <c r="J52" s="90" t="s">
        <v>734</v>
      </c>
      <c r="K52" s="90"/>
      <c r="L52" s="90"/>
      <c r="M52" s="90"/>
      <c r="N52" s="90" t="s">
        <v>232</v>
      </c>
      <c r="O52" s="90"/>
      <c r="P52" s="90" t="s">
        <v>278</v>
      </c>
      <c r="Q52" s="90"/>
      <c r="R52" s="90" t="s">
        <v>297</v>
      </c>
      <c r="S52" s="90"/>
      <c r="T52" s="90"/>
      <c r="U52" s="90"/>
      <c r="V52" s="90"/>
      <c r="W52" s="90"/>
      <c r="X52" s="90"/>
      <c r="Y52" s="90" t="s">
        <v>383</v>
      </c>
      <c r="Z52" s="90"/>
      <c r="AA52" s="90"/>
      <c r="AB52" s="90" t="s">
        <v>894</v>
      </c>
      <c r="AC52" s="90" t="s">
        <v>913</v>
      </c>
      <c r="AD52" s="90"/>
      <c r="AE52" s="90"/>
      <c r="AF52" s="90"/>
      <c r="AG52" s="90"/>
      <c r="AH52" s="90"/>
      <c r="AI52" s="90"/>
      <c r="AJ52" s="90"/>
      <c r="AK52" s="90"/>
      <c r="AL52" s="90"/>
      <c r="AM52" s="90"/>
      <c r="AN52" s="90"/>
      <c r="AO52" s="90"/>
      <c r="AP52" s="90" t="s">
        <v>998</v>
      </c>
      <c r="AQ52" s="90"/>
      <c r="AR52" s="90"/>
    </row>
    <row r="53" spans="1:44" x14ac:dyDescent="0.25">
      <c r="A53" s="90" t="s">
        <v>90</v>
      </c>
      <c r="B53" s="90"/>
      <c r="C53" s="90"/>
      <c r="D53" s="90"/>
      <c r="E53" s="90"/>
      <c r="F53" s="90" t="s">
        <v>1147</v>
      </c>
      <c r="G53" s="90"/>
      <c r="H53" s="90"/>
      <c r="I53" s="90" t="s">
        <v>721</v>
      </c>
      <c r="K53" s="90"/>
      <c r="L53" s="90"/>
      <c r="M53" s="90"/>
      <c r="N53" s="90" t="s">
        <v>250</v>
      </c>
      <c r="O53" s="90"/>
      <c r="P53" s="90" t="s">
        <v>277</v>
      </c>
      <c r="Q53" s="90"/>
      <c r="R53" s="90" t="s">
        <v>296</v>
      </c>
      <c r="S53" s="90"/>
      <c r="T53" s="90"/>
      <c r="U53" s="90"/>
      <c r="V53" s="90"/>
      <c r="W53" s="90"/>
      <c r="X53" s="90"/>
      <c r="Y53" s="90" t="s">
        <v>384</v>
      </c>
      <c r="Z53" s="90"/>
      <c r="AA53" s="90"/>
      <c r="AB53" s="90" t="s">
        <v>425</v>
      </c>
      <c r="AC53" s="90" t="s">
        <v>1241</v>
      </c>
      <c r="AD53" s="90"/>
      <c r="AE53" s="90"/>
      <c r="AF53" s="90"/>
      <c r="AG53" s="90"/>
      <c r="AH53" s="90"/>
      <c r="AI53" s="90"/>
      <c r="AJ53" s="90"/>
      <c r="AK53" s="90"/>
      <c r="AL53" s="90"/>
      <c r="AM53" s="90"/>
      <c r="AN53" s="90"/>
      <c r="AO53" s="90"/>
      <c r="AP53" s="90" t="s">
        <v>780</v>
      </c>
      <c r="AQ53" s="90"/>
      <c r="AR53" s="90"/>
    </row>
    <row r="54" spans="1:44" x14ac:dyDescent="0.25">
      <c r="A54" s="90" t="s">
        <v>616</v>
      </c>
      <c r="B54" s="90"/>
      <c r="C54" s="90"/>
      <c r="D54" s="90"/>
      <c r="E54" s="90"/>
      <c r="F54" s="90" t="s">
        <v>689</v>
      </c>
      <c r="G54" s="90"/>
      <c r="H54" s="90"/>
      <c r="I54" s="90" t="s">
        <v>722</v>
      </c>
      <c r="J54" s="90"/>
      <c r="K54" s="90"/>
      <c r="L54" s="90"/>
      <c r="M54" s="90"/>
      <c r="N54" s="90" t="s">
        <v>249</v>
      </c>
      <c r="O54" s="90"/>
      <c r="Q54" s="90"/>
      <c r="R54" s="90" t="s">
        <v>805</v>
      </c>
      <c r="S54" s="90"/>
      <c r="T54" s="90"/>
      <c r="U54" s="90"/>
      <c r="V54" s="90"/>
      <c r="W54" s="90"/>
      <c r="X54" s="90"/>
      <c r="Y54" s="90" t="s">
        <v>385</v>
      </c>
      <c r="Z54" s="90"/>
      <c r="AA54" s="90"/>
      <c r="AB54" s="90" t="s">
        <v>426</v>
      </c>
      <c r="AC54" s="90" t="s">
        <v>914</v>
      </c>
      <c r="AD54" s="90"/>
      <c r="AE54" s="90"/>
      <c r="AF54" s="90"/>
      <c r="AG54" s="90"/>
      <c r="AH54" s="90"/>
      <c r="AI54" s="90"/>
      <c r="AJ54" s="90"/>
      <c r="AK54" s="90"/>
      <c r="AL54" s="90"/>
      <c r="AM54" s="90"/>
      <c r="AN54" s="90"/>
      <c r="AO54" s="90"/>
      <c r="AP54" s="90" t="s">
        <v>999</v>
      </c>
      <c r="AQ54" s="90"/>
      <c r="AR54" s="90"/>
    </row>
    <row r="55" spans="1:44" x14ac:dyDescent="0.25">
      <c r="A55" s="90" t="s">
        <v>93</v>
      </c>
      <c r="B55" s="90"/>
      <c r="C55" s="90"/>
      <c r="D55" s="90"/>
      <c r="E55" s="90"/>
      <c r="F55" s="90"/>
      <c r="G55" s="90"/>
      <c r="H55" s="90"/>
      <c r="I55" s="90" t="s">
        <v>723</v>
      </c>
      <c r="J55" s="90"/>
      <c r="K55" s="90"/>
      <c r="L55" s="90"/>
      <c r="M55" s="90"/>
      <c r="N55" s="90" t="s">
        <v>235</v>
      </c>
      <c r="O55" s="90"/>
      <c r="P55" s="90"/>
      <c r="Q55" s="90"/>
      <c r="R55" s="90" t="s">
        <v>806</v>
      </c>
      <c r="S55" s="90"/>
      <c r="T55" s="90"/>
      <c r="U55" s="90"/>
      <c r="V55" s="90"/>
      <c r="W55" s="90"/>
      <c r="X55" s="90"/>
      <c r="Y55" s="90" t="s">
        <v>386</v>
      </c>
      <c r="Z55" s="90"/>
      <c r="AA55" s="90"/>
      <c r="AB55" s="90" t="s">
        <v>427</v>
      </c>
      <c r="AC55" s="90" t="s">
        <v>450</v>
      </c>
      <c r="AD55" s="90"/>
      <c r="AE55" s="90"/>
      <c r="AF55" s="90"/>
      <c r="AG55" s="90"/>
      <c r="AH55" s="90"/>
      <c r="AI55" s="90"/>
      <c r="AJ55" s="90"/>
      <c r="AK55" s="90"/>
      <c r="AL55" s="90"/>
      <c r="AM55" s="90"/>
      <c r="AN55" s="90"/>
      <c r="AO55" s="90"/>
      <c r="AP55" s="90" t="s">
        <v>1266</v>
      </c>
      <c r="AQ55" s="90"/>
      <c r="AR55" s="90"/>
    </row>
    <row r="56" spans="1:44" x14ac:dyDescent="0.25">
      <c r="A56" s="90" t="s">
        <v>617</v>
      </c>
      <c r="B56" s="90"/>
      <c r="C56" s="90"/>
      <c r="D56" s="90"/>
      <c r="E56" s="90"/>
      <c r="F56" s="90"/>
      <c r="G56" s="90"/>
      <c r="H56" s="90"/>
      <c r="I56" s="90" t="s">
        <v>1100</v>
      </c>
      <c r="J56" s="90"/>
      <c r="K56" s="90"/>
      <c r="L56" s="90"/>
      <c r="M56" s="90"/>
      <c r="N56" s="90" t="s">
        <v>236</v>
      </c>
      <c r="O56" s="90"/>
      <c r="P56" s="90"/>
      <c r="Q56" s="90"/>
      <c r="R56" s="90" t="s">
        <v>807</v>
      </c>
      <c r="S56" s="90"/>
      <c r="T56" s="90"/>
      <c r="U56" s="90"/>
      <c r="V56" s="90"/>
      <c r="W56" s="90"/>
      <c r="X56" s="90"/>
      <c r="Y56" s="90" t="s">
        <v>387</v>
      </c>
      <c r="Z56" s="90"/>
      <c r="AA56" s="90"/>
      <c r="AB56" s="90" t="s">
        <v>1254</v>
      </c>
      <c r="AC56" s="90" t="s">
        <v>448</v>
      </c>
      <c r="AD56" s="90"/>
      <c r="AE56" s="90"/>
      <c r="AF56" s="90"/>
      <c r="AG56" s="90"/>
      <c r="AH56" s="90"/>
      <c r="AI56" s="90"/>
      <c r="AJ56" s="90"/>
      <c r="AK56" s="90"/>
      <c r="AL56" s="90"/>
      <c r="AM56" s="90"/>
      <c r="AN56" s="90"/>
      <c r="AO56" s="90"/>
      <c r="AP56" s="90" t="s">
        <v>561</v>
      </c>
      <c r="AQ56" s="90"/>
      <c r="AR56" s="90"/>
    </row>
    <row r="57" spans="1:44" x14ac:dyDescent="0.25">
      <c r="A57" s="90" t="s">
        <v>618</v>
      </c>
      <c r="B57" s="90"/>
      <c r="C57" s="90"/>
      <c r="D57" s="90"/>
      <c r="E57" s="90"/>
      <c r="F57" s="90"/>
      <c r="G57" s="90"/>
      <c r="H57" s="90"/>
      <c r="I57" s="90" t="s">
        <v>1269</v>
      </c>
      <c r="J57" s="90"/>
      <c r="K57" s="90"/>
      <c r="L57" s="90"/>
      <c r="M57" s="90"/>
      <c r="N57" s="90" t="s">
        <v>610</v>
      </c>
      <c r="O57" s="90"/>
      <c r="P57" s="90"/>
      <c r="Q57" s="90"/>
      <c r="R57" s="90" t="s">
        <v>808</v>
      </c>
      <c r="S57" s="90"/>
      <c r="T57" s="90"/>
      <c r="U57" s="90"/>
      <c r="V57" s="90"/>
      <c r="W57" s="90"/>
      <c r="X57" s="90"/>
      <c r="Y57" s="90" t="s">
        <v>864</v>
      </c>
      <c r="Z57" s="90"/>
      <c r="AA57" s="90"/>
      <c r="AB57" s="90" t="s">
        <v>895</v>
      </c>
      <c r="AC57" s="90" t="s">
        <v>451</v>
      </c>
      <c r="AD57" s="90"/>
      <c r="AE57" s="90"/>
      <c r="AF57" s="90"/>
      <c r="AG57" s="90"/>
      <c r="AH57" s="90"/>
      <c r="AI57" s="90"/>
      <c r="AJ57" s="90"/>
      <c r="AK57" s="90"/>
      <c r="AL57" s="90"/>
      <c r="AM57" s="90"/>
      <c r="AN57" s="90"/>
      <c r="AO57" s="90"/>
      <c r="AP57" s="90" t="s">
        <v>1267</v>
      </c>
      <c r="AQ57" s="90"/>
      <c r="AR57" s="90"/>
    </row>
    <row r="58" spans="1:44" x14ac:dyDescent="0.25">
      <c r="A58" s="90" t="s">
        <v>619</v>
      </c>
      <c r="B58" s="90"/>
      <c r="C58" s="90"/>
      <c r="D58" s="90"/>
      <c r="E58" s="90"/>
      <c r="F58" s="90"/>
      <c r="G58" s="90"/>
      <c r="H58" s="90"/>
      <c r="I58" s="90" t="s">
        <v>724</v>
      </c>
      <c r="J58" s="90"/>
      <c r="K58" s="90"/>
      <c r="L58" s="90"/>
      <c r="M58" s="90"/>
      <c r="N58" s="90" t="s">
        <v>237</v>
      </c>
      <c r="O58" s="90"/>
      <c r="P58" s="90"/>
      <c r="Q58" s="90"/>
      <c r="R58" s="90" t="s">
        <v>809</v>
      </c>
      <c r="S58" s="90"/>
      <c r="T58" s="90"/>
      <c r="U58" s="90"/>
      <c r="V58" s="90"/>
      <c r="W58" s="90"/>
      <c r="X58" s="90"/>
      <c r="Y58" s="90" t="s">
        <v>865</v>
      </c>
      <c r="Z58" s="90"/>
      <c r="AA58" s="90"/>
      <c r="AB58" s="90" t="s">
        <v>428</v>
      </c>
      <c r="AC58" s="90" t="s">
        <v>449</v>
      </c>
      <c r="AD58" s="90"/>
      <c r="AE58" s="90"/>
      <c r="AF58" s="90"/>
      <c r="AG58" s="90"/>
      <c r="AH58" s="90"/>
      <c r="AI58" s="90"/>
      <c r="AJ58" s="90"/>
      <c r="AK58" s="90"/>
      <c r="AL58" s="90"/>
      <c r="AM58" s="90"/>
      <c r="AN58" s="90"/>
      <c r="AO58" s="90"/>
      <c r="AP58" s="90" t="s">
        <v>562</v>
      </c>
      <c r="AQ58" s="90"/>
      <c r="AR58" s="90"/>
    </row>
    <row r="59" spans="1:44" x14ac:dyDescent="0.25">
      <c r="A59" s="90" t="s">
        <v>620</v>
      </c>
      <c r="B59" s="90"/>
      <c r="C59" s="90"/>
      <c r="D59" s="90"/>
      <c r="E59" s="90"/>
      <c r="F59" s="90"/>
      <c r="G59" s="90"/>
      <c r="H59" s="90"/>
      <c r="I59" s="90"/>
      <c r="J59" s="90"/>
      <c r="K59" s="90"/>
      <c r="L59" s="90"/>
      <c r="M59" s="90"/>
      <c r="N59" s="90" t="s">
        <v>238</v>
      </c>
      <c r="O59" s="90"/>
      <c r="P59" s="90"/>
      <c r="Q59" s="90"/>
      <c r="R59" s="90" t="s">
        <v>810</v>
      </c>
      <c r="S59" s="90"/>
      <c r="T59" s="90"/>
      <c r="U59" s="90"/>
      <c r="V59" s="90"/>
      <c r="W59" s="90"/>
      <c r="X59" s="90"/>
      <c r="Y59" s="90" t="s">
        <v>388</v>
      </c>
      <c r="Z59" s="90"/>
      <c r="AA59" s="90"/>
      <c r="AB59" s="90" t="s">
        <v>429</v>
      </c>
      <c r="AC59" s="90"/>
      <c r="AD59" s="90"/>
      <c r="AE59" s="90"/>
      <c r="AF59" s="90"/>
      <c r="AG59" s="90"/>
      <c r="AH59" s="90"/>
      <c r="AI59" s="90"/>
      <c r="AJ59" s="90"/>
      <c r="AK59" s="90"/>
      <c r="AL59" s="90"/>
      <c r="AM59" s="90"/>
      <c r="AN59" s="90"/>
      <c r="AO59" s="90"/>
      <c r="AP59" s="90" t="s">
        <v>563</v>
      </c>
      <c r="AQ59" s="90"/>
      <c r="AR59" s="90"/>
    </row>
    <row r="60" spans="1:44" x14ac:dyDescent="0.25">
      <c r="A60" s="90" t="s">
        <v>621</v>
      </c>
      <c r="B60" s="90"/>
      <c r="C60" s="90"/>
      <c r="D60" s="90"/>
      <c r="E60" s="90"/>
      <c r="F60" s="90"/>
      <c r="G60" s="90"/>
      <c r="H60" s="90"/>
      <c r="I60" s="90"/>
      <c r="J60" s="90"/>
      <c r="K60" s="90"/>
      <c r="L60" s="90"/>
      <c r="M60" s="90"/>
      <c r="N60" s="90" t="s">
        <v>239</v>
      </c>
      <c r="O60" s="90"/>
      <c r="P60" s="90"/>
      <c r="Q60" s="90"/>
      <c r="R60" s="90"/>
      <c r="S60" s="90"/>
      <c r="T60" s="90"/>
      <c r="U60" s="90"/>
      <c r="V60" s="90"/>
      <c r="W60" s="90"/>
      <c r="X60" s="90"/>
      <c r="Y60" s="90" t="s">
        <v>866</v>
      </c>
      <c r="Z60" s="90"/>
      <c r="AA60" s="90"/>
      <c r="AB60" s="90" t="s">
        <v>896</v>
      </c>
      <c r="AC60" s="90"/>
      <c r="AD60" s="90"/>
      <c r="AE60" s="90"/>
      <c r="AF60" s="90"/>
      <c r="AG60" s="90"/>
      <c r="AH60" s="90"/>
      <c r="AI60" s="90"/>
      <c r="AJ60" s="90"/>
      <c r="AK60" s="90"/>
      <c r="AL60" s="90"/>
      <c r="AM60" s="90"/>
      <c r="AN60" s="90"/>
      <c r="AO60" s="90"/>
      <c r="AP60" s="90"/>
      <c r="AQ60" s="90"/>
      <c r="AR60" s="90"/>
    </row>
    <row r="61" spans="1:44" x14ac:dyDescent="0.25">
      <c r="A61" s="90"/>
      <c r="B61" s="90"/>
      <c r="C61" s="90"/>
      <c r="D61" s="90"/>
      <c r="E61" s="90"/>
      <c r="F61" s="90"/>
      <c r="G61" s="90"/>
      <c r="H61" s="90"/>
      <c r="I61" s="90"/>
      <c r="J61" s="90"/>
      <c r="K61" s="90"/>
      <c r="L61" s="90"/>
      <c r="M61" s="90"/>
      <c r="N61" s="90" t="s">
        <v>759</v>
      </c>
      <c r="O61" s="90"/>
      <c r="P61" s="90"/>
      <c r="Q61" s="90"/>
      <c r="R61" s="90"/>
      <c r="S61" s="90"/>
      <c r="T61" s="90"/>
      <c r="U61" s="90"/>
      <c r="V61" s="90"/>
      <c r="W61" s="90"/>
      <c r="X61" s="90"/>
      <c r="Y61" s="90" t="s">
        <v>867</v>
      </c>
      <c r="Z61" s="90"/>
      <c r="AA61" s="90"/>
      <c r="AB61" s="90" t="s">
        <v>430</v>
      </c>
      <c r="AC61" s="90"/>
      <c r="AD61" s="90"/>
      <c r="AE61" s="90"/>
      <c r="AF61" s="90"/>
      <c r="AG61" s="90"/>
      <c r="AH61" s="90"/>
      <c r="AI61" s="90"/>
      <c r="AJ61" s="90"/>
      <c r="AK61" s="90"/>
      <c r="AL61" s="90"/>
      <c r="AM61" s="90"/>
      <c r="AN61" s="90"/>
      <c r="AO61" s="90"/>
      <c r="AP61" s="90"/>
      <c r="AQ61" s="90"/>
      <c r="AR61" s="90"/>
    </row>
    <row r="62" spans="1:44" x14ac:dyDescent="0.25">
      <c r="A62" s="90"/>
      <c r="B62" s="90"/>
      <c r="C62" s="90"/>
      <c r="D62" s="90"/>
      <c r="E62" s="90"/>
      <c r="F62" s="90"/>
      <c r="G62" s="90"/>
      <c r="H62" s="90"/>
      <c r="I62" s="90"/>
      <c r="J62" s="90"/>
      <c r="K62" s="90"/>
      <c r="L62" s="90"/>
      <c r="M62" s="90"/>
      <c r="N62" s="90" t="s">
        <v>240</v>
      </c>
      <c r="O62" s="90"/>
      <c r="P62" s="90"/>
      <c r="Q62" s="90"/>
      <c r="R62" s="90"/>
      <c r="S62" s="90"/>
      <c r="T62" s="90"/>
      <c r="U62" s="90"/>
      <c r="V62" s="90"/>
      <c r="W62" s="90"/>
      <c r="X62" s="90"/>
      <c r="Y62" s="90"/>
      <c r="Z62" s="90"/>
      <c r="AA62" s="90"/>
      <c r="AB62" s="90" t="s">
        <v>1088</v>
      </c>
      <c r="AC62" s="90"/>
      <c r="AD62" s="90"/>
      <c r="AE62" s="90"/>
      <c r="AF62" s="90"/>
      <c r="AG62" s="90"/>
      <c r="AH62" s="90"/>
      <c r="AI62" s="90"/>
      <c r="AJ62" s="90"/>
      <c r="AK62" s="90"/>
      <c r="AL62" s="90"/>
      <c r="AM62" s="90"/>
      <c r="AN62" s="90"/>
      <c r="AO62" s="90"/>
      <c r="AP62" s="90"/>
      <c r="AQ62" s="90"/>
      <c r="AR62" s="90"/>
    </row>
    <row r="63" spans="1:44" x14ac:dyDescent="0.25">
      <c r="A63" s="90"/>
      <c r="B63" s="90"/>
      <c r="C63" s="90"/>
      <c r="D63" s="90"/>
      <c r="E63" s="90"/>
      <c r="F63" s="90"/>
      <c r="G63" s="90"/>
      <c r="H63" s="90"/>
      <c r="I63" s="90"/>
      <c r="J63" s="90"/>
      <c r="K63" s="90"/>
      <c r="L63" s="90"/>
      <c r="M63" s="90"/>
      <c r="N63" s="90" t="s">
        <v>241</v>
      </c>
      <c r="O63" s="90"/>
      <c r="P63" s="90"/>
      <c r="Q63" s="90"/>
      <c r="R63" s="90"/>
      <c r="S63" s="90"/>
      <c r="T63" s="90"/>
      <c r="U63" s="90"/>
      <c r="V63" s="90"/>
      <c r="W63" s="90"/>
      <c r="X63" s="90"/>
      <c r="Y63" s="90"/>
      <c r="Z63" s="90"/>
      <c r="AA63" s="90"/>
      <c r="AB63" s="90" t="s">
        <v>1151</v>
      </c>
      <c r="AC63" s="90"/>
      <c r="AD63" s="90"/>
      <c r="AE63" s="90"/>
      <c r="AF63" s="90"/>
      <c r="AG63" s="90"/>
      <c r="AH63" s="90"/>
      <c r="AI63" s="90"/>
      <c r="AJ63" s="90"/>
      <c r="AK63" s="90"/>
      <c r="AL63" s="90"/>
      <c r="AM63" s="90"/>
      <c r="AN63" s="90"/>
      <c r="AO63" s="90"/>
      <c r="AP63" s="90"/>
      <c r="AQ63" s="90"/>
      <c r="AR63" s="90"/>
    </row>
    <row r="64" spans="1:44" x14ac:dyDescent="0.25">
      <c r="N64" s="90" t="s">
        <v>242</v>
      </c>
      <c r="AB64" s="90" t="s">
        <v>431</v>
      </c>
    </row>
    <row r="65" spans="14:28" x14ac:dyDescent="0.25">
      <c r="N65" s="90" t="s">
        <v>243</v>
      </c>
      <c r="AB65" s="90" t="s">
        <v>432</v>
      </c>
    </row>
    <row r="66" spans="14:28" x14ac:dyDescent="0.25">
      <c r="N66" s="90" t="s">
        <v>89</v>
      </c>
      <c r="AB66" s="90" t="s">
        <v>1150</v>
      </c>
    </row>
    <row r="67" spans="14:28" x14ac:dyDescent="0.25">
      <c r="N67" s="90" t="s">
        <v>244</v>
      </c>
      <c r="AB67" s="90" t="s">
        <v>897</v>
      </c>
    </row>
    <row r="68" spans="14:28" x14ac:dyDescent="0.25">
      <c r="N68" s="90" t="s">
        <v>245</v>
      </c>
    </row>
    <row r="69" spans="14:28" x14ac:dyDescent="0.25">
      <c r="N69" s="90" t="s">
        <v>246</v>
      </c>
    </row>
    <row r="70" spans="14:28" x14ac:dyDescent="0.25">
      <c r="N70" s="90" t="s">
        <v>247</v>
      </c>
    </row>
    <row r="71" spans="14:28" x14ac:dyDescent="0.25">
      <c r="N71" s="90" t="s">
        <v>1271</v>
      </c>
    </row>
    <row r="72" spans="14:28" x14ac:dyDescent="0.25">
      <c r="N72" s="90" t="s">
        <v>615</v>
      </c>
    </row>
    <row r="73" spans="14:28" x14ac:dyDescent="0.25">
      <c r="N73" s="90" t="s">
        <v>91</v>
      </c>
    </row>
    <row r="74" spans="14:28" x14ac:dyDescent="0.25">
      <c r="N74" s="90" t="s">
        <v>1092</v>
      </c>
    </row>
    <row r="75" spans="14:28" x14ac:dyDescent="0.25">
      <c r="N75" s="90" t="s">
        <v>248</v>
      </c>
    </row>
    <row r="76" spans="14:28" x14ac:dyDescent="0.25">
      <c r="N76" s="90" t="s">
        <v>1148</v>
      </c>
    </row>
    <row r="77" spans="14:28" x14ac:dyDescent="0.25">
      <c r="N77" s="90" t="s">
        <v>760</v>
      </c>
    </row>
    <row r="78" spans="14:28" x14ac:dyDescent="0.25">
      <c r="N78" s="90" t="s">
        <v>761</v>
      </c>
    </row>
    <row r="79" spans="14:28" x14ac:dyDescent="0.25">
      <c r="N79" s="90" t="s">
        <v>251</v>
      </c>
    </row>
    <row r="80" spans="14:28" x14ac:dyDescent="0.25">
      <c r="N80" s="90" t="s">
        <v>618</v>
      </c>
    </row>
  </sheetData>
  <sheetProtection algorithmName="SHA-512" hashValue="jD2l9ZdMR0TQikGlttSGdd7VIJiO41PlkWNEsV23Fn0y+U6aa7TVE9ZHxSmO2pkWYnZY3DVEmIG5VKSU5XmrAg==" saltValue="Im/mSjDORzp8W3HVKk7qOA==" spinCount="100000" sheet="1" objects="1" scenarios="1"/>
  <pageMargins left="0.7" right="0.7" top="0.75" bottom="0.75" header="0.3" footer="0.3"/>
  <pageSetup orientation="portrait" horizontalDpi="1200" verticalDpi="12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2:Z305"/>
  <sheetViews>
    <sheetView zoomScale="110" zoomScaleNormal="110" workbookViewId="0">
      <selection activeCell="C10" sqref="C10"/>
    </sheetView>
  </sheetViews>
  <sheetFormatPr defaultColWidth="14.5" defaultRowHeight="12.75" x14ac:dyDescent="0.2"/>
  <cols>
    <col min="1" max="1" width="4" style="25" customWidth="1"/>
    <col min="2" max="2" width="29.625" style="25" customWidth="1"/>
    <col min="3" max="3" width="24.875" style="1" bestFit="1" customWidth="1"/>
    <col min="4" max="4" width="12.375" style="1" customWidth="1"/>
    <col min="5" max="5" width="20.875" style="1" customWidth="1"/>
    <col min="6" max="8" width="18.125" style="1" bestFit="1" customWidth="1"/>
    <col min="9" max="9" width="19.625" style="1" customWidth="1"/>
    <col min="10" max="10" width="18.125" style="1" bestFit="1" customWidth="1"/>
    <col min="11" max="11" width="18.125" style="1" customWidth="1"/>
    <col min="12" max="12" width="19.25" style="1" bestFit="1" customWidth="1"/>
    <col min="13" max="13" width="20.75" style="1" customWidth="1"/>
    <col min="14" max="14" width="18.75" style="1" bestFit="1" customWidth="1"/>
    <col min="15" max="16" width="18.125" style="1" bestFit="1" customWidth="1"/>
    <col min="17" max="17" width="19.25" style="1" bestFit="1" customWidth="1"/>
    <col min="18" max="18" width="18.125" style="1" bestFit="1" customWidth="1"/>
    <col min="19" max="19" width="18.75" style="1" customWidth="1"/>
    <col min="20" max="21" width="18.125" style="1" bestFit="1" customWidth="1"/>
    <col min="22" max="22" width="24.5" style="1" bestFit="1" customWidth="1"/>
    <col min="23" max="23" width="21.25" style="1" bestFit="1" customWidth="1"/>
    <col min="24" max="24" width="24.25" style="1" bestFit="1" customWidth="1"/>
    <col min="25" max="26" width="18.125" style="1" bestFit="1" customWidth="1"/>
    <col min="27" max="16384" width="14.5" style="1"/>
  </cols>
  <sheetData>
    <row r="2" spans="1:12" x14ac:dyDescent="0.2">
      <c r="A2" s="26" t="s">
        <v>63</v>
      </c>
      <c r="B2" s="149" t="s">
        <v>1202</v>
      </c>
      <c r="C2" s="150"/>
      <c r="D2" s="150"/>
      <c r="E2" s="150"/>
      <c r="F2" s="150"/>
      <c r="G2" s="150"/>
      <c r="H2" s="150"/>
      <c r="I2" s="150"/>
    </row>
    <row r="3" spans="1:12" x14ac:dyDescent="0.2">
      <c r="A3" s="26" t="s">
        <v>63</v>
      </c>
      <c r="B3" s="1"/>
    </row>
    <row r="4" spans="1:12" ht="21" x14ac:dyDescent="0.2">
      <c r="A4" s="56" t="s">
        <v>1065</v>
      </c>
      <c r="B4" s="150" t="s">
        <v>1201</v>
      </c>
      <c r="C4" s="150"/>
      <c r="D4" s="150"/>
      <c r="E4" s="150"/>
      <c r="F4" s="150"/>
      <c r="G4" s="150"/>
      <c r="H4" s="150"/>
      <c r="I4" s="150"/>
      <c r="J4" s="150"/>
      <c r="K4" s="150"/>
      <c r="L4" s="150"/>
    </row>
    <row r="5" spans="1:12" ht="21" x14ac:dyDescent="0.2">
      <c r="B5" s="91" t="s">
        <v>597</v>
      </c>
      <c r="C5" s="91" t="s">
        <v>1080</v>
      </c>
      <c r="D5" s="196"/>
    </row>
    <row r="6" spans="1:12" x14ac:dyDescent="0.2">
      <c r="B6" s="55" t="s">
        <v>67</v>
      </c>
      <c r="C6" s="1" t="s">
        <v>1216</v>
      </c>
      <c r="D6" s="55" t="s">
        <v>1066</v>
      </c>
    </row>
    <row r="7" spans="1:12" x14ac:dyDescent="0.2">
      <c r="B7" s="55" t="s">
        <v>53</v>
      </c>
      <c r="C7" s="1" t="s">
        <v>1215</v>
      </c>
      <c r="D7" s="55" t="s">
        <v>1067</v>
      </c>
    </row>
    <row r="8" spans="1:12" x14ac:dyDescent="0.2">
      <c r="B8" s="55" t="s">
        <v>68</v>
      </c>
    </row>
    <row r="9" spans="1:12" x14ac:dyDescent="0.2">
      <c r="B9" s="55" t="s">
        <v>77</v>
      </c>
    </row>
    <row r="10" spans="1:12" x14ac:dyDescent="0.2">
      <c r="B10" s="55" t="s">
        <v>69</v>
      </c>
    </row>
    <row r="11" spans="1:12" x14ac:dyDescent="0.2">
      <c r="B11" s="55" t="s">
        <v>70</v>
      </c>
    </row>
    <row r="12" spans="1:12" x14ac:dyDescent="0.2">
      <c r="B12" s="55" t="s">
        <v>71</v>
      </c>
    </row>
    <row r="13" spans="1:12" x14ac:dyDescent="0.2">
      <c r="B13" s="55" t="s">
        <v>66</v>
      </c>
    </row>
    <row r="14" spans="1:12" x14ac:dyDescent="0.2">
      <c r="B14" s="55"/>
    </row>
    <row r="15" spans="1:12" x14ac:dyDescent="0.2">
      <c r="B15" s="55" t="s">
        <v>1193</v>
      </c>
    </row>
    <row r="16" spans="1:12" x14ac:dyDescent="0.2">
      <c r="B16" s="55" t="s">
        <v>98</v>
      </c>
    </row>
    <row r="17" spans="2:26" x14ac:dyDescent="0.2">
      <c r="B17" s="55" t="s">
        <v>130</v>
      </c>
      <c r="E17" s="55"/>
    </row>
    <row r="18" spans="2:26" x14ac:dyDescent="0.2">
      <c r="B18" s="55" t="s">
        <v>177</v>
      </c>
      <c r="E18" s="55"/>
    </row>
    <row r="19" spans="2:26" x14ac:dyDescent="0.2">
      <c r="B19" s="55" t="s">
        <v>264</v>
      </c>
      <c r="E19" s="55"/>
    </row>
    <row r="20" spans="2:26" x14ac:dyDescent="0.2">
      <c r="B20" s="55" t="s">
        <v>313</v>
      </c>
      <c r="E20" s="55"/>
    </row>
    <row r="21" spans="2:26" x14ac:dyDescent="0.2">
      <c r="B21" s="55" t="s">
        <v>361</v>
      </c>
      <c r="E21" s="55"/>
    </row>
    <row r="22" spans="2:26" x14ac:dyDescent="0.2">
      <c r="B22" s="55" t="s">
        <v>493</v>
      </c>
      <c r="E22" s="55"/>
    </row>
    <row r="23" spans="2:26" x14ac:dyDescent="0.2">
      <c r="B23" s="55" t="s">
        <v>509</v>
      </c>
      <c r="E23" s="55"/>
    </row>
    <row r="24" spans="2:26" x14ac:dyDescent="0.2">
      <c r="B24" s="55" t="s">
        <v>518</v>
      </c>
      <c r="E24" s="55"/>
    </row>
    <row r="25" spans="2:26" x14ac:dyDescent="0.2">
      <c r="B25" s="178" t="s">
        <v>531</v>
      </c>
      <c r="C25" s="179" t="s">
        <v>1200</v>
      </c>
      <c r="E25" s="55"/>
    </row>
    <row r="26" spans="2:26" x14ac:dyDescent="0.2">
      <c r="B26" s="55" t="s">
        <v>574</v>
      </c>
    </row>
    <row r="27" spans="2:26" x14ac:dyDescent="0.2">
      <c r="B27" s="55"/>
    </row>
    <row r="28" spans="2:26" x14ac:dyDescent="0.2">
      <c r="B28" s="180" t="s">
        <v>598</v>
      </c>
      <c r="C28" s="180" t="s">
        <v>1055</v>
      </c>
      <c r="D28" s="180" t="s">
        <v>1056</v>
      </c>
      <c r="E28" s="180" t="s">
        <v>1273</v>
      </c>
      <c r="F28" s="180" t="s">
        <v>1274</v>
      </c>
      <c r="G28" s="180" t="s">
        <v>1275</v>
      </c>
      <c r="H28" s="180" t="s">
        <v>1276</v>
      </c>
      <c r="I28" s="180" t="s">
        <v>1277</v>
      </c>
      <c r="J28" s="180" t="s">
        <v>1278</v>
      </c>
      <c r="K28" s="180" t="s">
        <v>1306</v>
      </c>
      <c r="L28" s="180" t="s">
        <v>1279</v>
      </c>
      <c r="M28" s="180" t="s">
        <v>1280</v>
      </c>
      <c r="N28" s="180" t="s">
        <v>1281</v>
      </c>
      <c r="O28" s="180" t="s">
        <v>1282</v>
      </c>
      <c r="P28" s="180" t="s">
        <v>1283</v>
      </c>
      <c r="Q28" s="180" t="s">
        <v>1284</v>
      </c>
      <c r="R28" s="180" t="s">
        <v>1285</v>
      </c>
      <c r="S28" s="180" t="s">
        <v>1286</v>
      </c>
      <c r="T28" s="180" t="s">
        <v>1287</v>
      </c>
      <c r="U28" s="180" t="s">
        <v>1288</v>
      </c>
      <c r="V28" s="180" t="s">
        <v>1289</v>
      </c>
      <c r="W28" s="180" t="s">
        <v>1290</v>
      </c>
      <c r="X28" s="180" t="s">
        <v>1291</v>
      </c>
      <c r="Y28" s="180" t="s">
        <v>1292</v>
      </c>
      <c r="Z28" s="180" t="s">
        <v>1293</v>
      </c>
    </row>
    <row r="29" spans="2:26" x14ac:dyDescent="0.2">
      <c r="B29" s="180"/>
      <c r="C29" s="180"/>
      <c r="D29" s="180"/>
    </row>
    <row r="30" spans="2:26" x14ac:dyDescent="0.2">
      <c r="B30" s="180" t="s">
        <v>200</v>
      </c>
      <c r="C30" s="180" t="s">
        <v>768</v>
      </c>
      <c r="D30" s="180" t="s">
        <v>1029</v>
      </c>
      <c r="E30" s="179" t="s">
        <v>1304</v>
      </c>
      <c r="F30" s="179" t="s">
        <v>1304</v>
      </c>
      <c r="G30" s="179" t="s">
        <v>1304</v>
      </c>
      <c r="H30" s="179" t="s">
        <v>1304</v>
      </c>
      <c r="I30" s="179" t="s">
        <v>1304</v>
      </c>
      <c r="J30" s="179" t="s">
        <v>1304</v>
      </c>
      <c r="K30" s="179" t="s">
        <v>1304</v>
      </c>
      <c r="L30" s="179" t="s">
        <v>1304</v>
      </c>
      <c r="M30" s="179" t="s">
        <v>1304</v>
      </c>
      <c r="N30" s="179" t="s">
        <v>1304</v>
      </c>
      <c r="O30" s="179" t="s">
        <v>1304</v>
      </c>
      <c r="P30" s="179" t="s">
        <v>1304</v>
      </c>
      <c r="Q30" s="179" t="s">
        <v>1304</v>
      </c>
      <c r="R30" s="179" t="s">
        <v>1304</v>
      </c>
      <c r="S30" s="179" t="s">
        <v>1304</v>
      </c>
      <c r="T30" s="179" t="s">
        <v>1304</v>
      </c>
      <c r="U30" s="179" t="s">
        <v>1304</v>
      </c>
      <c r="V30" s="179" t="s">
        <v>1305</v>
      </c>
      <c r="W30" s="179" t="s">
        <v>1304</v>
      </c>
      <c r="X30" s="179" t="s">
        <v>1304</v>
      </c>
      <c r="Y30" s="179" t="s">
        <v>1304</v>
      </c>
      <c r="Z30" s="179" t="s">
        <v>1304</v>
      </c>
    </row>
    <row r="31" spans="2:26" x14ac:dyDescent="0.2">
      <c r="B31" s="180" t="s">
        <v>592</v>
      </c>
      <c r="C31" s="180" t="s">
        <v>768</v>
      </c>
      <c r="D31" s="180" t="s">
        <v>79</v>
      </c>
      <c r="E31" s="179" t="s">
        <v>1298</v>
      </c>
      <c r="F31" s="179" t="s">
        <v>1298</v>
      </c>
      <c r="G31" s="179" t="s">
        <v>1298</v>
      </c>
      <c r="H31" s="179" t="s">
        <v>1298</v>
      </c>
      <c r="I31" s="179" t="s">
        <v>1298</v>
      </c>
      <c r="J31" s="179" t="s">
        <v>1298</v>
      </c>
      <c r="K31" s="179" t="s">
        <v>1298</v>
      </c>
      <c r="L31" s="179" t="s">
        <v>1298</v>
      </c>
      <c r="M31" s="179" t="s">
        <v>1298</v>
      </c>
      <c r="N31" s="179" t="s">
        <v>1298</v>
      </c>
      <c r="O31" s="179" t="s">
        <v>1298</v>
      </c>
      <c r="P31" s="179" t="s">
        <v>1298</v>
      </c>
      <c r="Q31" s="179" t="s">
        <v>1298</v>
      </c>
      <c r="R31" s="179" t="s">
        <v>1298</v>
      </c>
      <c r="S31" s="179" t="s">
        <v>1298</v>
      </c>
      <c r="T31" s="179" t="s">
        <v>1298</v>
      </c>
      <c r="U31" s="179" t="s">
        <v>1298</v>
      </c>
      <c r="V31" s="179" t="s">
        <v>1298</v>
      </c>
      <c r="W31" s="179" t="s">
        <v>1298</v>
      </c>
      <c r="X31" s="179" t="s">
        <v>1298</v>
      </c>
      <c r="Y31" s="179" t="s">
        <v>1298</v>
      </c>
      <c r="Z31" s="179" t="s">
        <v>1298</v>
      </c>
    </row>
    <row r="32" spans="2:26" x14ac:dyDescent="0.2">
      <c r="B32" s="180" t="s">
        <v>586</v>
      </c>
      <c r="C32" s="180" t="s">
        <v>621</v>
      </c>
      <c r="D32" s="180" t="s">
        <v>1016</v>
      </c>
      <c r="E32" s="179" t="s">
        <v>1308</v>
      </c>
      <c r="F32" s="179" t="s">
        <v>1308</v>
      </c>
      <c r="G32" s="179" t="s">
        <v>1308</v>
      </c>
      <c r="H32" s="179" t="s">
        <v>1308</v>
      </c>
      <c r="I32" s="179" t="s">
        <v>1308</v>
      </c>
      <c r="J32" s="179" t="s">
        <v>1308</v>
      </c>
      <c r="K32" s="179" t="s">
        <v>1308</v>
      </c>
      <c r="L32" s="179" t="s">
        <v>1308</v>
      </c>
      <c r="M32" s="179" t="s">
        <v>1308</v>
      </c>
      <c r="N32" s="179" t="s">
        <v>1308</v>
      </c>
      <c r="O32" s="179" t="s">
        <v>1308</v>
      </c>
      <c r="P32" s="179" t="s">
        <v>1308</v>
      </c>
      <c r="Q32" s="179" t="s">
        <v>1308</v>
      </c>
      <c r="R32" s="179" t="s">
        <v>1308</v>
      </c>
      <c r="S32" s="179" t="s">
        <v>1308</v>
      </c>
      <c r="T32" s="179" t="s">
        <v>1308</v>
      </c>
      <c r="U32" s="179" t="s">
        <v>1308</v>
      </c>
      <c r="V32" s="179" t="s">
        <v>1308</v>
      </c>
      <c r="W32" s="179" t="s">
        <v>1308</v>
      </c>
      <c r="X32" s="179" t="s">
        <v>1308</v>
      </c>
      <c r="Y32" s="179" t="s">
        <v>1308</v>
      </c>
      <c r="Z32" s="179" t="s">
        <v>1308</v>
      </c>
    </row>
    <row r="33" spans="2:26" x14ac:dyDescent="0.2">
      <c r="B33" s="180" t="s">
        <v>67</v>
      </c>
      <c r="C33" s="180" t="s">
        <v>621</v>
      </c>
      <c r="D33" s="180" t="s">
        <v>1021</v>
      </c>
      <c r="E33" s="179" t="s">
        <v>1296</v>
      </c>
      <c r="F33" s="179" t="s">
        <v>1296</v>
      </c>
      <c r="G33" s="179" t="s">
        <v>1296</v>
      </c>
      <c r="H33" s="179" t="s">
        <v>1296</v>
      </c>
      <c r="I33" s="179" t="s">
        <v>1296</v>
      </c>
      <c r="J33" s="179" t="s">
        <v>1296</v>
      </c>
      <c r="K33" s="179" t="s">
        <v>1296</v>
      </c>
      <c r="L33" s="179" t="s">
        <v>1296</v>
      </c>
      <c r="M33" s="179" t="s">
        <v>1296</v>
      </c>
      <c r="N33" s="179" t="s">
        <v>1296</v>
      </c>
      <c r="O33" s="179" t="s">
        <v>1296</v>
      </c>
      <c r="P33" s="179" t="s">
        <v>1296</v>
      </c>
      <c r="Q33" s="179" t="s">
        <v>1300</v>
      </c>
      <c r="R33" s="179" t="s">
        <v>1300</v>
      </c>
      <c r="S33" s="179" t="s">
        <v>1296</v>
      </c>
      <c r="T33" s="179" t="s">
        <v>1296</v>
      </c>
      <c r="U33" s="179" t="s">
        <v>1296</v>
      </c>
      <c r="V33" s="179" t="s">
        <v>1300</v>
      </c>
      <c r="W33" s="179" t="s">
        <v>1296</v>
      </c>
      <c r="X33" s="179" t="s">
        <v>1296</v>
      </c>
      <c r="Y33" s="179" t="s">
        <v>1296</v>
      </c>
      <c r="Z33" s="179" t="s">
        <v>1296</v>
      </c>
    </row>
    <row r="34" spans="2:26" x14ac:dyDescent="0.2">
      <c r="B34" s="180" t="s">
        <v>590</v>
      </c>
      <c r="C34" s="180" t="s">
        <v>621</v>
      </c>
      <c r="D34" s="180" t="s">
        <v>1036</v>
      </c>
      <c r="E34" s="179" t="s">
        <v>1299</v>
      </c>
      <c r="I34" s="179"/>
      <c r="J34" s="179"/>
      <c r="L34" s="179"/>
      <c r="M34" s="179" t="s">
        <v>1299</v>
      </c>
      <c r="N34" s="179"/>
      <c r="O34" s="179"/>
      <c r="P34" s="179"/>
      <c r="Q34" s="179" t="s">
        <v>1296</v>
      </c>
      <c r="R34" s="179" t="s">
        <v>1296</v>
      </c>
      <c r="T34" s="179"/>
      <c r="U34" s="179"/>
      <c r="V34" s="179" t="s">
        <v>1302</v>
      </c>
    </row>
    <row r="35" spans="2:26" x14ac:dyDescent="0.2">
      <c r="B35" s="180" t="s">
        <v>53</v>
      </c>
      <c r="C35" s="180" t="s">
        <v>658</v>
      </c>
      <c r="D35" s="180" t="s">
        <v>1194</v>
      </c>
      <c r="E35" s="179" t="s">
        <v>1297</v>
      </c>
      <c r="M35" s="179" t="s">
        <v>1297</v>
      </c>
      <c r="Q35" s="179"/>
      <c r="V35" s="179" t="s">
        <v>1296</v>
      </c>
    </row>
    <row r="36" spans="2:26" x14ac:dyDescent="0.2">
      <c r="B36" s="180" t="s">
        <v>1199</v>
      </c>
      <c r="C36" s="180" t="s">
        <v>658</v>
      </c>
      <c r="D36" s="180" t="s">
        <v>1028</v>
      </c>
      <c r="V36" s="179" t="s">
        <v>1301</v>
      </c>
    </row>
    <row r="37" spans="2:26" x14ac:dyDescent="0.2">
      <c r="B37" s="180" t="s">
        <v>587</v>
      </c>
      <c r="C37" s="180" t="s">
        <v>1226</v>
      </c>
      <c r="D37" s="180" t="s">
        <v>1057</v>
      </c>
      <c r="M37" s="179"/>
      <c r="V37" s="179"/>
    </row>
    <row r="38" spans="2:26" x14ac:dyDescent="0.2">
      <c r="B38" s="180" t="s">
        <v>588</v>
      </c>
      <c r="C38" s="180" t="s">
        <v>1226</v>
      </c>
      <c r="D38" s="180" t="s">
        <v>1026</v>
      </c>
    </row>
    <row r="39" spans="2:26" x14ac:dyDescent="0.2">
      <c r="B39" s="180" t="s">
        <v>589</v>
      </c>
      <c r="C39" s="180" t="s">
        <v>796</v>
      </c>
      <c r="D39" s="180" t="s">
        <v>1031</v>
      </c>
    </row>
    <row r="40" spans="2:26" x14ac:dyDescent="0.2">
      <c r="B40" s="180" t="s">
        <v>70</v>
      </c>
      <c r="C40" s="180" t="s">
        <v>796</v>
      </c>
      <c r="D40" s="180" t="s">
        <v>1195</v>
      </c>
    </row>
    <row r="41" spans="2:26" x14ac:dyDescent="0.2">
      <c r="B41" s="180" t="s">
        <v>71</v>
      </c>
      <c r="C41" s="180" t="s">
        <v>560</v>
      </c>
      <c r="D41" s="180" t="s">
        <v>1037</v>
      </c>
    </row>
    <row r="42" spans="2:26" x14ac:dyDescent="0.2">
      <c r="B42" s="180" t="s">
        <v>209</v>
      </c>
      <c r="C42" s="180" t="s">
        <v>560</v>
      </c>
      <c r="D42" s="180" t="s">
        <v>1196</v>
      </c>
    </row>
    <row r="43" spans="2:26" x14ac:dyDescent="0.2">
      <c r="B43" s="180" t="s">
        <v>571</v>
      </c>
      <c r="C43" s="180" t="s">
        <v>823</v>
      </c>
      <c r="D43" s="180" t="s">
        <v>1033</v>
      </c>
    </row>
    <row r="44" spans="2:26" x14ac:dyDescent="0.2">
      <c r="B44" s="180" t="s">
        <v>152</v>
      </c>
      <c r="C44" s="180" t="s">
        <v>823</v>
      </c>
      <c r="D44" s="180" t="s">
        <v>1037</v>
      </c>
    </row>
    <row r="45" spans="2:26" x14ac:dyDescent="0.2">
      <c r="B45" s="180" t="s">
        <v>591</v>
      </c>
      <c r="C45" s="180" t="s">
        <v>823</v>
      </c>
      <c r="D45" s="180" t="s">
        <v>1196</v>
      </c>
    </row>
    <row r="46" spans="2:26" x14ac:dyDescent="0.2">
      <c r="B46" s="180" t="s">
        <v>593</v>
      </c>
      <c r="C46" s="180" t="s">
        <v>604</v>
      </c>
      <c r="D46" s="180" t="s">
        <v>1016</v>
      </c>
    </row>
    <row r="47" spans="2:26" x14ac:dyDescent="0.2">
      <c r="B47" s="180" t="s">
        <v>66</v>
      </c>
      <c r="C47" s="180" t="s">
        <v>604</v>
      </c>
      <c r="D47" s="180" t="s">
        <v>1021</v>
      </c>
    </row>
    <row r="48" spans="2:26" x14ac:dyDescent="0.2">
      <c r="B48" s="180" t="s">
        <v>1197</v>
      </c>
      <c r="C48" s="180" t="s">
        <v>680</v>
      </c>
      <c r="D48" s="180" t="s">
        <v>1020</v>
      </c>
    </row>
    <row r="49" spans="2:4" x14ac:dyDescent="0.2">
      <c r="B49" s="180" t="s">
        <v>1198</v>
      </c>
      <c r="C49" s="180" t="s">
        <v>680</v>
      </c>
      <c r="D49" s="180" t="s">
        <v>1023</v>
      </c>
    </row>
    <row r="50" spans="2:4" x14ac:dyDescent="0.2">
      <c r="B50" s="180" t="s">
        <v>594</v>
      </c>
      <c r="C50" s="180" t="s">
        <v>824</v>
      </c>
      <c r="D50" s="180" t="s">
        <v>1033</v>
      </c>
    </row>
    <row r="51" spans="2:4" x14ac:dyDescent="0.2">
      <c r="B51" s="180" t="s">
        <v>595</v>
      </c>
      <c r="C51" s="180" t="s">
        <v>824</v>
      </c>
      <c r="D51" s="180" t="s">
        <v>1049</v>
      </c>
    </row>
    <row r="52" spans="2:4" x14ac:dyDescent="0.2">
      <c r="B52" s="180"/>
      <c r="C52" s="180" t="s">
        <v>856</v>
      </c>
      <c r="D52" s="180" t="s">
        <v>1037</v>
      </c>
    </row>
    <row r="53" spans="2:4" x14ac:dyDescent="0.2">
      <c r="B53" s="180"/>
      <c r="C53" s="180" t="s">
        <v>856</v>
      </c>
      <c r="D53" s="180" t="s">
        <v>1196</v>
      </c>
    </row>
    <row r="54" spans="2:4" x14ac:dyDescent="0.2">
      <c r="B54" s="180"/>
      <c r="C54" s="180" t="s">
        <v>741</v>
      </c>
      <c r="D54" s="180" t="s">
        <v>1025</v>
      </c>
    </row>
    <row r="55" spans="2:4" x14ac:dyDescent="0.2">
      <c r="B55" s="180"/>
      <c r="C55" s="180" t="s">
        <v>741</v>
      </c>
      <c r="D55" s="180" t="s">
        <v>1032</v>
      </c>
    </row>
    <row r="56" spans="2:4" x14ac:dyDescent="0.2">
      <c r="B56" s="180"/>
      <c r="C56" s="180" t="s">
        <v>627</v>
      </c>
      <c r="D56" s="180" t="s">
        <v>1017</v>
      </c>
    </row>
    <row r="57" spans="2:4" x14ac:dyDescent="0.2">
      <c r="B57" s="180"/>
      <c r="C57" s="180" t="s">
        <v>627</v>
      </c>
      <c r="D57" s="180" t="s">
        <v>1054</v>
      </c>
    </row>
    <row r="58" spans="2:4" x14ac:dyDescent="0.2">
      <c r="B58" s="180"/>
      <c r="C58" s="180" t="s">
        <v>766</v>
      </c>
      <c r="D58" s="180" t="s">
        <v>1029</v>
      </c>
    </row>
    <row r="59" spans="2:4" x14ac:dyDescent="0.2">
      <c r="B59" s="180"/>
      <c r="C59" s="180" t="s">
        <v>766</v>
      </c>
      <c r="D59" s="180" t="s">
        <v>1048</v>
      </c>
    </row>
    <row r="60" spans="2:4" x14ac:dyDescent="0.2">
      <c r="B60" s="180"/>
      <c r="C60" s="180" t="s">
        <v>766</v>
      </c>
      <c r="D60" s="180" t="s">
        <v>1196</v>
      </c>
    </row>
    <row r="61" spans="2:4" x14ac:dyDescent="0.2">
      <c r="B61" s="180"/>
      <c r="C61" s="180" t="s">
        <v>953</v>
      </c>
      <c r="D61" s="180" t="s">
        <v>1049</v>
      </c>
    </row>
    <row r="62" spans="2:4" x14ac:dyDescent="0.2">
      <c r="B62" s="180"/>
      <c r="C62" s="180" t="s">
        <v>953</v>
      </c>
      <c r="D62" s="180" t="s">
        <v>1196</v>
      </c>
    </row>
    <row r="63" spans="2:4" x14ac:dyDescent="0.2">
      <c r="B63" s="180"/>
      <c r="C63" s="180" t="s">
        <v>431</v>
      </c>
      <c r="D63" s="180" t="s">
        <v>1041</v>
      </c>
    </row>
    <row r="64" spans="2:4" x14ac:dyDescent="0.2">
      <c r="B64" s="180"/>
      <c r="C64" s="180" t="s">
        <v>431</v>
      </c>
      <c r="D64" s="180" t="s">
        <v>1051</v>
      </c>
    </row>
    <row r="65" spans="2:4" x14ac:dyDescent="0.2">
      <c r="B65" s="180"/>
      <c r="C65" s="180" t="s">
        <v>395</v>
      </c>
      <c r="D65" s="180" t="s">
        <v>1023</v>
      </c>
    </row>
    <row r="66" spans="2:4" x14ac:dyDescent="0.2">
      <c r="B66" s="180"/>
      <c r="C66" s="180" t="s">
        <v>395</v>
      </c>
      <c r="D66" s="180" t="s">
        <v>1039</v>
      </c>
    </row>
    <row r="67" spans="2:4" x14ac:dyDescent="0.2">
      <c r="B67" s="180"/>
      <c r="C67" s="180" t="s">
        <v>811</v>
      </c>
      <c r="D67" s="180" t="s">
        <v>1032</v>
      </c>
    </row>
    <row r="68" spans="2:4" x14ac:dyDescent="0.2">
      <c r="B68" s="180"/>
      <c r="C68" s="180" t="s">
        <v>811</v>
      </c>
      <c r="D68" s="180" t="s">
        <v>1043</v>
      </c>
    </row>
    <row r="69" spans="2:4" x14ac:dyDescent="0.2">
      <c r="B69" s="180"/>
      <c r="C69" s="180" t="s">
        <v>266</v>
      </c>
      <c r="D69" s="180" t="s">
        <v>1029</v>
      </c>
    </row>
    <row r="70" spans="2:4" x14ac:dyDescent="0.2">
      <c r="B70" s="180"/>
      <c r="C70" s="180" t="s">
        <v>266</v>
      </c>
      <c r="D70" s="180" t="s">
        <v>1047</v>
      </c>
    </row>
    <row r="71" spans="2:4" x14ac:dyDescent="0.2">
      <c r="B71" s="180"/>
      <c r="C71" s="180" t="s">
        <v>600</v>
      </c>
      <c r="D71" s="180" t="s">
        <v>1016</v>
      </c>
    </row>
    <row r="72" spans="2:4" x14ac:dyDescent="0.2">
      <c r="B72" s="180"/>
      <c r="C72" s="180" t="s">
        <v>600</v>
      </c>
      <c r="D72" s="180" t="s">
        <v>1021</v>
      </c>
    </row>
    <row r="73" spans="2:4" x14ac:dyDescent="0.2">
      <c r="B73" s="180"/>
      <c r="C73" s="180" t="s">
        <v>600</v>
      </c>
      <c r="D73" s="180" t="s">
        <v>1036</v>
      </c>
    </row>
    <row r="74" spans="2:4" x14ac:dyDescent="0.2">
      <c r="B74" s="180"/>
      <c r="C74" s="180" t="s">
        <v>460</v>
      </c>
      <c r="D74" s="180" t="s">
        <v>1038</v>
      </c>
    </row>
    <row r="75" spans="2:4" x14ac:dyDescent="0.2">
      <c r="B75" s="180"/>
      <c r="C75" s="180" t="s">
        <v>460</v>
      </c>
      <c r="D75" s="180" t="s">
        <v>1044</v>
      </c>
    </row>
    <row r="76" spans="2:4" x14ac:dyDescent="0.2">
      <c r="B76" s="180"/>
      <c r="C76" s="180" t="s">
        <v>105</v>
      </c>
      <c r="D76" s="180" t="s">
        <v>1018</v>
      </c>
    </row>
    <row r="77" spans="2:4" x14ac:dyDescent="0.2">
      <c r="B77" s="180"/>
      <c r="C77" s="180" t="s">
        <v>105</v>
      </c>
      <c r="D77" s="180" t="s">
        <v>79</v>
      </c>
    </row>
    <row r="78" spans="2:4" x14ac:dyDescent="0.2">
      <c r="B78" s="180"/>
      <c r="C78" s="180" t="s">
        <v>197</v>
      </c>
      <c r="D78" s="180" t="s">
        <v>1023</v>
      </c>
    </row>
    <row r="79" spans="2:4" x14ac:dyDescent="0.2">
      <c r="B79" s="180"/>
      <c r="C79" s="180" t="s">
        <v>197</v>
      </c>
      <c r="D79" s="180" t="s">
        <v>1039</v>
      </c>
    </row>
    <row r="80" spans="2:4" x14ac:dyDescent="0.2">
      <c r="B80" s="180"/>
      <c r="C80" s="180" t="s">
        <v>225</v>
      </c>
      <c r="D80" s="180" t="s">
        <v>1016</v>
      </c>
    </row>
    <row r="81" spans="2:4" x14ac:dyDescent="0.2">
      <c r="B81" s="180"/>
      <c r="C81" s="180" t="s">
        <v>225</v>
      </c>
      <c r="D81" s="180" t="s">
        <v>1027</v>
      </c>
    </row>
    <row r="82" spans="2:4" x14ac:dyDescent="0.2">
      <c r="B82" s="180"/>
      <c r="C82" s="180" t="s">
        <v>615</v>
      </c>
      <c r="D82" s="180" t="s">
        <v>1016</v>
      </c>
    </row>
    <row r="83" spans="2:4" x14ac:dyDescent="0.2">
      <c r="B83" s="180"/>
      <c r="C83" s="180" t="s">
        <v>615</v>
      </c>
      <c r="D83" s="180" t="s">
        <v>1027</v>
      </c>
    </row>
    <row r="84" spans="2:4" x14ac:dyDescent="0.2">
      <c r="B84" s="180"/>
      <c r="C84" s="180" t="s">
        <v>895</v>
      </c>
      <c r="D84" s="180" t="s">
        <v>1041</v>
      </c>
    </row>
    <row r="85" spans="2:4" x14ac:dyDescent="0.2">
      <c r="B85" s="180"/>
      <c r="C85" s="180" t="s">
        <v>895</v>
      </c>
      <c r="D85" s="180" t="s">
        <v>1051</v>
      </c>
    </row>
    <row r="86" spans="2:4" x14ac:dyDescent="0.2">
      <c r="B86" s="180"/>
      <c r="C86" s="180" t="s">
        <v>428</v>
      </c>
      <c r="D86" s="180" t="s">
        <v>1041</v>
      </c>
    </row>
    <row r="87" spans="2:4" x14ac:dyDescent="0.2">
      <c r="B87" s="180"/>
      <c r="C87" s="180" t="s">
        <v>428</v>
      </c>
      <c r="D87" s="180" t="s">
        <v>1051</v>
      </c>
    </row>
    <row r="88" spans="2:4" x14ac:dyDescent="0.2">
      <c r="B88" s="180"/>
      <c r="C88" s="180" t="s">
        <v>860</v>
      </c>
      <c r="D88" s="180" t="s">
        <v>1038</v>
      </c>
    </row>
    <row r="89" spans="2:4" x14ac:dyDescent="0.2">
      <c r="B89" s="180"/>
      <c r="C89" s="180" t="s">
        <v>860</v>
      </c>
      <c r="D89" s="180" t="s">
        <v>1044</v>
      </c>
    </row>
    <row r="90" spans="2:4" x14ac:dyDescent="0.2">
      <c r="B90" s="180"/>
      <c r="C90" s="180" t="s">
        <v>922</v>
      </c>
      <c r="D90" s="180" t="s">
        <v>1044</v>
      </c>
    </row>
    <row r="91" spans="2:4" x14ac:dyDescent="0.2">
      <c r="B91" s="180"/>
      <c r="C91" s="180" t="s">
        <v>922</v>
      </c>
      <c r="D91" s="180" t="s">
        <v>1195</v>
      </c>
    </row>
    <row r="92" spans="2:4" x14ac:dyDescent="0.2">
      <c r="B92" s="180"/>
      <c r="C92" s="180" t="s">
        <v>651</v>
      </c>
      <c r="D92" s="180" t="s">
        <v>1018</v>
      </c>
    </row>
    <row r="93" spans="2:4" x14ac:dyDescent="0.2">
      <c r="B93" s="180"/>
      <c r="C93" s="180" t="s">
        <v>651</v>
      </c>
      <c r="D93" s="180" t="s">
        <v>1034</v>
      </c>
    </row>
    <row r="94" spans="2:4" x14ac:dyDescent="0.2">
      <c r="B94" s="180"/>
      <c r="C94" s="180" t="s">
        <v>788</v>
      </c>
      <c r="D94" s="180" t="s">
        <v>1031</v>
      </c>
    </row>
    <row r="95" spans="2:4" x14ac:dyDescent="0.2">
      <c r="B95" s="180"/>
      <c r="C95" s="180" t="s">
        <v>788</v>
      </c>
      <c r="D95" s="180" t="s">
        <v>1042</v>
      </c>
    </row>
    <row r="96" spans="2:4" x14ac:dyDescent="0.2">
      <c r="B96" s="180"/>
      <c r="C96" s="180" t="s">
        <v>342</v>
      </c>
      <c r="D96" s="180" t="s">
        <v>1016</v>
      </c>
    </row>
    <row r="97" spans="2:4" x14ac:dyDescent="0.2">
      <c r="B97" s="180"/>
      <c r="C97" s="180" t="s">
        <v>342</v>
      </c>
      <c r="D97" s="180" t="s">
        <v>1021</v>
      </c>
    </row>
    <row r="98" spans="2:4" x14ac:dyDescent="0.2">
      <c r="B98" s="180"/>
      <c r="C98" s="180" t="s">
        <v>342</v>
      </c>
      <c r="D98" s="180" t="s">
        <v>1036</v>
      </c>
    </row>
    <row r="99" spans="2:4" x14ac:dyDescent="0.2">
      <c r="B99" s="180"/>
      <c r="C99" s="180" t="s">
        <v>701</v>
      </c>
      <c r="D99" s="180" t="s">
        <v>1021</v>
      </c>
    </row>
    <row r="100" spans="2:4" x14ac:dyDescent="0.2">
      <c r="B100" s="180"/>
      <c r="C100" s="180" t="s">
        <v>701</v>
      </c>
      <c r="D100" s="180" t="s">
        <v>1036</v>
      </c>
    </row>
    <row r="101" spans="2:4" x14ac:dyDescent="0.2">
      <c r="B101" s="180"/>
      <c r="C101" s="180" t="s">
        <v>607</v>
      </c>
      <c r="D101" s="180" t="s">
        <v>1016</v>
      </c>
    </row>
    <row r="102" spans="2:4" x14ac:dyDescent="0.2">
      <c r="B102" s="180"/>
      <c r="C102" s="180" t="s">
        <v>607</v>
      </c>
      <c r="D102" s="180" t="s">
        <v>1027</v>
      </c>
    </row>
    <row r="103" spans="2:4" x14ac:dyDescent="0.2">
      <c r="B103" s="180"/>
      <c r="C103" s="180" t="s">
        <v>539</v>
      </c>
      <c r="D103" s="180" t="s">
        <v>1019</v>
      </c>
    </row>
    <row r="104" spans="2:4" x14ac:dyDescent="0.2">
      <c r="B104" s="180"/>
      <c r="C104" s="180" t="s">
        <v>539</v>
      </c>
      <c r="D104" s="180" t="s">
        <v>1051</v>
      </c>
    </row>
    <row r="105" spans="2:4" x14ac:dyDescent="0.2">
      <c r="B105" s="180"/>
      <c r="C105" s="180" t="s">
        <v>148</v>
      </c>
      <c r="D105" s="180" t="s">
        <v>1020</v>
      </c>
    </row>
    <row r="106" spans="2:4" x14ac:dyDescent="0.2">
      <c r="B106" s="180"/>
      <c r="C106" s="180" t="s">
        <v>148</v>
      </c>
      <c r="D106" s="180" t="s">
        <v>1023</v>
      </c>
    </row>
    <row r="107" spans="2:4" x14ac:dyDescent="0.2">
      <c r="B107" s="180"/>
      <c r="C107" s="180" t="s">
        <v>148</v>
      </c>
      <c r="D107" s="180" t="s">
        <v>1039</v>
      </c>
    </row>
    <row r="108" spans="2:4" x14ac:dyDescent="0.2">
      <c r="B108" s="180"/>
      <c r="C108" s="180" t="s">
        <v>148</v>
      </c>
      <c r="D108" s="180" t="s">
        <v>1046</v>
      </c>
    </row>
    <row r="109" spans="2:4" x14ac:dyDescent="0.2">
      <c r="B109" s="180"/>
      <c r="C109" s="180" t="s">
        <v>89</v>
      </c>
      <c r="D109" s="180" t="s">
        <v>1016</v>
      </c>
    </row>
    <row r="110" spans="2:4" x14ac:dyDescent="0.2">
      <c r="B110" s="180"/>
      <c r="C110" s="180" t="s">
        <v>89</v>
      </c>
      <c r="D110" s="180" t="s">
        <v>1027</v>
      </c>
    </row>
    <row r="111" spans="2:4" x14ac:dyDescent="0.2">
      <c r="B111" s="180"/>
      <c r="C111" s="180" t="s">
        <v>96</v>
      </c>
      <c r="D111" s="180" t="s">
        <v>1017</v>
      </c>
    </row>
    <row r="112" spans="2:4" x14ac:dyDescent="0.2">
      <c r="B112" s="180"/>
      <c r="C112" s="180" t="s">
        <v>96</v>
      </c>
      <c r="D112" s="180" t="s">
        <v>1054</v>
      </c>
    </row>
    <row r="113" spans="2:4" x14ac:dyDescent="0.2">
      <c r="B113" s="180"/>
      <c r="C113" s="180" t="s">
        <v>202</v>
      </c>
      <c r="D113" s="180" t="s">
        <v>1023</v>
      </c>
    </row>
    <row r="114" spans="2:4" x14ac:dyDescent="0.2">
      <c r="B114" s="180"/>
      <c r="C114" s="180" t="s">
        <v>202</v>
      </c>
      <c r="D114" s="180" t="s">
        <v>1028</v>
      </c>
    </row>
    <row r="115" spans="2:4" x14ac:dyDescent="0.2">
      <c r="B115" s="180"/>
      <c r="C115" s="180" t="s">
        <v>837</v>
      </c>
      <c r="D115" s="180" t="s">
        <v>1035</v>
      </c>
    </row>
    <row r="116" spans="2:4" x14ac:dyDescent="0.2">
      <c r="B116" s="180"/>
      <c r="C116" s="180" t="s">
        <v>837</v>
      </c>
      <c r="D116" s="180" t="s">
        <v>1046</v>
      </c>
    </row>
    <row r="117" spans="2:4" x14ac:dyDescent="0.2">
      <c r="B117" s="180"/>
      <c r="C117" s="180" t="s">
        <v>443</v>
      </c>
      <c r="D117" s="180" t="s">
        <v>1042</v>
      </c>
    </row>
    <row r="118" spans="2:4" x14ac:dyDescent="0.2">
      <c r="B118" s="180"/>
      <c r="C118" s="180" t="s">
        <v>443</v>
      </c>
      <c r="D118" s="180" t="s">
        <v>1195</v>
      </c>
    </row>
    <row r="119" spans="2:4" x14ac:dyDescent="0.2">
      <c r="B119" s="180"/>
      <c r="C119" s="180" t="s">
        <v>906</v>
      </c>
      <c r="D119" s="180" t="s">
        <v>1042</v>
      </c>
    </row>
    <row r="120" spans="2:4" x14ac:dyDescent="0.2">
      <c r="B120" s="180"/>
      <c r="C120" s="180" t="s">
        <v>906</v>
      </c>
      <c r="D120" s="180" t="s">
        <v>1195</v>
      </c>
    </row>
    <row r="121" spans="2:4" x14ac:dyDescent="0.2">
      <c r="B121" s="180"/>
      <c r="C121" s="180" t="s">
        <v>899</v>
      </c>
      <c r="D121" s="180" t="s">
        <v>1042</v>
      </c>
    </row>
    <row r="122" spans="2:4" x14ac:dyDescent="0.2">
      <c r="B122" s="180"/>
      <c r="C122" s="180" t="s">
        <v>899</v>
      </c>
      <c r="D122" s="180" t="s">
        <v>1195</v>
      </c>
    </row>
    <row r="123" spans="2:4" x14ac:dyDescent="0.2">
      <c r="B123" s="180"/>
      <c r="C123" s="180" t="s">
        <v>821</v>
      </c>
      <c r="D123" s="180" t="s">
        <v>1033</v>
      </c>
    </row>
    <row r="124" spans="2:4" x14ac:dyDescent="0.2">
      <c r="B124" s="180"/>
      <c r="C124" s="180" t="s">
        <v>821</v>
      </c>
      <c r="D124" s="180" t="s">
        <v>1049</v>
      </c>
    </row>
    <row r="125" spans="2:4" x14ac:dyDescent="0.2">
      <c r="B125" s="180"/>
      <c r="C125" s="180" t="s">
        <v>852</v>
      </c>
      <c r="D125" s="180" t="s">
        <v>1037</v>
      </c>
    </row>
    <row r="126" spans="2:4" x14ac:dyDescent="0.2">
      <c r="B126" s="180"/>
      <c r="C126" s="180" t="s">
        <v>852</v>
      </c>
      <c r="D126" s="180" t="s">
        <v>1045</v>
      </c>
    </row>
    <row r="127" spans="2:4" x14ac:dyDescent="0.2">
      <c r="B127" s="180"/>
      <c r="C127" s="180" t="s">
        <v>640</v>
      </c>
      <c r="D127" s="180" t="s">
        <v>1018</v>
      </c>
    </row>
    <row r="128" spans="2:4" x14ac:dyDescent="0.2">
      <c r="B128" s="180"/>
      <c r="C128" s="180" t="s">
        <v>640</v>
      </c>
      <c r="D128" s="180" t="s">
        <v>1028</v>
      </c>
    </row>
    <row r="129" spans="2:4" x14ac:dyDescent="0.2">
      <c r="B129" s="180"/>
      <c r="C129" s="180" t="s">
        <v>640</v>
      </c>
      <c r="D129" s="180" t="s">
        <v>1034</v>
      </c>
    </row>
    <row r="130" spans="2:4" x14ac:dyDescent="0.2">
      <c r="B130" s="180"/>
      <c r="C130" s="180" t="s">
        <v>825</v>
      </c>
      <c r="D130" s="180" t="s">
        <v>1033</v>
      </c>
    </row>
    <row r="131" spans="2:4" x14ac:dyDescent="0.2">
      <c r="B131" s="180"/>
      <c r="C131" s="180" t="s">
        <v>825</v>
      </c>
      <c r="D131" s="180" t="s">
        <v>1049</v>
      </c>
    </row>
    <row r="132" spans="2:4" x14ac:dyDescent="0.2">
      <c r="B132" s="180"/>
      <c r="C132" s="180" t="s">
        <v>858</v>
      </c>
      <c r="D132" s="180" t="s">
        <v>1037</v>
      </c>
    </row>
    <row r="133" spans="2:4" x14ac:dyDescent="0.2">
      <c r="B133" s="180"/>
      <c r="C133" s="180" t="s">
        <v>858</v>
      </c>
      <c r="D133" s="180" t="s">
        <v>1196</v>
      </c>
    </row>
    <row r="134" spans="2:4" x14ac:dyDescent="0.2">
      <c r="B134" s="180"/>
      <c r="C134" s="180" t="s">
        <v>854</v>
      </c>
      <c r="D134" s="180" t="s">
        <v>1037</v>
      </c>
    </row>
    <row r="135" spans="2:4" x14ac:dyDescent="0.2">
      <c r="B135" s="180"/>
      <c r="C135" s="180" t="s">
        <v>854</v>
      </c>
      <c r="D135" s="180" t="s">
        <v>1196</v>
      </c>
    </row>
    <row r="136" spans="2:4" x14ac:dyDescent="0.2">
      <c r="B136" s="180"/>
      <c r="C136" s="180" t="s">
        <v>843</v>
      </c>
      <c r="D136" s="180" t="s">
        <v>1035</v>
      </c>
    </row>
    <row r="137" spans="2:4" x14ac:dyDescent="0.2">
      <c r="B137" s="180"/>
      <c r="C137" s="180" t="s">
        <v>843</v>
      </c>
      <c r="D137" s="180" t="s">
        <v>1039</v>
      </c>
    </row>
    <row r="138" spans="2:4" x14ac:dyDescent="0.2">
      <c r="B138" s="180"/>
      <c r="C138" s="180" t="s">
        <v>862</v>
      </c>
      <c r="D138" s="180" t="s">
        <v>1038</v>
      </c>
    </row>
    <row r="139" spans="2:4" x14ac:dyDescent="0.2">
      <c r="B139" s="180"/>
      <c r="C139" s="180" t="s">
        <v>862</v>
      </c>
      <c r="D139" s="180" t="s">
        <v>1044</v>
      </c>
    </row>
    <row r="140" spans="2:4" x14ac:dyDescent="0.2">
      <c r="B140" s="180"/>
      <c r="C140" s="180" t="s">
        <v>862</v>
      </c>
      <c r="D140" s="180" t="s">
        <v>1195</v>
      </c>
    </row>
    <row r="141" spans="2:4" x14ac:dyDescent="0.2">
      <c r="B141" s="180"/>
      <c r="C141" s="180" t="s">
        <v>236</v>
      </c>
      <c r="D141" s="180" t="s">
        <v>1027</v>
      </c>
    </row>
    <row r="142" spans="2:4" x14ac:dyDescent="0.2">
      <c r="B142" s="180"/>
      <c r="C142" s="180" t="s">
        <v>236</v>
      </c>
      <c r="D142" s="180" t="s">
        <v>1049</v>
      </c>
    </row>
    <row r="143" spans="2:4" x14ac:dyDescent="0.2">
      <c r="B143" s="180"/>
      <c r="C143" s="180" t="s">
        <v>1148</v>
      </c>
      <c r="D143" s="180" t="s">
        <v>1027</v>
      </c>
    </row>
    <row r="144" spans="2:4" x14ac:dyDescent="0.2">
      <c r="B144" s="180"/>
      <c r="C144" s="180" t="s">
        <v>1148</v>
      </c>
      <c r="D144" s="180" t="s">
        <v>1049</v>
      </c>
    </row>
    <row r="145" spans="2:4" x14ac:dyDescent="0.2">
      <c r="B145" s="180"/>
      <c r="C145" s="180" t="s">
        <v>758</v>
      </c>
      <c r="D145" s="180" t="s">
        <v>1027</v>
      </c>
    </row>
    <row r="146" spans="2:4" x14ac:dyDescent="0.2">
      <c r="B146" s="180"/>
      <c r="C146" s="180" t="s">
        <v>758</v>
      </c>
      <c r="D146" s="180" t="s">
        <v>1049</v>
      </c>
    </row>
    <row r="147" spans="2:4" x14ac:dyDescent="0.2">
      <c r="B147" s="180"/>
      <c r="C147" s="180" t="s">
        <v>914</v>
      </c>
      <c r="D147" s="180" t="s">
        <v>1042</v>
      </c>
    </row>
    <row r="148" spans="2:4" x14ac:dyDescent="0.2">
      <c r="B148" s="180"/>
      <c r="C148" s="180" t="s">
        <v>914</v>
      </c>
      <c r="D148" s="180" t="s">
        <v>1195</v>
      </c>
    </row>
    <row r="149" spans="2:4" x14ac:dyDescent="0.2">
      <c r="B149" s="180"/>
      <c r="C149" s="180" t="s">
        <v>734</v>
      </c>
      <c r="D149" s="180" t="s">
        <v>1023</v>
      </c>
    </row>
    <row r="150" spans="2:4" x14ac:dyDescent="0.2">
      <c r="B150" s="180"/>
      <c r="C150" s="180" t="s">
        <v>734</v>
      </c>
      <c r="D150" s="180" t="s">
        <v>1039</v>
      </c>
    </row>
    <row r="151" spans="2:4" x14ac:dyDescent="0.2">
      <c r="B151" s="180"/>
      <c r="C151" s="180" t="s">
        <v>731</v>
      </c>
      <c r="D151" s="180" t="s">
        <v>1023</v>
      </c>
    </row>
    <row r="152" spans="2:4" x14ac:dyDescent="0.2">
      <c r="B152" s="180"/>
      <c r="C152" s="180" t="s">
        <v>731</v>
      </c>
      <c r="D152" s="180" t="s">
        <v>1039</v>
      </c>
    </row>
    <row r="153" spans="2:4" x14ac:dyDescent="0.2">
      <c r="B153" s="180"/>
      <c r="C153" s="180" t="s">
        <v>731</v>
      </c>
      <c r="D153" s="180" t="s">
        <v>1046</v>
      </c>
    </row>
    <row r="154" spans="2:4" x14ac:dyDescent="0.2">
      <c r="B154" s="180"/>
      <c r="C154" s="180" t="s">
        <v>868</v>
      </c>
      <c r="D154" s="180" t="s">
        <v>1039</v>
      </c>
    </row>
    <row r="155" spans="2:4" x14ac:dyDescent="0.2">
      <c r="B155" s="180"/>
      <c r="C155" s="180" t="s">
        <v>868</v>
      </c>
      <c r="D155" s="180" t="s">
        <v>1046</v>
      </c>
    </row>
    <row r="156" spans="2:4" x14ac:dyDescent="0.2">
      <c r="B156" s="180"/>
      <c r="C156" s="180" t="s">
        <v>855</v>
      </c>
      <c r="D156" s="180" t="s">
        <v>1037</v>
      </c>
    </row>
    <row r="157" spans="2:4" x14ac:dyDescent="0.2">
      <c r="B157" s="180"/>
      <c r="C157" s="180" t="s">
        <v>855</v>
      </c>
      <c r="D157" s="180" t="s">
        <v>1040</v>
      </c>
    </row>
    <row r="158" spans="2:4" x14ac:dyDescent="0.2">
      <c r="B158" s="180"/>
      <c r="C158" s="180" t="s">
        <v>855</v>
      </c>
      <c r="D158" s="180" t="s">
        <v>1045</v>
      </c>
    </row>
    <row r="159" spans="2:4" x14ac:dyDescent="0.2">
      <c r="B159" s="180"/>
      <c r="C159" s="180" t="s">
        <v>372</v>
      </c>
      <c r="D159" s="180" t="s">
        <v>1038</v>
      </c>
    </row>
    <row r="160" spans="2:4" x14ac:dyDescent="0.2">
      <c r="B160" s="180"/>
      <c r="C160" s="180" t="s">
        <v>372</v>
      </c>
      <c r="D160" s="180" t="s">
        <v>1044</v>
      </c>
    </row>
    <row r="161" spans="2:4" x14ac:dyDescent="0.2">
      <c r="B161" s="180"/>
      <c r="C161" s="180" t="s">
        <v>382</v>
      </c>
      <c r="D161" s="180" t="s">
        <v>1038</v>
      </c>
    </row>
    <row r="162" spans="2:4" x14ac:dyDescent="0.2">
      <c r="B162" s="180"/>
      <c r="C162" s="180" t="s">
        <v>382</v>
      </c>
      <c r="D162" s="180" t="s">
        <v>1044</v>
      </c>
    </row>
    <row r="163" spans="2:4" x14ac:dyDescent="0.2">
      <c r="B163" s="180"/>
      <c r="C163" s="180" t="s">
        <v>861</v>
      </c>
      <c r="D163" s="180" t="s">
        <v>1038</v>
      </c>
    </row>
    <row r="164" spans="2:4" x14ac:dyDescent="0.2">
      <c r="B164" s="180"/>
      <c r="C164" s="180" t="s">
        <v>861</v>
      </c>
      <c r="D164" s="180" t="s">
        <v>1044</v>
      </c>
    </row>
    <row r="165" spans="2:4" x14ac:dyDescent="0.2">
      <c r="B165" s="180"/>
      <c r="C165" s="180" t="s">
        <v>889</v>
      </c>
      <c r="D165" s="180" t="s">
        <v>1041</v>
      </c>
    </row>
    <row r="166" spans="2:4" x14ac:dyDescent="0.2">
      <c r="B166" s="180"/>
      <c r="C166" s="180" t="s">
        <v>889</v>
      </c>
      <c r="D166" s="180" t="s">
        <v>1051</v>
      </c>
    </row>
    <row r="167" spans="2:4" x14ac:dyDescent="0.2">
      <c r="B167" s="180"/>
      <c r="C167" s="180" t="s">
        <v>786</v>
      </c>
      <c r="D167" s="180" t="s">
        <v>1031</v>
      </c>
    </row>
    <row r="168" spans="2:4" x14ac:dyDescent="0.2">
      <c r="B168" s="180"/>
      <c r="C168" s="180" t="s">
        <v>786</v>
      </c>
      <c r="D168" s="180" t="s">
        <v>1042</v>
      </c>
    </row>
    <row r="169" spans="2:4" x14ac:dyDescent="0.2">
      <c r="B169" s="180"/>
      <c r="C169" s="180" t="s">
        <v>786</v>
      </c>
      <c r="D169" s="180" t="s">
        <v>1195</v>
      </c>
    </row>
    <row r="170" spans="2:4" x14ac:dyDescent="0.2">
      <c r="B170" s="180"/>
      <c r="C170" s="180" t="s">
        <v>430</v>
      </c>
      <c r="D170" s="180" t="s">
        <v>1041</v>
      </c>
    </row>
    <row r="171" spans="2:4" x14ac:dyDescent="0.2">
      <c r="B171" s="180"/>
      <c r="C171" s="180" t="s">
        <v>430</v>
      </c>
      <c r="D171" s="180" t="s">
        <v>1051</v>
      </c>
    </row>
    <row r="172" spans="2:4" x14ac:dyDescent="0.2">
      <c r="B172" s="180"/>
      <c r="C172" s="180" t="s">
        <v>666</v>
      </c>
      <c r="D172" s="180" t="s">
        <v>1019</v>
      </c>
    </row>
    <row r="173" spans="2:4" x14ac:dyDescent="0.2">
      <c r="B173" s="180"/>
      <c r="C173" s="180" t="s">
        <v>666</v>
      </c>
      <c r="D173" s="180" t="s">
        <v>1041</v>
      </c>
    </row>
    <row r="174" spans="2:4" x14ac:dyDescent="0.2">
      <c r="B174" s="180"/>
      <c r="C174" s="180" t="s">
        <v>85</v>
      </c>
      <c r="D174" s="180" t="s">
        <v>1016</v>
      </c>
    </row>
    <row r="175" spans="2:4" x14ac:dyDescent="0.2">
      <c r="B175" s="180"/>
      <c r="C175" s="180" t="s">
        <v>85</v>
      </c>
      <c r="D175" s="180" t="s">
        <v>1027</v>
      </c>
    </row>
    <row r="176" spans="2:4" x14ac:dyDescent="0.2">
      <c r="B176" s="180"/>
      <c r="C176" s="180" t="s">
        <v>610</v>
      </c>
      <c r="D176" s="180" t="s">
        <v>1016</v>
      </c>
    </row>
    <row r="177" spans="2:4" x14ac:dyDescent="0.2">
      <c r="B177" s="180"/>
      <c r="C177" s="180" t="s">
        <v>610</v>
      </c>
      <c r="D177" s="180" t="s">
        <v>1027</v>
      </c>
    </row>
    <row r="178" spans="2:4" x14ac:dyDescent="0.2">
      <c r="B178" s="180"/>
      <c r="C178" s="180" t="s">
        <v>91</v>
      </c>
      <c r="D178" s="180" t="s">
        <v>1016</v>
      </c>
    </row>
    <row r="179" spans="2:4" x14ac:dyDescent="0.2">
      <c r="B179" s="180"/>
      <c r="C179" s="180" t="s">
        <v>91</v>
      </c>
      <c r="D179" s="180" t="s">
        <v>1027</v>
      </c>
    </row>
    <row r="180" spans="2:4" x14ac:dyDescent="0.2">
      <c r="B180" s="180"/>
      <c r="C180" s="180" t="s">
        <v>605</v>
      </c>
      <c r="D180" s="180" t="s">
        <v>1016</v>
      </c>
    </row>
    <row r="181" spans="2:4" x14ac:dyDescent="0.2">
      <c r="B181" s="180"/>
      <c r="C181" s="180" t="s">
        <v>605</v>
      </c>
      <c r="D181" s="180" t="s">
        <v>1027</v>
      </c>
    </row>
    <row r="182" spans="2:4" x14ac:dyDescent="0.2">
      <c r="B182" s="180"/>
      <c r="C182" s="180" t="s">
        <v>707</v>
      </c>
      <c r="D182" s="180" t="s">
        <v>1022</v>
      </c>
    </row>
    <row r="183" spans="2:4" x14ac:dyDescent="0.2">
      <c r="B183" s="180"/>
      <c r="C183" s="180" t="s">
        <v>707</v>
      </c>
      <c r="D183" s="180" t="s">
        <v>1041</v>
      </c>
    </row>
    <row r="184" spans="2:4" x14ac:dyDescent="0.2">
      <c r="B184" s="180"/>
      <c r="C184" s="180" t="s">
        <v>108</v>
      </c>
      <c r="D184" s="180" t="s">
        <v>1018</v>
      </c>
    </row>
    <row r="185" spans="2:4" x14ac:dyDescent="0.2">
      <c r="B185" s="180"/>
      <c r="C185" s="180" t="s">
        <v>108</v>
      </c>
      <c r="D185" s="180" t="s">
        <v>1028</v>
      </c>
    </row>
    <row r="186" spans="2:4" x14ac:dyDescent="0.2">
      <c r="B186" s="180"/>
      <c r="C186" s="180" t="s">
        <v>248</v>
      </c>
      <c r="D186" s="180" t="s">
        <v>1027</v>
      </c>
    </row>
    <row r="187" spans="2:4" x14ac:dyDescent="0.2">
      <c r="B187" s="180"/>
      <c r="C187" s="180" t="s">
        <v>248</v>
      </c>
      <c r="D187" s="180" t="s">
        <v>1049</v>
      </c>
    </row>
    <row r="188" spans="2:4" x14ac:dyDescent="0.2">
      <c r="B188" s="180"/>
      <c r="C188" s="180" t="s">
        <v>1359</v>
      </c>
      <c r="D188" s="180" t="s">
        <v>1025</v>
      </c>
    </row>
    <row r="189" spans="2:4" x14ac:dyDescent="0.2">
      <c r="B189" s="180"/>
      <c r="C189" s="180" t="s">
        <v>1359</v>
      </c>
      <c r="D189" s="180" t="s">
        <v>1032</v>
      </c>
    </row>
    <row r="190" spans="2:4" x14ac:dyDescent="0.2">
      <c r="B190" s="180"/>
      <c r="C190" s="180" t="s">
        <v>742</v>
      </c>
      <c r="D190" s="180" t="s">
        <v>1025</v>
      </c>
    </row>
    <row r="191" spans="2:4" x14ac:dyDescent="0.2">
      <c r="B191" s="180"/>
      <c r="C191" s="180" t="s">
        <v>742</v>
      </c>
      <c r="D191" s="180" t="s">
        <v>1032</v>
      </c>
    </row>
    <row r="192" spans="2:4" x14ac:dyDescent="0.2">
      <c r="B192" s="180"/>
      <c r="C192" s="180" t="s">
        <v>638</v>
      </c>
      <c r="D192" s="180" t="s">
        <v>1018</v>
      </c>
    </row>
    <row r="193" spans="2:4" x14ac:dyDescent="0.2">
      <c r="B193" s="180"/>
      <c r="C193" s="180" t="s">
        <v>638</v>
      </c>
      <c r="D193" s="180" t="s">
        <v>1028</v>
      </c>
    </row>
    <row r="194" spans="2:4" x14ac:dyDescent="0.2">
      <c r="B194" s="180"/>
      <c r="C194" s="180" t="s">
        <v>237</v>
      </c>
      <c r="D194" s="180" t="s">
        <v>1027</v>
      </c>
    </row>
    <row r="195" spans="2:4" x14ac:dyDescent="0.2">
      <c r="B195" s="180"/>
      <c r="C195" s="180" t="s">
        <v>237</v>
      </c>
      <c r="D195" s="180" t="s">
        <v>1049</v>
      </c>
    </row>
    <row r="196" spans="2:4" x14ac:dyDescent="0.2">
      <c r="B196" s="180"/>
      <c r="C196" s="180" t="s">
        <v>757</v>
      </c>
      <c r="D196" s="180" t="s">
        <v>1027</v>
      </c>
    </row>
    <row r="197" spans="2:4" x14ac:dyDescent="0.2">
      <c r="B197" s="180"/>
      <c r="C197" s="180" t="s">
        <v>757</v>
      </c>
      <c r="D197" s="180" t="s">
        <v>1049</v>
      </c>
    </row>
    <row r="198" spans="2:4" x14ac:dyDescent="0.2">
      <c r="B198" s="180"/>
      <c r="C198" s="180" t="s">
        <v>626</v>
      </c>
      <c r="D198" s="180" t="s">
        <v>1017</v>
      </c>
    </row>
    <row r="199" spans="2:4" x14ac:dyDescent="0.2">
      <c r="B199" s="180"/>
      <c r="C199" s="180" t="s">
        <v>626</v>
      </c>
      <c r="D199" s="180" t="s">
        <v>1053</v>
      </c>
    </row>
    <row r="200" spans="2:4" x14ac:dyDescent="0.2">
      <c r="B200" s="180"/>
      <c r="C200" s="1" t="s">
        <v>1002</v>
      </c>
      <c r="D200" s="1" t="s">
        <v>1017</v>
      </c>
    </row>
    <row r="201" spans="2:4" x14ac:dyDescent="0.2">
      <c r="B201" s="180"/>
      <c r="C201" s="1" t="s">
        <v>1002</v>
      </c>
      <c r="D201" s="1" t="s">
        <v>1053</v>
      </c>
    </row>
    <row r="202" spans="2:4" x14ac:dyDescent="0.2">
      <c r="B202" s="180"/>
      <c r="C202" s="180" t="s">
        <v>86</v>
      </c>
      <c r="D202" s="180" t="s">
        <v>1016</v>
      </c>
    </row>
    <row r="203" spans="2:4" x14ac:dyDescent="0.2">
      <c r="B203" s="180"/>
      <c r="C203" s="180" t="s">
        <v>86</v>
      </c>
      <c r="D203" s="180" t="s">
        <v>1027</v>
      </c>
    </row>
    <row r="204" spans="2:4" x14ac:dyDescent="0.2">
      <c r="B204" s="180"/>
      <c r="C204" s="180" t="s">
        <v>238</v>
      </c>
      <c r="D204" s="180" t="s">
        <v>1016</v>
      </c>
    </row>
    <row r="205" spans="2:4" x14ac:dyDescent="0.2">
      <c r="B205" s="180"/>
      <c r="C205" s="180" t="s">
        <v>238</v>
      </c>
      <c r="D205" s="180" t="s">
        <v>1027</v>
      </c>
    </row>
    <row r="206" spans="2:4" x14ac:dyDescent="0.2">
      <c r="B206" s="180"/>
      <c r="C206" s="180" t="s">
        <v>606</v>
      </c>
      <c r="D206" s="180" t="s">
        <v>1016</v>
      </c>
    </row>
    <row r="207" spans="2:4" x14ac:dyDescent="0.2">
      <c r="B207" s="180"/>
      <c r="C207" s="180" t="s">
        <v>606</v>
      </c>
      <c r="D207" s="180" t="s">
        <v>1027</v>
      </c>
    </row>
    <row r="208" spans="2:4" x14ac:dyDescent="0.2">
      <c r="B208" s="180"/>
      <c r="C208" s="180" t="s">
        <v>606</v>
      </c>
      <c r="D208" s="180" t="s">
        <v>1049</v>
      </c>
    </row>
    <row r="209" spans="2:4" x14ac:dyDescent="0.2">
      <c r="B209" s="180"/>
      <c r="C209" s="180" t="s">
        <v>239</v>
      </c>
      <c r="D209" s="180" t="s">
        <v>1027</v>
      </c>
    </row>
    <row r="210" spans="2:4" x14ac:dyDescent="0.2">
      <c r="B210" s="180"/>
      <c r="C210" s="180" t="s">
        <v>239</v>
      </c>
      <c r="D210" s="180" t="s">
        <v>1036</v>
      </c>
    </row>
    <row r="211" spans="2:4" x14ac:dyDescent="0.2">
      <c r="B211" s="180"/>
      <c r="C211" s="180" t="s">
        <v>692</v>
      </c>
      <c r="D211" s="180" t="s">
        <v>1057</v>
      </c>
    </row>
    <row r="212" spans="2:4" x14ac:dyDescent="0.2">
      <c r="B212" s="180"/>
      <c r="C212" s="180" t="s">
        <v>692</v>
      </c>
      <c r="D212" s="180" t="s">
        <v>1029</v>
      </c>
    </row>
    <row r="213" spans="2:4" x14ac:dyDescent="0.2">
      <c r="B213" s="180"/>
      <c r="C213" s="180" t="s">
        <v>692</v>
      </c>
      <c r="D213" s="180" t="s">
        <v>1047</v>
      </c>
    </row>
    <row r="214" spans="2:4" x14ac:dyDescent="0.2">
      <c r="B214" s="180"/>
      <c r="C214" s="180" t="s">
        <v>767</v>
      </c>
      <c r="D214" s="180" t="s">
        <v>1029</v>
      </c>
    </row>
    <row r="215" spans="2:4" x14ac:dyDescent="0.2">
      <c r="B215" s="180"/>
      <c r="C215" s="180" t="s">
        <v>767</v>
      </c>
      <c r="D215" s="180" t="s">
        <v>1040</v>
      </c>
    </row>
    <row r="216" spans="2:4" x14ac:dyDescent="0.2">
      <c r="B216" s="180"/>
      <c r="C216" s="180" t="s">
        <v>767</v>
      </c>
      <c r="D216" s="180" t="s">
        <v>1045</v>
      </c>
    </row>
    <row r="217" spans="2:4" x14ac:dyDescent="0.2">
      <c r="B217" s="180"/>
      <c r="C217" s="180" t="s">
        <v>767</v>
      </c>
      <c r="D217" s="180" t="s">
        <v>1047</v>
      </c>
    </row>
    <row r="218" spans="2:4" x14ac:dyDescent="0.2">
      <c r="B218" s="180"/>
      <c r="C218" s="180" t="s">
        <v>780</v>
      </c>
      <c r="D218" s="180" t="s">
        <v>1029</v>
      </c>
    </row>
    <row r="219" spans="2:4" x14ac:dyDescent="0.2">
      <c r="B219" s="180"/>
      <c r="C219" s="180" t="s">
        <v>780</v>
      </c>
      <c r="D219" s="180" t="s">
        <v>1196</v>
      </c>
    </row>
    <row r="220" spans="2:4" x14ac:dyDescent="0.2">
      <c r="B220" s="180"/>
      <c r="C220" s="180" t="s">
        <v>769</v>
      </c>
      <c r="D220" s="180" t="s">
        <v>1029</v>
      </c>
    </row>
    <row r="221" spans="2:4" x14ac:dyDescent="0.2">
      <c r="B221" s="180"/>
      <c r="C221" s="180" t="s">
        <v>769</v>
      </c>
      <c r="D221" s="180" t="s">
        <v>1196</v>
      </c>
    </row>
    <row r="222" spans="2:4" x14ac:dyDescent="0.2">
      <c r="B222" s="180"/>
      <c r="C222" s="180" t="s">
        <v>791</v>
      </c>
      <c r="D222" s="180" t="s">
        <v>1031</v>
      </c>
    </row>
    <row r="223" spans="2:4" x14ac:dyDescent="0.2">
      <c r="B223" s="180"/>
      <c r="C223" s="180" t="s">
        <v>791</v>
      </c>
      <c r="D223" s="180" t="s">
        <v>1195</v>
      </c>
    </row>
    <row r="224" spans="2:4" x14ac:dyDescent="0.2">
      <c r="B224" s="180"/>
      <c r="C224" s="180" t="s">
        <v>813</v>
      </c>
      <c r="D224" s="180" t="s">
        <v>1032</v>
      </c>
    </row>
    <row r="225" spans="2:4" x14ac:dyDescent="0.2">
      <c r="B225" s="180"/>
      <c r="C225" s="180" t="s">
        <v>813</v>
      </c>
      <c r="D225" s="180" t="s">
        <v>1043</v>
      </c>
    </row>
    <row r="226" spans="2:4" x14ac:dyDescent="0.2">
      <c r="B226" s="180"/>
      <c r="C226" s="180" t="s">
        <v>787</v>
      </c>
      <c r="D226" s="180" t="s">
        <v>1031</v>
      </c>
    </row>
    <row r="227" spans="2:4" x14ac:dyDescent="0.2">
      <c r="B227" s="180"/>
      <c r="C227" s="180" t="s">
        <v>787</v>
      </c>
      <c r="D227" s="180" t="s">
        <v>1038</v>
      </c>
    </row>
    <row r="228" spans="2:4" x14ac:dyDescent="0.2">
      <c r="B228" s="180"/>
      <c r="C228" s="180" t="s">
        <v>787</v>
      </c>
      <c r="D228" s="180" t="s">
        <v>1044</v>
      </c>
    </row>
    <row r="229" spans="2:4" x14ac:dyDescent="0.2">
      <c r="B229" s="180"/>
      <c r="C229" s="180" t="s">
        <v>446</v>
      </c>
      <c r="D229" s="180" t="s">
        <v>1042</v>
      </c>
    </row>
    <row r="230" spans="2:4" x14ac:dyDescent="0.2">
      <c r="B230" s="180"/>
      <c r="C230" s="180" t="s">
        <v>446</v>
      </c>
      <c r="D230" s="180" t="s">
        <v>1195</v>
      </c>
    </row>
    <row r="231" spans="2:4" x14ac:dyDescent="0.2">
      <c r="B231" s="180"/>
      <c r="C231" s="180" t="s">
        <v>785</v>
      </c>
      <c r="D231" s="180" t="s">
        <v>1031</v>
      </c>
    </row>
    <row r="232" spans="2:4" x14ac:dyDescent="0.2">
      <c r="B232" s="180"/>
      <c r="C232" s="180" t="s">
        <v>785</v>
      </c>
      <c r="D232" s="180" t="s">
        <v>1044</v>
      </c>
    </row>
    <row r="233" spans="2:4" x14ac:dyDescent="0.2">
      <c r="B233" s="180"/>
      <c r="C233" s="180" t="s">
        <v>785</v>
      </c>
      <c r="D233" s="180" t="s">
        <v>1195</v>
      </c>
    </row>
    <row r="234" spans="2:4" x14ac:dyDescent="0.2">
      <c r="B234" s="180"/>
      <c r="C234" s="180" t="s">
        <v>240</v>
      </c>
      <c r="D234" s="180" t="s">
        <v>1027</v>
      </c>
    </row>
    <row r="235" spans="2:4" x14ac:dyDescent="0.2">
      <c r="B235" s="180"/>
      <c r="C235" s="180" t="s">
        <v>240</v>
      </c>
      <c r="D235" s="180" t="s">
        <v>1050</v>
      </c>
    </row>
    <row r="236" spans="2:4" x14ac:dyDescent="0.2">
      <c r="B236" s="180"/>
      <c r="C236" s="180" t="s">
        <v>961</v>
      </c>
      <c r="D236" s="180" t="s">
        <v>1050</v>
      </c>
    </row>
    <row r="237" spans="2:4" x14ac:dyDescent="0.2">
      <c r="B237" s="180"/>
      <c r="C237" s="180" t="s">
        <v>961</v>
      </c>
      <c r="D237" s="180" t="s">
        <v>1054</v>
      </c>
    </row>
    <row r="238" spans="2:4" x14ac:dyDescent="0.2">
      <c r="B238" s="180"/>
      <c r="C238" s="180" t="s">
        <v>667</v>
      </c>
      <c r="D238" s="180" t="s">
        <v>1019</v>
      </c>
    </row>
    <row r="239" spans="2:4" x14ac:dyDescent="0.2">
      <c r="B239" s="180"/>
      <c r="C239" s="180" t="s">
        <v>667</v>
      </c>
      <c r="D239" s="180" t="s">
        <v>1041</v>
      </c>
    </row>
    <row r="240" spans="2:4" x14ac:dyDescent="0.2">
      <c r="B240" s="180"/>
      <c r="C240" s="180" t="s">
        <v>866</v>
      </c>
      <c r="D240" s="180" t="s">
        <v>1038</v>
      </c>
    </row>
    <row r="241" spans="2:4" x14ac:dyDescent="0.2">
      <c r="B241" s="180"/>
      <c r="C241" s="180" t="s">
        <v>866</v>
      </c>
      <c r="D241" s="180" t="s">
        <v>1044</v>
      </c>
    </row>
    <row r="242" spans="2:4" x14ac:dyDescent="0.2">
      <c r="B242" s="180"/>
      <c r="C242" s="180" t="s">
        <v>866</v>
      </c>
      <c r="D242" s="180" t="s">
        <v>1195</v>
      </c>
    </row>
    <row r="243" spans="2:4" x14ac:dyDescent="0.2">
      <c r="B243" s="180"/>
      <c r="C243" s="180" t="s">
        <v>641</v>
      </c>
      <c r="D243" s="180" t="s">
        <v>1018</v>
      </c>
    </row>
    <row r="244" spans="2:4" x14ac:dyDescent="0.2">
      <c r="B244" s="180"/>
      <c r="C244" s="180" t="s">
        <v>641</v>
      </c>
      <c r="D244" s="180" t="s">
        <v>1034</v>
      </c>
    </row>
    <row r="245" spans="2:4" x14ac:dyDescent="0.2">
      <c r="B245" s="180"/>
      <c r="C245" s="180" t="s">
        <v>463</v>
      </c>
      <c r="D245" s="180" t="s">
        <v>1044</v>
      </c>
    </row>
    <row r="246" spans="2:4" x14ac:dyDescent="0.2">
      <c r="B246" s="180"/>
      <c r="C246" s="180" t="s">
        <v>463</v>
      </c>
      <c r="D246" s="180" t="s">
        <v>1195</v>
      </c>
    </row>
    <row r="247" spans="2:4" x14ac:dyDescent="0.2">
      <c r="B247" s="180"/>
      <c r="C247" s="180" t="s">
        <v>923</v>
      </c>
      <c r="D247" s="180" t="s">
        <v>1044</v>
      </c>
    </row>
    <row r="248" spans="2:4" x14ac:dyDescent="0.2">
      <c r="B248" s="180"/>
      <c r="C248" s="180" t="s">
        <v>923</v>
      </c>
      <c r="D248" s="180" t="s">
        <v>1195</v>
      </c>
    </row>
    <row r="249" spans="2:4" x14ac:dyDescent="0.2">
      <c r="B249" s="180"/>
      <c r="C249" s="180" t="s">
        <v>727</v>
      </c>
      <c r="D249" s="180" t="s">
        <v>1023</v>
      </c>
    </row>
    <row r="250" spans="2:4" x14ac:dyDescent="0.2">
      <c r="B250" s="180"/>
      <c r="C250" s="180" t="s">
        <v>727</v>
      </c>
      <c r="D250" s="180" t="s">
        <v>1039</v>
      </c>
    </row>
    <row r="251" spans="2:4" x14ac:dyDescent="0.2">
      <c r="B251" s="180"/>
      <c r="C251" s="180" t="s">
        <v>775</v>
      </c>
      <c r="D251" s="180" t="s">
        <v>1029</v>
      </c>
    </row>
    <row r="252" spans="2:4" x14ac:dyDescent="0.2">
      <c r="B252" s="180"/>
      <c r="C252" s="180" t="s">
        <v>775</v>
      </c>
      <c r="D252" s="180" t="s">
        <v>1196</v>
      </c>
    </row>
    <row r="253" spans="2:4" x14ac:dyDescent="0.2">
      <c r="B253" s="180"/>
      <c r="C253" s="180" t="s">
        <v>628</v>
      </c>
      <c r="D253" s="180" t="s">
        <v>1017</v>
      </c>
    </row>
    <row r="254" spans="2:4" x14ac:dyDescent="0.2">
      <c r="B254" s="180"/>
      <c r="C254" s="180" t="s">
        <v>628</v>
      </c>
      <c r="D254" s="180" t="s">
        <v>1038</v>
      </c>
    </row>
    <row r="255" spans="2:4" x14ac:dyDescent="0.2">
      <c r="B255" s="180"/>
      <c r="C255" s="180" t="s">
        <v>679</v>
      </c>
      <c r="D255" s="180" t="s">
        <v>1020</v>
      </c>
    </row>
    <row r="256" spans="2:4" x14ac:dyDescent="0.2">
      <c r="B256" s="180"/>
      <c r="C256" s="180" t="s">
        <v>679</v>
      </c>
      <c r="D256" s="180" t="s">
        <v>1023</v>
      </c>
    </row>
    <row r="257" spans="2:4" x14ac:dyDescent="0.2">
      <c r="B257" s="180"/>
      <c r="C257" s="180" t="s">
        <v>206</v>
      </c>
      <c r="D257" s="180" t="s">
        <v>1023</v>
      </c>
    </row>
    <row r="258" spans="2:4" x14ac:dyDescent="0.2">
      <c r="B258" s="180"/>
      <c r="C258" s="180" t="s">
        <v>206</v>
      </c>
      <c r="D258" s="180" t="s">
        <v>1039</v>
      </c>
    </row>
    <row r="259" spans="2:4" x14ac:dyDescent="0.2">
      <c r="B259" s="180"/>
      <c r="C259" s="180" t="s">
        <v>890</v>
      </c>
      <c r="D259" s="180" t="s">
        <v>1041</v>
      </c>
    </row>
    <row r="260" spans="2:4" x14ac:dyDescent="0.2">
      <c r="B260" s="180"/>
      <c r="C260" s="180" t="s">
        <v>890</v>
      </c>
      <c r="D260" s="180" t="s">
        <v>1051</v>
      </c>
    </row>
    <row r="261" spans="2:4" x14ac:dyDescent="0.2">
      <c r="B261" s="180"/>
      <c r="C261" s="180" t="s">
        <v>882</v>
      </c>
      <c r="D261" s="180" t="s">
        <v>1040</v>
      </c>
    </row>
    <row r="262" spans="2:4" x14ac:dyDescent="0.2">
      <c r="B262" s="180"/>
      <c r="C262" s="180" t="s">
        <v>882</v>
      </c>
      <c r="D262" s="180" t="s">
        <v>1045</v>
      </c>
    </row>
    <row r="263" spans="2:4" x14ac:dyDescent="0.2">
      <c r="B263" s="180"/>
      <c r="C263" s="180" t="s">
        <v>1266</v>
      </c>
      <c r="D263" s="180" t="s">
        <v>1040</v>
      </c>
    </row>
    <row r="264" spans="2:4" x14ac:dyDescent="0.2">
      <c r="B264" s="180"/>
      <c r="C264" s="180" t="s">
        <v>1266</v>
      </c>
      <c r="D264" s="180" t="s">
        <v>1196</v>
      </c>
    </row>
    <row r="265" spans="2:4" x14ac:dyDescent="0.2">
      <c r="B265" s="180"/>
      <c r="C265" s="180" t="s">
        <v>657</v>
      </c>
      <c r="D265" s="180" t="s">
        <v>1194</v>
      </c>
    </row>
    <row r="266" spans="2:4" x14ac:dyDescent="0.2">
      <c r="B266" s="180"/>
      <c r="C266" s="180" t="s">
        <v>657</v>
      </c>
      <c r="D266" s="180" t="s">
        <v>1023</v>
      </c>
    </row>
    <row r="267" spans="2:4" x14ac:dyDescent="0.2">
      <c r="B267" s="180"/>
      <c r="C267" s="180" t="s">
        <v>657</v>
      </c>
      <c r="D267" s="180" t="s">
        <v>1028</v>
      </c>
    </row>
    <row r="268" spans="2:4" x14ac:dyDescent="0.2">
      <c r="B268" s="180"/>
      <c r="C268" s="180" t="s">
        <v>913</v>
      </c>
      <c r="D268" s="180" t="s">
        <v>1042</v>
      </c>
    </row>
    <row r="269" spans="2:4" x14ac:dyDescent="0.2">
      <c r="B269" s="180"/>
      <c r="C269" s="180" t="s">
        <v>913</v>
      </c>
      <c r="D269" s="180" t="s">
        <v>1195</v>
      </c>
    </row>
    <row r="270" spans="2:4" x14ac:dyDescent="0.2">
      <c r="B270" s="180"/>
      <c r="C270" s="180" t="s">
        <v>294</v>
      </c>
      <c r="D270" s="180" t="s">
        <v>1031</v>
      </c>
    </row>
    <row r="271" spans="2:4" x14ac:dyDescent="0.2">
      <c r="B271" s="180"/>
      <c r="C271" s="180" t="s">
        <v>294</v>
      </c>
      <c r="D271" s="180" t="s">
        <v>1195</v>
      </c>
    </row>
    <row r="272" spans="2:4" x14ac:dyDescent="0.2">
      <c r="B272" s="180"/>
      <c r="C272" s="180" t="s">
        <v>421</v>
      </c>
      <c r="D272" s="180" t="s">
        <v>1022</v>
      </c>
    </row>
    <row r="273" spans="2:4" x14ac:dyDescent="0.2">
      <c r="B273" s="180"/>
      <c r="C273" s="180" t="s">
        <v>421</v>
      </c>
      <c r="D273" s="180" t="s">
        <v>1041</v>
      </c>
    </row>
    <row r="274" spans="2:4" x14ac:dyDescent="0.2">
      <c r="B274" s="180"/>
      <c r="C274" s="180" t="s">
        <v>665</v>
      </c>
      <c r="D274" s="180" t="s">
        <v>1019</v>
      </c>
    </row>
    <row r="275" spans="2:4" x14ac:dyDescent="0.2">
      <c r="B275" s="180"/>
      <c r="C275" s="180" t="s">
        <v>665</v>
      </c>
      <c r="D275" s="180" t="s">
        <v>1051</v>
      </c>
    </row>
    <row r="276" spans="2:4" x14ac:dyDescent="0.2">
      <c r="B276" s="180"/>
      <c r="C276" s="180" t="s">
        <v>422</v>
      </c>
      <c r="D276" s="180" t="s">
        <v>1019</v>
      </c>
    </row>
    <row r="277" spans="2:4" x14ac:dyDescent="0.2">
      <c r="B277" s="180"/>
      <c r="C277" s="180" t="s">
        <v>422</v>
      </c>
      <c r="D277" s="180" t="s">
        <v>1041</v>
      </c>
    </row>
    <row r="278" spans="2:4" x14ac:dyDescent="0.2">
      <c r="B278" s="180"/>
      <c r="C278" s="180" t="s">
        <v>241</v>
      </c>
      <c r="D278" s="180" t="s">
        <v>1016</v>
      </c>
    </row>
    <row r="279" spans="2:4" x14ac:dyDescent="0.2">
      <c r="B279" s="180"/>
      <c r="C279" s="180" t="s">
        <v>241</v>
      </c>
      <c r="D279" s="180" t="s">
        <v>1027</v>
      </c>
    </row>
    <row r="280" spans="2:4" x14ac:dyDescent="0.2">
      <c r="B280" s="180"/>
      <c r="C280" s="180" t="s">
        <v>618</v>
      </c>
      <c r="D280" s="180" t="s">
        <v>1016</v>
      </c>
    </row>
    <row r="281" spans="2:4" x14ac:dyDescent="0.2">
      <c r="B281" s="180"/>
      <c r="C281" s="180" t="s">
        <v>618</v>
      </c>
      <c r="D281" s="180" t="s">
        <v>1027</v>
      </c>
    </row>
    <row r="282" spans="2:4" x14ac:dyDescent="0.2">
      <c r="B282" s="180"/>
      <c r="C282" s="180" t="s">
        <v>846</v>
      </c>
      <c r="D282" s="180" t="s">
        <v>1035</v>
      </c>
    </row>
    <row r="283" spans="2:4" x14ac:dyDescent="0.2">
      <c r="B283" s="180"/>
      <c r="C283" s="180" t="s">
        <v>846</v>
      </c>
      <c r="D283" s="180" t="s">
        <v>1046</v>
      </c>
    </row>
    <row r="284" spans="2:4" x14ac:dyDescent="0.2">
      <c r="B284" s="180"/>
      <c r="C284" s="180" t="s">
        <v>838</v>
      </c>
      <c r="D284" s="180" t="s">
        <v>1035</v>
      </c>
    </row>
    <row r="285" spans="2:4" x14ac:dyDescent="0.2">
      <c r="B285" s="180"/>
      <c r="C285" s="180" t="s">
        <v>838</v>
      </c>
      <c r="D285" s="180" t="s">
        <v>1046</v>
      </c>
    </row>
    <row r="286" spans="2:4" x14ac:dyDescent="0.2">
      <c r="B286" s="180"/>
      <c r="C286" s="180" t="s">
        <v>799</v>
      </c>
      <c r="D286" s="180" t="s">
        <v>1031</v>
      </c>
    </row>
    <row r="287" spans="2:4" x14ac:dyDescent="0.2">
      <c r="B287" s="180"/>
      <c r="C287" s="180" t="s">
        <v>799</v>
      </c>
      <c r="D287" s="180" t="s">
        <v>1195</v>
      </c>
    </row>
    <row r="288" spans="2:4" x14ac:dyDescent="0.2">
      <c r="B288" s="180"/>
      <c r="C288" s="180" t="s">
        <v>146</v>
      </c>
      <c r="D288" s="180" t="s">
        <v>1020</v>
      </c>
    </row>
    <row r="289" spans="2:4" x14ac:dyDescent="0.2">
      <c r="B289" s="180"/>
      <c r="C289" s="180" t="s">
        <v>146</v>
      </c>
      <c r="D289" s="180" t="s">
        <v>1023</v>
      </c>
    </row>
    <row r="290" spans="2:4" x14ac:dyDescent="0.2">
      <c r="B290" s="180"/>
      <c r="C290" s="180" t="s">
        <v>486</v>
      </c>
      <c r="D290" s="180" t="s">
        <v>1035</v>
      </c>
    </row>
    <row r="291" spans="2:4" x14ac:dyDescent="0.2">
      <c r="B291" s="180"/>
      <c r="C291" s="180" t="s">
        <v>486</v>
      </c>
      <c r="D291" s="180" t="s">
        <v>1046</v>
      </c>
    </row>
    <row r="292" spans="2:4" x14ac:dyDescent="0.2">
      <c r="B292" s="180"/>
      <c r="C292" s="180" t="s">
        <v>261</v>
      </c>
      <c r="D292" s="180" t="s">
        <v>1028</v>
      </c>
    </row>
    <row r="293" spans="2:4" x14ac:dyDescent="0.2">
      <c r="B293" s="180"/>
      <c r="C293" s="180" t="s">
        <v>261</v>
      </c>
      <c r="D293" s="180" t="s">
        <v>1034</v>
      </c>
    </row>
    <row r="294" spans="2:4" x14ac:dyDescent="0.2">
      <c r="B294" s="180"/>
      <c r="C294" s="180" t="s">
        <v>952</v>
      </c>
      <c r="D294" s="180" t="s">
        <v>1049</v>
      </c>
    </row>
    <row r="295" spans="2:4" x14ac:dyDescent="0.2">
      <c r="B295" s="180"/>
      <c r="C295" s="180" t="s">
        <v>952</v>
      </c>
      <c r="D295" s="180" t="s">
        <v>1196</v>
      </c>
    </row>
    <row r="296" spans="2:4" x14ac:dyDescent="0.2">
      <c r="B296" s="180"/>
      <c r="C296" s="180" t="s">
        <v>423</v>
      </c>
      <c r="D296" s="180" t="s">
        <v>1022</v>
      </c>
    </row>
    <row r="297" spans="2:4" x14ac:dyDescent="0.2">
      <c r="B297" s="180"/>
      <c r="C297" s="180" t="s">
        <v>423</v>
      </c>
      <c r="D297" s="180" t="s">
        <v>1041</v>
      </c>
    </row>
    <row r="298" spans="2:4" x14ac:dyDescent="0.2">
      <c r="B298" s="180"/>
      <c r="C298" s="180" t="s">
        <v>81</v>
      </c>
      <c r="D298" s="180" t="s">
        <v>1016</v>
      </c>
    </row>
    <row r="299" spans="2:4" x14ac:dyDescent="0.2">
      <c r="B299" s="180"/>
      <c r="C299" s="180" t="s">
        <v>81</v>
      </c>
      <c r="D299" s="180" t="s">
        <v>1027</v>
      </c>
    </row>
    <row r="300" spans="2:4" x14ac:dyDescent="0.2">
      <c r="B300" s="180"/>
      <c r="C300" s="180" t="s">
        <v>885</v>
      </c>
      <c r="D300" s="180" t="s">
        <v>1040</v>
      </c>
    </row>
    <row r="301" spans="2:4" x14ac:dyDescent="0.2">
      <c r="B301" s="180"/>
      <c r="C301" s="180" t="s">
        <v>885</v>
      </c>
      <c r="D301" s="180" t="s">
        <v>1047</v>
      </c>
    </row>
    <row r="302" spans="2:4" x14ac:dyDescent="0.2">
      <c r="B302" s="180"/>
      <c r="C302" s="180" t="s">
        <v>642</v>
      </c>
      <c r="D302" s="180" t="s">
        <v>1018</v>
      </c>
    </row>
    <row r="303" spans="2:4" x14ac:dyDescent="0.2">
      <c r="B303" s="180"/>
      <c r="C303" s="180" t="s">
        <v>642</v>
      </c>
      <c r="D303" s="180" t="s">
        <v>1034</v>
      </c>
    </row>
    <row r="304" spans="2:4" x14ac:dyDescent="0.2">
      <c r="C304" s="180" t="s">
        <v>147</v>
      </c>
      <c r="D304" s="180" t="s">
        <v>1020</v>
      </c>
    </row>
    <row r="305" spans="3:4" x14ac:dyDescent="0.2">
      <c r="C305" s="180" t="s">
        <v>147</v>
      </c>
      <c r="D305" s="180" t="s">
        <v>1023</v>
      </c>
    </row>
  </sheetData>
  <sheetProtection algorithmName="SHA-512" hashValue="JZDwq9dEGMA82BTY82hm8icBkQ45qhE3QputwM8SZQN8kHMUfYgsDUza3bqElkmZleb4X0HSu/H+KaKKYkSQjw==" saltValue="sxz+Cn4xO0vy/IubfG16rQ==" spinCount="100000" sheet="1" objects="1" scenarios="1"/>
  <pageMargins left="0.7" right="0.7" top="0.75" bottom="0.75" header="0.3" footer="0.3"/>
  <pageSetup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12756-0F3F-4486-AD9F-8E2BBD02E4FD}">
  <sheetPr codeName="Sheet13">
    <tabColor rgb="FFFF0000"/>
    <pageSetUpPr fitToPage="1"/>
  </sheetPr>
  <dimension ref="B1:S16"/>
  <sheetViews>
    <sheetView showGridLines="0" workbookViewId="0">
      <selection activeCell="A44" sqref="A44"/>
    </sheetView>
  </sheetViews>
  <sheetFormatPr defaultColWidth="9" defaultRowHeight="15.75" x14ac:dyDescent="0.25"/>
  <cols>
    <col min="1" max="1" width="7" customWidth="1"/>
    <col min="2" max="2" width="9.25" customWidth="1"/>
    <col min="3" max="3" width="12.125" customWidth="1"/>
    <col min="8" max="8" width="12.25" customWidth="1"/>
    <col min="18" max="18" width="7.875" customWidth="1"/>
    <col min="19" max="19" width="7" customWidth="1"/>
  </cols>
  <sheetData>
    <row r="1" spans="2:19" ht="16.5" thickBot="1" x14ac:dyDescent="0.3"/>
    <row r="2" spans="2:19" x14ac:dyDescent="0.25">
      <c r="B2" s="422" t="s">
        <v>1341</v>
      </c>
      <c r="C2" s="423"/>
      <c r="D2" s="423"/>
      <c r="E2" s="423"/>
      <c r="F2" s="423"/>
      <c r="G2" s="423"/>
      <c r="H2" s="423"/>
      <c r="I2" s="423"/>
      <c r="J2" s="423"/>
      <c r="K2" s="423"/>
      <c r="L2" s="423"/>
      <c r="M2" s="423"/>
      <c r="N2" s="423"/>
      <c r="O2" s="423"/>
      <c r="P2" s="423"/>
      <c r="Q2" s="423"/>
      <c r="R2" s="423"/>
      <c r="S2" s="424"/>
    </row>
    <row r="3" spans="2:19" x14ac:dyDescent="0.25">
      <c r="B3" s="416"/>
      <c r="C3" s="417"/>
      <c r="D3" s="417"/>
      <c r="E3" s="417"/>
      <c r="F3" s="417"/>
      <c r="G3" s="417"/>
      <c r="H3" s="417"/>
      <c r="I3" s="417"/>
      <c r="J3" s="417"/>
      <c r="K3" s="417"/>
      <c r="L3" s="417"/>
      <c r="M3" s="417"/>
      <c r="N3" s="417"/>
      <c r="O3" s="417"/>
      <c r="P3" s="417"/>
      <c r="Q3" s="417"/>
      <c r="R3" s="417"/>
      <c r="S3" s="418"/>
    </row>
    <row r="4" spans="2:19" x14ac:dyDescent="0.25">
      <c r="B4" s="416" t="s">
        <v>1218</v>
      </c>
      <c r="C4" s="417"/>
      <c r="D4" s="417"/>
      <c r="E4" s="417"/>
      <c r="F4" s="417"/>
      <c r="G4" s="417"/>
      <c r="H4" s="417"/>
      <c r="I4" s="417"/>
      <c r="J4" s="417"/>
      <c r="K4" s="417"/>
      <c r="L4" s="417"/>
      <c r="M4" s="417"/>
      <c r="N4" s="417"/>
      <c r="O4" s="417"/>
      <c r="P4" s="417"/>
      <c r="Q4" s="417"/>
      <c r="R4" s="417"/>
      <c r="S4" s="418"/>
    </row>
    <row r="5" spans="2:19" x14ac:dyDescent="0.25">
      <c r="B5" s="416" t="s">
        <v>1167</v>
      </c>
      <c r="C5" s="417"/>
      <c r="D5" s="417"/>
      <c r="E5" s="417"/>
      <c r="F5" s="417"/>
      <c r="G5" s="417"/>
      <c r="H5" s="417"/>
      <c r="I5" s="417"/>
      <c r="J5" s="417"/>
      <c r="K5" s="417"/>
      <c r="L5" s="417"/>
      <c r="M5" s="417"/>
      <c r="N5" s="417"/>
      <c r="O5" s="417"/>
      <c r="P5" s="417"/>
      <c r="Q5" s="417"/>
      <c r="R5" s="417"/>
      <c r="S5" s="418"/>
    </row>
    <row r="6" spans="2:19" x14ac:dyDescent="0.25">
      <c r="B6" s="416" t="s">
        <v>1219</v>
      </c>
      <c r="C6" s="417"/>
      <c r="D6" s="417"/>
      <c r="E6" s="417"/>
      <c r="F6" s="417"/>
      <c r="G6" s="417"/>
      <c r="H6" s="417"/>
      <c r="I6" s="417"/>
      <c r="J6" s="417"/>
      <c r="K6" s="417"/>
      <c r="L6" s="417"/>
      <c r="M6" s="417"/>
      <c r="N6" s="417"/>
      <c r="O6" s="417"/>
      <c r="P6" s="417"/>
      <c r="Q6" s="417"/>
      <c r="R6" s="417"/>
      <c r="S6" s="418"/>
    </row>
    <row r="7" spans="2:19" x14ac:dyDescent="0.25">
      <c r="B7" s="416"/>
      <c r="C7" s="417"/>
      <c r="D7" s="417"/>
      <c r="E7" s="417"/>
      <c r="F7" s="417"/>
      <c r="G7" s="417"/>
      <c r="H7" s="417"/>
      <c r="I7" s="417"/>
      <c r="J7" s="417"/>
      <c r="K7" s="417"/>
      <c r="L7" s="417"/>
      <c r="M7" s="417"/>
      <c r="N7" s="417"/>
      <c r="O7" s="417"/>
      <c r="P7" s="417"/>
      <c r="Q7" s="417"/>
      <c r="R7" s="417"/>
      <c r="S7" s="418"/>
    </row>
    <row r="8" spans="2:19" x14ac:dyDescent="0.25">
      <c r="B8" s="146"/>
      <c r="C8" s="98" t="s">
        <v>1071</v>
      </c>
      <c r="D8" s="98"/>
      <c r="E8" s="98"/>
      <c r="F8" s="98"/>
      <c r="G8" s="99"/>
      <c r="S8" s="145"/>
    </row>
    <row r="9" spans="2:19" x14ac:dyDescent="0.25">
      <c r="B9" s="416"/>
      <c r="C9" s="417"/>
      <c r="D9" s="417"/>
      <c r="E9" s="417"/>
      <c r="F9" s="417"/>
      <c r="G9" s="417"/>
      <c r="H9" s="417"/>
      <c r="I9" s="417"/>
      <c r="J9" s="417"/>
      <c r="K9" s="417"/>
      <c r="L9" s="417"/>
      <c r="M9" s="417"/>
      <c r="N9" s="417"/>
      <c r="O9" s="417"/>
      <c r="P9" s="417"/>
      <c r="Q9" s="417"/>
      <c r="R9" s="417"/>
      <c r="S9" s="418"/>
    </row>
    <row r="10" spans="2:19" x14ac:dyDescent="0.25">
      <c r="B10" s="146"/>
      <c r="C10" s="100" t="s">
        <v>1070</v>
      </c>
      <c r="D10" s="100"/>
      <c r="E10" s="100"/>
      <c r="F10" s="101"/>
      <c r="S10" s="145"/>
    </row>
    <row r="11" spans="2:19" x14ac:dyDescent="0.25">
      <c r="B11" s="416"/>
      <c r="C11" s="417"/>
      <c r="D11" s="417"/>
      <c r="E11" s="417"/>
      <c r="F11" s="417"/>
      <c r="G11" s="417"/>
      <c r="H11" s="417"/>
      <c r="I11" s="417"/>
      <c r="J11" s="417"/>
      <c r="K11" s="417"/>
      <c r="L11" s="417"/>
      <c r="M11" s="417"/>
      <c r="N11" s="417"/>
      <c r="O11" s="417"/>
      <c r="P11" s="417"/>
      <c r="Q11" s="417"/>
      <c r="R11" s="417"/>
      <c r="S11" s="418"/>
    </row>
    <row r="12" spans="2:19" x14ac:dyDescent="0.25">
      <c r="B12" s="146"/>
      <c r="C12" s="102" t="s">
        <v>1217</v>
      </c>
      <c r="D12" s="102"/>
      <c r="E12" s="102"/>
      <c r="F12" s="102"/>
      <c r="G12" s="103"/>
      <c r="S12" s="145"/>
    </row>
    <row r="13" spans="2:19" x14ac:dyDescent="0.25">
      <c r="B13" s="416"/>
      <c r="C13" s="417"/>
      <c r="D13" s="417"/>
      <c r="E13" s="417"/>
      <c r="F13" s="417"/>
      <c r="G13" s="417"/>
      <c r="H13" s="417"/>
      <c r="I13" s="417"/>
      <c r="J13" s="417"/>
      <c r="K13" s="417"/>
      <c r="L13" s="417"/>
      <c r="M13" s="417"/>
      <c r="N13" s="417"/>
      <c r="O13" s="417"/>
      <c r="P13" s="417"/>
      <c r="Q13" s="417"/>
      <c r="R13" s="417"/>
      <c r="S13" s="418"/>
    </row>
    <row r="14" spans="2:19" ht="40.5" customHeight="1" x14ac:dyDescent="0.25">
      <c r="B14" s="419" t="s">
        <v>1082</v>
      </c>
      <c r="C14" s="420"/>
      <c r="D14" s="420"/>
      <c r="E14" s="420"/>
      <c r="F14" s="420"/>
      <c r="G14" s="420"/>
      <c r="H14" s="420"/>
      <c r="I14" s="420"/>
      <c r="J14" s="420"/>
      <c r="K14" s="420"/>
      <c r="L14" s="420"/>
      <c r="M14" s="420"/>
      <c r="N14" s="420"/>
      <c r="O14" s="420"/>
      <c r="P14" s="420"/>
      <c r="Q14" s="420"/>
      <c r="R14" s="420"/>
      <c r="S14" s="421"/>
    </row>
    <row r="15" spans="2:19" x14ac:dyDescent="0.25">
      <c r="B15" s="416"/>
      <c r="C15" s="417"/>
      <c r="D15" s="417"/>
      <c r="E15" s="417"/>
      <c r="F15" s="417"/>
      <c r="G15" s="417"/>
      <c r="H15" s="417"/>
      <c r="I15" s="417"/>
      <c r="J15" s="417"/>
      <c r="K15" s="417"/>
      <c r="L15" s="417"/>
      <c r="M15" s="417"/>
      <c r="N15" s="417"/>
      <c r="O15" s="417"/>
      <c r="P15" s="417"/>
      <c r="Q15" s="417"/>
      <c r="R15" s="417"/>
      <c r="S15" s="418"/>
    </row>
    <row r="16" spans="2:19" ht="16.5" thickBot="1" x14ac:dyDescent="0.3">
      <c r="B16" s="413" t="s">
        <v>1125</v>
      </c>
      <c r="C16" s="414"/>
      <c r="D16" s="414"/>
      <c r="E16" s="414"/>
      <c r="F16" s="414"/>
      <c r="G16" s="414"/>
      <c r="H16" s="414"/>
      <c r="I16" s="414"/>
      <c r="J16" s="414"/>
      <c r="K16" s="414"/>
      <c r="L16" s="414"/>
      <c r="M16" s="414"/>
      <c r="N16" s="414"/>
      <c r="O16" s="414"/>
      <c r="P16" s="414"/>
      <c r="Q16" s="414"/>
      <c r="R16" s="414"/>
      <c r="S16" s="415"/>
    </row>
  </sheetData>
  <sheetProtection algorithmName="SHA-512" hashValue="L83ABDKUoZjunw6ztA5xtQkJeDvGdTVWs2JDo5i1XxsX5KZDEj8hxA1msXurdsnS22qX0jKntucEGe1nkaKCLQ==" saltValue="gBTSTBUdYLZl0NXxT+AIKA==" spinCount="100000" sheet="1" objects="1" scenarios="1"/>
  <mergeCells count="12">
    <mergeCell ref="B7:S7"/>
    <mergeCell ref="B4:S4"/>
    <mergeCell ref="B5:S5"/>
    <mergeCell ref="B6:S6"/>
    <mergeCell ref="B2:S2"/>
    <mergeCell ref="B3:S3"/>
    <mergeCell ref="B16:S16"/>
    <mergeCell ref="B9:S9"/>
    <mergeCell ref="B11:S11"/>
    <mergeCell ref="B13:S13"/>
    <mergeCell ref="B14:S14"/>
    <mergeCell ref="B15:S15"/>
  </mergeCells>
  <conditionalFormatting sqref="C12:G12">
    <cfRule type="cellIs" dxfId="170" priority="1" operator="greaterThan">
      <formula>0</formula>
    </cfRule>
  </conditionalFormatting>
  <pageMargins left="0.25" right="0.25" top="0.75" bottom="0.75" header="0.3" footer="0.3"/>
  <pageSetup scale="75"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6403-FD25-4A4B-8B34-CBFE54E794C5}">
  <sheetPr codeName="Sheet1">
    <tabColor theme="4"/>
  </sheetPr>
  <dimension ref="B1:K84"/>
  <sheetViews>
    <sheetView tabSelected="1" zoomScale="90" zoomScaleNormal="90" workbookViewId="0">
      <selection activeCell="G11" sqref="G11:I11"/>
    </sheetView>
  </sheetViews>
  <sheetFormatPr defaultColWidth="9" defaultRowHeight="15.75" x14ac:dyDescent="0.25"/>
  <cols>
    <col min="1" max="1" width="9" style="93" customWidth="1"/>
    <col min="2" max="2" width="10.875" style="93" customWidth="1"/>
    <col min="3" max="4" width="11.25" style="93" customWidth="1"/>
    <col min="5" max="5" width="11.375" style="93" customWidth="1"/>
    <col min="6" max="6" width="11.875" style="93" customWidth="1"/>
    <col min="7" max="7" width="14.375" style="93" customWidth="1"/>
    <col min="8" max="8" width="9" style="93" customWidth="1"/>
    <col min="9" max="9" width="12.75" style="93" customWidth="1"/>
    <col min="10" max="10" width="9.25" style="93" customWidth="1"/>
    <col min="11" max="11" width="9" style="93" customWidth="1"/>
    <col min="12" max="16384" width="9" style="93"/>
  </cols>
  <sheetData>
    <row r="1" spans="2:11" ht="16.5" thickBot="1" x14ac:dyDescent="0.3"/>
    <row r="2" spans="2:11" ht="15.75" customHeight="1" x14ac:dyDescent="0.25">
      <c r="B2" s="291" t="s">
        <v>1118</v>
      </c>
      <c r="C2" s="292"/>
      <c r="D2" s="292"/>
      <c r="E2" s="292"/>
      <c r="F2" s="292"/>
      <c r="G2" s="292"/>
      <c r="H2" s="292"/>
      <c r="I2" s="293"/>
    </row>
    <row r="3" spans="2:11" ht="16.5" customHeight="1" thickBot="1" x14ac:dyDescent="0.3">
      <c r="B3" s="294"/>
      <c r="C3" s="295"/>
      <c r="D3" s="295"/>
      <c r="E3" s="295"/>
      <c r="F3" s="295"/>
      <c r="G3" s="295"/>
      <c r="H3" s="295"/>
      <c r="I3" s="296"/>
    </row>
    <row r="4" spans="2:11" ht="15.75" customHeight="1" x14ac:dyDescent="0.25">
      <c r="B4" s="300" t="s">
        <v>1081</v>
      </c>
      <c r="C4" s="301"/>
      <c r="D4" s="301"/>
      <c r="E4" s="301"/>
      <c r="F4" s="301"/>
      <c r="G4" s="302"/>
      <c r="H4" s="303"/>
      <c r="I4" s="304"/>
    </row>
    <row r="5" spans="2:11" ht="15.75" customHeight="1" x14ac:dyDescent="0.25">
      <c r="B5" s="337" t="s">
        <v>1084</v>
      </c>
      <c r="C5" s="338"/>
      <c r="D5" s="338"/>
      <c r="E5" s="338"/>
      <c r="F5" s="338"/>
      <c r="G5" s="339"/>
      <c r="H5" s="335" t="s">
        <v>1085</v>
      </c>
      <c r="I5" s="336"/>
    </row>
    <row r="6" spans="2:11" ht="16.5" customHeight="1" thickBot="1" x14ac:dyDescent="0.3">
      <c r="B6" s="297" t="s">
        <v>1086</v>
      </c>
      <c r="C6" s="298"/>
      <c r="D6" s="298"/>
      <c r="E6" s="298"/>
      <c r="F6" s="298"/>
      <c r="G6" s="298"/>
      <c r="H6" s="298"/>
      <c r="I6" s="299"/>
    </row>
    <row r="7" spans="2:11" ht="16.5" thickBot="1" x14ac:dyDescent="0.3">
      <c r="B7" s="326"/>
      <c r="C7" s="326"/>
      <c r="D7" s="326"/>
      <c r="E7" s="326"/>
      <c r="F7" s="326"/>
      <c r="G7" s="326"/>
      <c r="H7" s="326"/>
      <c r="I7" s="326"/>
    </row>
    <row r="8" spans="2:11" x14ac:dyDescent="0.25">
      <c r="B8" s="327" t="s">
        <v>1322</v>
      </c>
      <c r="C8" s="328"/>
      <c r="D8" s="328"/>
      <c r="E8" s="328"/>
      <c r="F8" s="328"/>
      <c r="G8" s="328"/>
      <c r="H8" s="328"/>
      <c r="I8" s="329"/>
    </row>
    <row r="9" spans="2:11" ht="16.5" thickBot="1" x14ac:dyDescent="0.3">
      <c r="B9" s="330"/>
      <c r="C9" s="331"/>
      <c r="D9" s="331"/>
      <c r="E9" s="331"/>
      <c r="F9" s="331"/>
      <c r="G9" s="331"/>
      <c r="H9" s="331"/>
      <c r="I9" s="332"/>
    </row>
    <row r="10" spans="2:11" ht="17.25" customHeight="1" x14ac:dyDescent="0.25">
      <c r="B10" s="309" t="s">
        <v>1214</v>
      </c>
      <c r="C10" s="310"/>
      <c r="D10" s="310"/>
      <c r="E10" s="310"/>
      <c r="F10" s="310"/>
      <c r="G10" s="311" t="s">
        <v>1216</v>
      </c>
      <c r="H10" s="312"/>
      <c r="I10" s="313"/>
    </row>
    <row r="11" spans="2:11" ht="17.25" customHeight="1" x14ac:dyDescent="0.25">
      <c r="B11" s="333" t="s">
        <v>585</v>
      </c>
      <c r="C11" s="334"/>
      <c r="D11" s="334"/>
      <c r="E11" s="334"/>
      <c r="F11" s="334"/>
      <c r="G11" s="341"/>
      <c r="H11" s="342"/>
      <c r="I11" s="343"/>
    </row>
    <row r="12" spans="2:11" ht="17.25" customHeight="1" x14ac:dyDescent="0.25">
      <c r="B12" s="333" t="s">
        <v>1212</v>
      </c>
      <c r="C12" s="334"/>
      <c r="D12" s="334"/>
      <c r="E12" s="334"/>
      <c r="F12" s="334"/>
      <c r="G12" s="341"/>
      <c r="H12" s="342"/>
      <c r="I12" s="343"/>
    </row>
    <row r="13" spans="2:11" ht="17.25" customHeight="1" x14ac:dyDescent="0.25">
      <c r="B13" s="344" t="s">
        <v>1213</v>
      </c>
      <c r="C13" s="345"/>
      <c r="D13" s="345"/>
      <c r="E13" s="345"/>
      <c r="F13" s="345"/>
      <c r="G13" s="346"/>
      <c r="H13" s="347"/>
      <c r="I13" s="348"/>
      <c r="K13" s="147" t="str">
        <f>IFERROR(IF(H61="Different form", "You have selected a County with a Road and Bridge fund that does not span the entire county.",""),"")</f>
        <v/>
      </c>
    </row>
    <row r="14" spans="2:11" ht="51.75" customHeight="1" x14ac:dyDescent="0.25">
      <c r="B14" s="366" t="str">
        <f>IF(DistrictType="School",
    "",
    "Is this district currently compliant with the local government registry of the Idaho State Controller's Office? 
   - If not compliant, property tax budget increases are not allowed")</f>
        <v>Is this district currently compliant with the local government registry of the Idaho State Controller's Office? 
   - If not compliant, property tax budget increases are not allowed</v>
      </c>
      <c r="C14" s="367"/>
      <c r="D14" s="367"/>
      <c r="E14" s="367"/>
      <c r="F14" s="367"/>
      <c r="G14" s="368" t="s">
        <v>1066</v>
      </c>
      <c r="H14" s="369"/>
      <c r="I14" s="370"/>
    </row>
    <row r="15" spans="2:11" x14ac:dyDescent="0.25">
      <c r="B15" s="358" t="s">
        <v>1069</v>
      </c>
      <c r="C15" s="359"/>
      <c r="D15" s="359"/>
      <c r="E15" s="359"/>
      <c r="F15" s="359"/>
      <c r="G15" s="359"/>
      <c r="H15" s="359"/>
      <c r="I15" s="360"/>
      <c r="K15" s="147" t="str">
        <f>IFERROR(IF(H61="Different form", "This form cannot be used for this district, please go to tax.idaho.gov to get the correct form for this district",""),"")</f>
        <v/>
      </c>
    </row>
    <row r="16" spans="2:11" x14ac:dyDescent="0.25">
      <c r="B16" s="95"/>
      <c r="C16" s="111"/>
      <c r="D16" s="111"/>
      <c r="E16" s="357" t="s">
        <v>72</v>
      </c>
      <c r="F16" s="357"/>
      <c r="G16" s="355">
        <f>IF(F17="NO",G11,IF(COUNTIF(JointDistricts,G13),INDEX(JointCounties,MATCH(G13,JointDistricts,0))))</f>
        <v>0</v>
      </c>
      <c r="H16" s="355"/>
      <c r="I16" s="356"/>
    </row>
    <row r="17" spans="2:9" x14ac:dyDescent="0.25">
      <c r="B17" s="96"/>
      <c r="C17" s="357" t="str">
        <f>IF(G16="","","Multi-County District:")</f>
        <v>Multi-County District:</v>
      </c>
      <c r="D17" s="357"/>
      <c r="E17" s="357"/>
      <c r="F17" s="109" t="str">
        <f>IF(COUNTIF(JointDistricts,G13), "YES", "NO")</f>
        <v>NO</v>
      </c>
      <c r="G17" s="354" t="str" cm="1">
        <f t="array" ref="G17">IF(F17="YES",IF(COUNTIF(JointDistricts,G13),INDEX(JointCounties,MATCH(G13,JointDistricts,0)+1)," ")," ")</f>
        <v xml:space="preserve"> </v>
      </c>
      <c r="H17" s="355"/>
      <c r="I17" s="356"/>
    </row>
    <row r="18" spans="2:9" x14ac:dyDescent="0.25">
      <c r="B18" s="96"/>
      <c r="C18" s="357" t="str">
        <f>IF(G17="","","More than two counties:")</f>
        <v>More than two counties:</v>
      </c>
      <c r="D18" s="357"/>
      <c r="E18" s="357"/>
      <c r="F18" s="109" t="str">
        <f>IF(COUNTIF(JointDistricts,G13)&gt;2, "YES", "NO")</f>
        <v>NO</v>
      </c>
      <c r="G18" s="354" t="str" cm="1">
        <f t="array" ref="G18">IF(F18="YES",IF(COUNTIF(JointDistricts,G13),INDEX(JointCounties,MATCH(G13,JointDistricts,0)+2)," ")," ")</f>
        <v xml:space="preserve"> </v>
      </c>
      <c r="H18" s="355"/>
      <c r="I18" s="356"/>
    </row>
    <row r="19" spans="2:9" ht="16.5" thickBot="1" x14ac:dyDescent="0.3">
      <c r="B19" s="97"/>
      <c r="C19" s="319" t="str">
        <f>IF(G18="","","More than three counties:")</f>
        <v>More than three counties:</v>
      </c>
      <c r="D19" s="319"/>
      <c r="E19" s="319"/>
      <c r="F19" s="110" t="str">
        <f>IF(COUNTIF(JointDistricts,G13)&gt;3, "YES", "NO")</f>
        <v>NO</v>
      </c>
      <c r="G19" s="316" t="str" cm="1">
        <f t="array" ref="G19">IF(F19="YES",IF(COUNTIF(JointDistricts,G13),INDEX(JointCounties,MATCH(G13,JointDistricts,0)+3)," ")," ")</f>
        <v xml:space="preserve"> </v>
      </c>
      <c r="H19" s="317"/>
      <c r="I19" s="318"/>
    </row>
    <row r="20" spans="2:9" ht="16.5" thickBot="1" x14ac:dyDescent="0.3">
      <c r="B20" s="361"/>
      <c r="C20" s="361"/>
      <c r="D20" s="361"/>
      <c r="E20" s="361"/>
      <c r="F20" s="361"/>
      <c r="G20" s="361"/>
      <c r="H20" s="361"/>
      <c r="I20" s="361"/>
    </row>
    <row r="21" spans="2:9" ht="21" x14ac:dyDescent="0.25">
      <c r="B21" s="260" t="s">
        <v>1079</v>
      </c>
      <c r="C21" s="261"/>
      <c r="D21" s="261"/>
      <c r="E21" s="261"/>
      <c r="F21" s="261"/>
      <c r="G21" s="261"/>
      <c r="H21" s="258">
        <v>0.03</v>
      </c>
      <c r="I21" s="259"/>
    </row>
    <row r="22" spans="2:9" x14ac:dyDescent="0.25">
      <c r="B22" s="320" t="str">
        <f>IF(OR(DistrictType="Fire",DistrictType="Ambulance"),"",
 "Total "&amp;LEFT('1. Dashboard'!$B$8,4)&amp;" Net Taxable Value + Estimated Sub-roll:")</f>
        <v>Total 2026 Net Taxable Value + Estimated Sub-roll:</v>
      </c>
      <c r="C22" s="321"/>
      <c r="D22" s="321"/>
      <c r="E22" s="321"/>
      <c r="F22" s="321"/>
      <c r="G22" s="94">
        <f>IF(OR(DistrictType="Fire",DistrictType="Ambulance"),"",
 IF($F$17="NO",$G$11,IF(COUNTIF(JointDistricts,$G$13),INDEX(JointCounties,MATCH($G$13,JointDistricts,0)))))</f>
        <v>0</v>
      </c>
      <c r="H22" s="262"/>
      <c r="I22" s="263"/>
    </row>
    <row r="23" spans="2:9" x14ac:dyDescent="0.25">
      <c r="B23" s="322" t="str">
        <f>IF(OR(DistrictType="Fire",DistrictType="Ambulance"),"",
    "      (not including Operating Property)")</f>
        <v xml:space="preserve">      (not including Operating Property)</v>
      </c>
      <c r="C23" s="323"/>
      <c r="D23" s="323"/>
      <c r="E23" s="323"/>
      <c r="F23" s="323"/>
      <c r="G23" s="108" t="str" cm="1">
        <f t="array" ref="G23">IF(OR(DistrictType="Fire",DistrictType="Ambulance"),"",
 IF($F$17="YES",IF(COUNTIF(JointDistricts,$G$13),INDEX(JointCounties,MATCH($G$13,JointDistricts,0)+1)," ")," "))</f>
        <v xml:space="preserve"> </v>
      </c>
      <c r="H23" s="262"/>
      <c r="I23" s="263"/>
    </row>
    <row r="24" spans="2:9" x14ac:dyDescent="0.25">
      <c r="B24" s="322"/>
      <c r="C24" s="323"/>
      <c r="D24" s="323"/>
      <c r="E24" s="323"/>
      <c r="F24" s="323"/>
      <c r="G24" s="108" t="str" cm="1">
        <f t="array" ref="G24">IF(OR(DistrictType="Fire",DistrictType="Ambulance"),"",
 IF($F$18="YES",IF(COUNTIF(JointDistricts,$G$13),INDEX(JointCounties,MATCH($G$13,JointDistricts,0)+2)," ")," "))</f>
        <v xml:space="preserve"> </v>
      </c>
      <c r="H24" s="262"/>
      <c r="I24" s="263"/>
    </row>
    <row r="25" spans="2:9" x14ac:dyDescent="0.25">
      <c r="B25" s="324"/>
      <c r="C25" s="325"/>
      <c r="D25" s="325"/>
      <c r="E25" s="325"/>
      <c r="F25" s="325"/>
      <c r="G25" s="107" t="str" cm="1">
        <f t="array" ref="G25">IF(OR(DistrictType="Fire",DistrictType="Ambulance"),"",
 IF($F$19="YES",IF(COUNTIF(JointDistricts,$G$13),INDEX(JointCounties,MATCH($G$13,JointDistricts,0)+3)," ")," "))</f>
        <v xml:space="preserve"> </v>
      </c>
      <c r="H25" s="262"/>
      <c r="I25" s="263"/>
    </row>
    <row r="26" spans="2:9" x14ac:dyDescent="0.25">
      <c r="B26" s="266" t="str">
        <f>"Enter "&amp;LEFT('1. Dashboard'!$B$8,4)&amp;" New Construction value:"</f>
        <v>Enter 2026 New Construction value:</v>
      </c>
      <c r="C26" s="267"/>
      <c r="D26" s="267"/>
      <c r="E26" s="267"/>
      <c r="F26" s="267"/>
      <c r="G26" s="94">
        <f>IF($F$17="NO",$G$11,IF(COUNTIF(JointDistricts,$G$13),INDEX(JointCounties,MATCH($G$13,JointDistricts,0))))</f>
        <v>0</v>
      </c>
      <c r="H26" s="262"/>
      <c r="I26" s="263"/>
    </row>
    <row r="27" spans="2:9" x14ac:dyDescent="0.25">
      <c r="B27" s="305" t="s">
        <v>1093</v>
      </c>
      <c r="C27" s="306"/>
      <c r="D27" s="306"/>
      <c r="E27" s="306"/>
      <c r="F27" s="340"/>
      <c r="G27" s="108" t="str" cm="1">
        <f t="array" ref="G27">IF($F$17="YES",IF(COUNTIF(JointDistricts,$G$13),INDEX(JointCounties,MATCH($G$13,JointDistricts,0)+1)," ")," ")</f>
        <v xml:space="preserve"> </v>
      </c>
      <c r="H27" s="262"/>
      <c r="I27" s="263"/>
    </row>
    <row r="28" spans="2:9" x14ac:dyDescent="0.25">
      <c r="B28" s="305"/>
      <c r="C28" s="306"/>
      <c r="D28" s="306"/>
      <c r="E28" s="306"/>
      <c r="F28" s="340"/>
      <c r="G28" s="108" t="str" cm="1">
        <f t="array" ref="G28">IF($F$18="YES",IF(COUNTIF(JointDistricts,$G$13),INDEX(JointCounties,MATCH($G$13,JointDistricts,0)+2)," ")," ")</f>
        <v xml:space="preserve"> </v>
      </c>
      <c r="H28" s="264"/>
      <c r="I28" s="265"/>
    </row>
    <row r="29" spans="2:9" x14ac:dyDescent="0.25">
      <c r="B29" s="305"/>
      <c r="C29" s="306"/>
      <c r="D29" s="306"/>
      <c r="E29" s="306"/>
      <c r="F29" s="340"/>
      <c r="G29" s="108" t="str" cm="1">
        <f t="array" ref="G29">IF($F$19="YES",IF(COUNTIF(JointDistricts,$G$13),INDEX(JointCounties,MATCH($G$13,JointDistricts,0)+3)," ")," ")</f>
        <v xml:space="preserve"> </v>
      </c>
      <c r="H29" s="314"/>
      <c r="I29" s="315"/>
    </row>
    <row r="30" spans="2:9" x14ac:dyDescent="0.25">
      <c r="B30" s="305" t="str">
        <f>"Does this district have annexation value reported by the assessor for "&amp;LEFT('1. Dashboard'!$B$8,4)&amp;"?"</f>
        <v>Does this district have annexation value reported by the assessor for 2026?</v>
      </c>
      <c r="C30" s="306"/>
      <c r="D30" s="306"/>
      <c r="E30" s="306"/>
      <c r="F30" s="306"/>
      <c r="G30" s="306"/>
      <c r="H30" s="307"/>
      <c r="I30" s="308"/>
    </row>
    <row r="31" spans="2:9" x14ac:dyDescent="0.25">
      <c r="B31" s="268" t="str">
        <f>IF(DistrictType="Library","Enter the value of annexations outside",
 IF(DistrictType="Fire","Enter the value of annexations outside of existing",
    "Enter the value of the annexed area:"))</f>
        <v>Enter the value of the annexed area:</v>
      </c>
      <c r="C31" s="269"/>
      <c r="D31" s="269"/>
      <c r="E31" s="269"/>
      <c r="F31" s="270"/>
      <c r="G31" s="94">
        <f>IF($F$17="NO",$G$11,IF(COUNTIF(JointDistricts,$G$13),INDEX(JointCounties,MATCH($G$13,JointDistricts,0))))</f>
        <v>0</v>
      </c>
      <c r="H31" s="262"/>
      <c r="I31" s="263"/>
    </row>
    <row r="32" spans="2:9" x14ac:dyDescent="0.25">
      <c r="B32" s="268" t="str">
        <f>IF(DistrictType="Fire",
    "     fire districts and cities:",
    IF(DistrictType="Library",
       "     of existing library districts:",
    "     (reported by County Assessor at 100%)"))</f>
        <v xml:space="preserve">     (reported by County Assessor at 100%)</v>
      </c>
      <c r="C32" s="269"/>
      <c r="D32" s="269"/>
      <c r="E32" s="269"/>
      <c r="F32" s="270"/>
      <c r="G32" s="107" t="str" cm="1">
        <f t="array" ref="G32">IF($F$17="YES",IF(COUNTIF(JointDistricts,$G$13),INDEX(JointCounties,MATCH($G$13,JointDistricts,0)+1)," ")," ")</f>
        <v xml:space="preserve"> </v>
      </c>
      <c r="H32" s="262"/>
      <c r="I32" s="263"/>
    </row>
    <row r="33" spans="2:9" x14ac:dyDescent="0.25">
      <c r="B33" s="362" t="str">
        <f>IF(OR(DistrictType="Library",DistrictType="Fire"),
    "     (reported by County Assessor at 100%;",
    "")</f>
        <v/>
      </c>
      <c r="C33" s="363"/>
      <c r="D33" s="363"/>
      <c r="E33" s="363"/>
      <c r="F33" s="364"/>
      <c r="G33" s="107" t="str" cm="1">
        <f t="array" ref="G33">IF($F$18="YES",IF(COUNTIF(JointDistricts,$G$13),INDEX(JointCounties,MATCH($G$13,JointDistricts,0)+2)," ")," ")</f>
        <v xml:space="preserve"> </v>
      </c>
      <c r="H33" s="264"/>
      <c r="I33" s="265"/>
    </row>
    <row r="34" spans="2:9" x14ac:dyDescent="0.25">
      <c r="B34" s="324" t="str">
        <f>IF(OR(DistrictType="Fire",DistrictType="Library"),
    "     also known as: ''capped annexation value'')",
    "")</f>
        <v/>
      </c>
      <c r="C34" s="325"/>
      <c r="D34" s="325"/>
      <c r="E34" s="325"/>
      <c r="F34" s="325"/>
      <c r="G34" s="107" t="str" cm="1">
        <f t="array" ref="G34">IF($F$19="YES",IF(COUNTIF(JointDistricts,$G$13),INDEX(JointCounties,MATCH($G$13,JointDistricts,0)+3)," ")," ")</f>
        <v xml:space="preserve"> </v>
      </c>
      <c r="H34" s="262"/>
      <c r="I34" s="263"/>
    </row>
    <row r="35" spans="2:9" x14ac:dyDescent="0.25">
      <c r="B35" s="320" t="str">
        <f>IF(DistrictType="Library","Enter the value of annexations into other existing library districts:",
 IF(DistrictType="Fire","Enter the value of annexations into other existing fire districts",""))</f>
        <v/>
      </c>
      <c r="C35" s="321"/>
      <c r="D35" s="321"/>
      <c r="E35" s="321"/>
      <c r="F35" s="365"/>
      <c r="G35" s="94" t="str">
        <f>IF(OR(DistrictType="Library",DistrictType="Fire"),
   IF($F$17="NO",$G$11,IF(COUNTIF(JointDistricts,$G$13),INDEX(JointCounties,MATCH($G$13,JointDistricts,0)))),"")</f>
        <v/>
      </c>
      <c r="H35" s="264"/>
      <c r="I35" s="265"/>
    </row>
    <row r="36" spans="2:9" x14ac:dyDescent="0.25">
      <c r="B36" s="266" t="str">
        <f>IF(DistrictType="Fire",
     "     and the value of annexations into cities:",
 IF(DistrictType="Library",
    "     (reported by County Assessor at 100%;",
    ""))</f>
        <v/>
      </c>
      <c r="C36" s="267"/>
      <c r="D36" s="267"/>
      <c r="E36" s="267"/>
      <c r="F36" s="402"/>
      <c r="G36" s="107" t="str" cm="1">
        <f t="array" ref="G36">IF(OR(DistrictType="Library",DistrictType="Fire"),
   IF($F$17="YES",IF(COUNTIF(JointDistricts,$G$13),INDEX(JointCounties,MATCH($G$13,JointDistricts,0)+1)," ")," "),"")</f>
        <v/>
      </c>
      <c r="H36" s="262"/>
      <c r="I36" s="263"/>
    </row>
    <row r="37" spans="2:9" x14ac:dyDescent="0.25">
      <c r="B37" s="268" t="str">
        <f>IF(DistrictType="Fire",
    "     (reported by County Assessor at 100%;",
 IF(DistrictType="Library",
    "      also known as: ''uncapped annexation value'')",
    ""))</f>
        <v/>
      </c>
      <c r="C37" s="269"/>
      <c r="D37" s="269"/>
      <c r="E37" s="269"/>
      <c r="F37" s="270"/>
      <c r="G37" s="107" t="str" cm="1">
        <f t="array" ref="G37">IF(OR(DistrictType="Library",DistrictType="Fire"),
   IF($F$18="YES",IF(COUNTIF(JointDistricts,$G$13),INDEX(JointCounties,MATCH($G$13,JointDistricts,0)+2)," ")," "),"")</f>
        <v/>
      </c>
      <c r="H37" s="264"/>
      <c r="I37" s="265"/>
    </row>
    <row r="38" spans="2:9" x14ac:dyDescent="0.25">
      <c r="B38" s="305" t="str">
        <f>IF(DistrictType="Fire",
    "      also known as: ''uncapped annexation value'')","")</f>
        <v/>
      </c>
      <c r="C38" s="306"/>
      <c r="D38" s="306"/>
      <c r="E38" s="306"/>
      <c r="F38" s="306"/>
      <c r="G38" s="107" t="str" cm="1">
        <f t="array" ref="G38">IF(OR(DistrictType="Library",DistrictType="Fire"),
   IF($F$19="YES",IF(COUNTIF(JointDistricts,$G$13),INDEX(JointCounties,MATCH($G$13,JointDistricts,0)+3)," ")," "),"")</f>
        <v/>
      </c>
      <c r="H38" s="262"/>
      <c r="I38" s="263"/>
    </row>
    <row r="39" spans="2:9" ht="31.5" customHeight="1" x14ac:dyDescent="0.25">
      <c r="B39" s="404" t="str">
        <f>IF(OR(DistrictType="Fire",DistrictType="Ambulance"),"Does this district have expiring Urban Renewal or has it 
opted out of participation with Urban Renewal this year?",
    "Does this district have expiring Urban Renewal?")</f>
        <v>Does this district have expiring Urban Renewal?</v>
      </c>
      <c r="C39" s="405"/>
      <c r="D39" s="405"/>
      <c r="E39" s="405"/>
      <c r="F39" s="405"/>
      <c r="G39" s="406"/>
      <c r="H39" s="351"/>
      <c r="I39" s="352"/>
    </row>
    <row r="40" spans="2:9" x14ac:dyDescent="0.25">
      <c r="B40" s="305" t="s">
        <v>1310</v>
      </c>
      <c r="C40" s="306"/>
      <c r="D40" s="306"/>
      <c r="E40" s="306"/>
      <c r="F40" s="306"/>
      <c r="G40" s="340"/>
      <c r="H40" s="262"/>
      <c r="I40" s="263"/>
    </row>
    <row r="41" spans="2:9" x14ac:dyDescent="0.25">
      <c r="B41" s="305" t="s">
        <v>1309</v>
      </c>
      <c r="C41" s="306"/>
      <c r="D41" s="306"/>
      <c r="E41" s="306"/>
      <c r="F41" s="306"/>
      <c r="G41" s="340"/>
      <c r="H41" s="262"/>
      <c r="I41" s="263"/>
    </row>
    <row r="42" spans="2:9" ht="15.75" customHeight="1" x14ac:dyDescent="0.25">
      <c r="B42" s="285" t="str">
        <f>IF(G12="School","",IF(G12="City","Was this city annexed into a fire district this year?","Skip these last two rows that only apply to cities/schools and continue"))</f>
        <v>Skip these last two rows that only apply to cities/schools and continue</v>
      </c>
      <c r="C42" s="286"/>
      <c r="D42" s="286"/>
      <c r="E42" s="286"/>
      <c r="F42" s="286"/>
      <c r="G42" s="286"/>
      <c r="H42" s="289"/>
      <c r="I42" s="290"/>
    </row>
    <row r="43" spans="2:9" ht="47.45" customHeight="1" thickBot="1" x14ac:dyDescent="0.3">
      <c r="B43" s="287" t="str">
        <f>IF(DistrictType="School",
    "Enter the amount of funds received from the School District Facilities Fund in tax year "&amp;LEFT('1. Dashboard'!$B$8,4)&amp;":",
 IF(AND(DistrictType="City",H42="Yes"),
    "Enter the amount spent on fire services from the city's property tax budget in the last full year the city provided fire protection services to its residents:", ""))</f>
        <v/>
      </c>
      <c r="C43" s="288"/>
      <c r="D43" s="288"/>
      <c r="E43" s="288"/>
      <c r="F43" s="288"/>
      <c r="G43" s="288"/>
      <c r="H43" s="349"/>
      <c r="I43" s="350"/>
    </row>
    <row r="44" spans="2:9" ht="10.5" customHeight="1" x14ac:dyDescent="0.25">
      <c r="B44" s="353"/>
      <c r="C44" s="353"/>
      <c r="D44" s="353"/>
      <c r="E44" s="353"/>
      <c r="F44" s="353"/>
      <c r="G44" s="353"/>
      <c r="H44" s="353"/>
      <c r="I44" s="353"/>
    </row>
    <row r="45" spans="2:9" ht="10.5" customHeight="1" thickBot="1" x14ac:dyDescent="0.3">
      <c r="B45" s="298"/>
      <c r="C45" s="298"/>
      <c r="D45" s="298"/>
      <c r="E45" s="298"/>
      <c r="F45" s="298"/>
      <c r="G45" s="298"/>
      <c r="H45" s="298"/>
      <c r="I45" s="298"/>
    </row>
    <row r="46" spans="2:9" ht="24" customHeight="1" x14ac:dyDescent="0.25">
      <c r="B46" s="392" t="s">
        <v>1083</v>
      </c>
      <c r="C46" s="393"/>
      <c r="D46" s="393"/>
      <c r="E46" s="393"/>
      <c r="F46" s="393"/>
      <c r="G46" s="393"/>
      <c r="H46" s="393"/>
      <c r="I46" s="394"/>
    </row>
    <row r="47" spans="2:9" ht="31.5" customHeight="1" x14ac:dyDescent="0.25">
      <c r="B47" s="403" t="s">
        <v>1353</v>
      </c>
      <c r="C47" s="325"/>
      <c r="D47" s="325"/>
      <c r="E47" s="325"/>
      <c r="F47" s="325"/>
      <c r="G47" s="325"/>
      <c r="H47" s="289"/>
      <c r="I47" s="290"/>
    </row>
    <row r="48" spans="2:9" x14ac:dyDescent="0.25">
      <c r="B48" s="305" t="str">
        <f>"Enter current year's amount of Solar Farm Tax here (7/1/"&amp;MID($B$8,3,2)-1&amp;" - 6/30/"&amp;MID($B$8,3,2)&amp;"):"</f>
        <v>Enter current year's amount of Solar Farm Tax here (7/1/25 - 6/30/26):</v>
      </c>
      <c r="C48" s="306"/>
      <c r="D48" s="306"/>
      <c r="E48" s="306"/>
      <c r="F48" s="306"/>
      <c r="G48" s="340"/>
      <c r="H48" s="262"/>
      <c r="I48" s="263"/>
    </row>
    <row r="49" spans="2:9" ht="31.5" customHeight="1" x14ac:dyDescent="0.25">
      <c r="B49" s="403" t="s">
        <v>1207</v>
      </c>
      <c r="C49" s="407"/>
      <c r="D49" s="407"/>
      <c r="E49" s="407"/>
      <c r="F49" s="407"/>
      <c r="G49" s="407"/>
      <c r="H49" s="289"/>
      <c r="I49" s="290"/>
    </row>
    <row r="50" spans="2:9" x14ac:dyDescent="0.25">
      <c r="B50" s="268" t="s">
        <v>1208</v>
      </c>
      <c r="C50" s="269"/>
      <c r="D50" s="269"/>
      <c r="E50" s="269"/>
      <c r="F50" s="269"/>
      <c r="G50" s="270"/>
      <c r="H50" s="411"/>
      <c r="I50" s="412"/>
    </row>
    <row r="51" spans="2:9" ht="31.5" customHeight="1" x14ac:dyDescent="0.25">
      <c r="B51" s="408" t="s">
        <v>1205</v>
      </c>
      <c r="C51" s="409"/>
      <c r="D51" s="409"/>
      <c r="E51" s="409"/>
      <c r="F51" s="409"/>
      <c r="G51" s="410"/>
      <c r="H51" s="351"/>
      <c r="I51" s="352"/>
    </row>
    <row r="52" spans="2:9" ht="15.75" customHeight="1" x14ac:dyDescent="0.25">
      <c r="B52" s="408" t="s">
        <v>1209</v>
      </c>
      <c r="C52" s="409"/>
      <c r="D52" s="409"/>
      <c r="E52" s="409"/>
      <c r="F52" s="409"/>
      <c r="G52" s="410"/>
      <c r="H52" s="411"/>
      <c r="I52" s="412"/>
    </row>
    <row r="53" spans="2:9" ht="31.5" customHeight="1" x14ac:dyDescent="0.25">
      <c r="B53" s="280" t="s">
        <v>1206</v>
      </c>
      <c r="C53" s="281"/>
      <c r="D53" s="281"/>
      <c r="E53" s="281"/>
      <c r="F53" s="281"/>
      <c r="G53" s="282"/>
      <c r="H53" s="283"/>
      <c r="I53" s="284"/>
    </row>
    <row r="54" spans="2:9" ht="15.75" customHeight="1" thickBot="1" x14ac:dyDescent="0.3">
      <c r="B54" s="388" t="str">
        <f>"Enter any other reductions to levying authority for "&amp;LEFT($B$8,4)&amp;":"</f>
        <v>Enter any other reductions to levying authority for 2026:</v>
      </c>
      <c r="C54" s="389"/>
      <c r="D54" s="389"/>
      <c r="E54" s="389"/>
      <c r="F54" s="389"/>
      <c r="G54" s="390"/>
      <c r="H54" s="349"/>
      <c r="I54" s="350"/>
    </row>
    <row r="55" spans="2:9" ht="10.5" customHeight="1" x14ac:dyDescent="0.25">
      <c r="B55" s="353"/>
      <c r="C55" s="353"/>
      <c r="D55" s="353"/>
      <c r="E55" s="353"/>
      <c r="F55" s="353"/>
      <c r="G55" s="353"/>
      <c r="H55" s="353"/>
      <c r="I55" s="353"/>
    </row>
    <row r="56" spans="2:9" ht="10.5" customHeight="1" thickBot="1" x14ac:dyDescent="0.3">
      <c r="B56" s="298"/>
      <c r="C56" s="298"/>
      <c r="D56" s="298"/>
      <c r="E56" s="298"/>
      <c r="F56" s="298"/>
      <c r="G56" s="298"/>
      <c r="H56" s="298"/>
      <c r="I56" s="298"/>
    </row>
    <row r="57" spans="2:9" ht="24" customHeight="1" x14ac:dyDescent="0.25">
      <c r="B57" s="392" t="s">
        <v>1360</v>
      </c>
      <c r="C57" s="393"/>
      <c r="D57" s="393"/>
      <c r="E57" s="393"/>
      <c r="F57" s="393"/>
      <c r="G57" s="393"/>
      <c r="H57" s="393"/>
      <c r="I57" s="394"/>
    </row>
    <row r="58" spans="2:9" ht="31.5" customHeight="1" thickBot="1" x14ac:dyDescent="0.3">
      <c r="B58" s="388" t="str">
        <f>"Enter the estimated revenues to be received by this district for tax year "&amp;LEFT($B$8,4)&amp;" for kWh/therms tax from rate-regulated electric &amp; gas utility companies:"</f>
        <v>Enter the estimated revenues to be received by this district for tax year 2026 for kWh/therms tax from rate-regulated electric &amp; gas utility companies:</v>
      </c>
      <c r="C58" s="389"/>
      <c r="D58" s="389"/>
      <c r="E58" s="389"/>
      <c r="F58" s="389"/>
      <c r="G58" s="390"/>
      <c r="H58" s="349"/>
      <c r="I58" s="350"/>
    </row>
    <row r="59" spans="2:9" ht="21" customHeight="1" thickBot="1" x14ac:dyDescent="0.3">
      <c r="B59" s="391"/>
      <c r="C59" s="391"/>
      <c r="D59" s="391"/>
      <c r="E59" s="391"/>
      <c r="F59" s="391"/>
      <c r="G59" s="391"/>
      <c r="H59" s="391"/>
      <c r="I59" s="391"/>
    </row>
    <row r="60" spans="2:9" ht="24" thickBot="1" x14ac:dyDescent="0.4">
      <c r="B60" s="397" t="str">
        <f>IF(G12="School", "This Section Does Not Apply to School Districts", "Recovery of Forgone Amounts:")</f>
        <v>Recovery of Forgone Amounts:</v>
      </c>
      <c r="C60" s="398"/>
      <c r="D60" s="398"/>
      <c r="E60" s="398"/>
      <c r="F60" s="398"/>
      <c r="G60" s="398"/>
      <c r="H60" s="398"/>
      <c r="I60" s="399"/>
    </row>
    <row r="61" spans="2:9" ht="15.75" customHeight="1" x14ac:dyDescent="0.25">
      <c r="B61" s="385" t="s">
        <v>1068</v>
      </c>
      <c r="C61" s="386"/>
      <c r="D61" s="386"/>
      <c r="E61" s="386"/>
      <c r="F61" s="386"/>
      <c r="G61" s="387"/>
      <c r="H61" s="400" cm="1">
        <f t="array" ref="H61">IFERROR(IF(DistrictName=0,0,
         INDEX(DataDump!$I$1:$I$1202,
               MATCH(1,(G26=DataDump!$C$1:$C$1202)*(DistrictName=DataDump!$G$1:$G$1202),0))),"")</f>
        <v>0</v>
      </c>
      <c r="I61" s="401"/>
    </row>
    <row r="62" spans="2:9" x14ac:dyDescent="0.25">
      <c r="B62" s="395" t="str">
        <f>IF(G12="School",
    "Not applicable to school districts",
    IF(SCOstatus="No",
       "Forgone amounts cannot be recovered when non-compliant with SCO",
       IF(H61=0,"",
          "Will the district use its forgone balance to increase this year's budget?")))</f>
        <v/>
      </c>
      <c r="C62" s="396"/>
      <c r="D62" s="396"/>
      <c r="E62" s="396"/>
      <c r="F62" s="396"/>
      <c r="G62" s="396"/>
      <c r="H62" s="283"/>
      <c r="I62" s="284"/>
    </row>
    <row r="63" spans="2:9" x14ac:dyDescent="0.25">
      <c r="B63" s="271" t="s">
        <v>1152</v>
      </c>
      <c r="C63" s="272"/>
      <c r="D63" s="272"/>
      <c r="E63" s="272"/>
      <c r="F63" s="272"/>
      <c r="G63" s="272"/>
      <c r="H63" s="275" t="e">
        <f>IF('1. Dashboard'!G13="School", 0, MAX(ROUND(MIN($H$61,'2. L-2 Worksheet'!$G$61*0.01),0),0))</f>
        <v>#VALUE!</v>
      </c>
      <c r="I63" s="276"/>
    </row>
    <row r="64" spans="2:9" x14ac:dyDescent="0.25">
      <c r="B64" s="271" t="s">
        <v>1153</v>
      </c>
      <c r="C64" s="272"/>
      <c r="D64" s="272"/>
      <c r="E64" s="272"/>
      <c r="F64" s="272"/>
      <c r="G64" s="272"/>
      <c r="H64" s="273"/>
      <c r="I64" s="274"/>
    </row>
    <row r="65" spans="2:9" x14ac:dyDescent="0.25">
      <c r="B65" s="271" t="s">
        <v>1087</v>
      </c>
      <c r="C65" s="272"/>
      <c r="D65" s="272"/>
      <c r="E65" s="272"/>
      <c r="F65" s="272"/>
      <c r="G65" s="272"/>
      <c r="H65" s="275" t="e">
        <f>IF(DistrictType="School",0,
    ROUND(MIN($H$61-$H$64,'2. L-2 Worksheet'!$G$61*0.03),0))</f>
        <v>#VALUE!</v>
      </c>
      <c r="I65" s="276"/>
    </row>
    <row r="66" spans="2:9" x14ac:dyDescent="0.25">
      <c r="B66" s="271" t="s">
        <v>1072</v>
      </c>
      <c r="C66" s="272"/>
      <c r="D66" s="272"/>
      <c r="E66" s="272"/>
      <c r="F66" s="272"/>
      <c r="G66" s="272"/>
      <c r="H66" s="273"/>
      <c r="I66" s="274"/>
    </row>
    <row r="67" spans="2:9" ht="16.5" thickBot="1" x14ac:dyDescent="0.3">
      <c r="B67" s="381" t="str">
        <f>IF(SCOstatus="Yes","Please complete and submit a resolution to recover forgone","")</f>
        <v>Please complete and submit a resolution to recover forgone</v>
      </c>
      <c r="C67" s="382"/>
      <c r="D67" s="382"/>
      <c r="E67" s="382"/>
      <c r="F67" s="382"/>
      <c r="G67" s="382"/>
      <c r="H67" s="382"/>
      <c r="I67" s="383"/>
    </row>
    <row r="68" spans="2:9" ht="20.25" customHeight="1" thickBot="1" x14ac:dyDescent="0.3">
      <c r="B68" s="384"/>
      <c r="C68" s="384"/>
      <c r="D68" s="384"/>
      <c r="E68" s="384"/>
      <c r="F68" s="384"/>
      <c r="G68" s="384"/>
      <c r="H68" s="384"/>
      <c r="I68" s="384"/>
    </row>
    <row r="69" spans="2:9" ht="24" customHeight="1" x14ac:dyDescent="0.25">
      <c r="B69" s="378" t="s">
        <v>1144</v>
      </c>
      <c r="C69" s="379"/>
      <c r="D69" s="379"/>
      <c r="E69" s="379"/>
      <c r="F69" s="379"/>
      <c r="G69" s="379"/>
      <c r="H69" s="379"/>
      <c r="I69" s="380"/>
    </row>
    <row r="70" spans="2:9" ht="50.25" customHeight="1" x14ac:dyDescent="0.25">
      <c r="B70" s="375" t="str">
        <f>IF(SCOstatus="No","This district is out of compliance with the local govt registry of the State Controller's Office (SCO) 
and property tax budget increases are not allowed","This section summarizes the allowable increases from the highest non-exempt property tax budget 
of the last 3 years (including replacements but not solar farm tax)
(see 'L-2 worksheet' tab for calculation detail)")</f>
        <v>This section summarizes the allowable increases from the highest non-exempt property tax budget 
of the last 3 years (including replacements but not solar farm tax)
(see 'L-2 worksheet' tab for calculation detail)</v>
      </c>
      <c r="C70" s="376"/>
      <c r="D70" s="376"/>
      <c r="E70" s="376"/>
      <c r="F70" s="376"/>
      <c r="G70" s="376"/>
      <c r="H70" s="376"/>
      <c r="I70" s="377"/>
    </row>
    <row r="71" spans="2:9" ht="18" customHeight="1" x14ac:dyDescent="0.25">
      <c r="B71" s="277" t="str">
        <f>IF(SCOstatus="No",
    "Base budget increase (3%) disallowed",
    "Base budget increase selected (up to 3% selected above)")</f>
        <v>Base budget increase selected (up to 3% selected above)</v>
      </c>
      <c r="C71" s="278"/>
      <c r="D71" s="278"/>
      <c r="E71" s="278"/>
      <c r="F71" s="278"/>
      <c r="G71" s="279"/>
      <c r="H71" s="168">
        <f>$H$21</f>
        <v>0.03</v>
      </c>
      <c r="I71" s="165" t="str">
        <f>IF(DistrictName=0,"",
IF(SCOstatus="No",ThreePercentIncrease,
SelectedBudgetIncrease))</f>
        <v/>
      </c>
    </row>
    <row r="72" spans="2:9" ht="18" customHeight="1" x14ac:dyDescent="0.25">
      <c r="B72" s="277" t="s">
        <v>1145</v>
      </c>
      <c r="C72" s="278"/>
      <c r="D72" s="278"/>
      <c r="E72" s="278"/>
      <c r="F72" s="278"/>
      <c r="G72" s="279"/>
      <c r="H72" s="164" t="str">
        <f t="shared" ref="H72:H80" si="0">IFERROR(ROUND(I72/HighestofLast3yrs,4),"")</f>
        <v/>
      </c>
      <c r="I72" s="165" t="str">
        <f>IF(DistrictName=0,"",
 IF(SCOstatus="No",'2. L-2 Worksheet'!H41,
    NewConstructionBudgetIncrease))</f>
        <v/>
      </c>
    </row>
    <row r="73" spans="2:9" ht="18" customHeight="1" x14ac:dyDescent="0.25">
      <c r="B73" s="277" t="str">
        <f>IF($H$30&lt;&gt;"Yes","",
    IF(OR(DistrictType="Fire",DistrictType="Ambulance"),
       "Annexation budget increase subject to 15% cap",
       "Annexation budget increase subject to 8% cap"))</f>
        <v/>
      </c>
      <c r="C73" s="278"/>
      <c r="D73" s="278"/>
      <c r="E73" s="278"/>
      <c r="F73" s="278"/>
      <c r="G73" s="279"/>
      <c r="H73" s="164" t="str">
        <f>IF($H$30&lt;&gt;"Yes","",
    IFERROR(ROUND(I73/HighestofLast3yrs,4),""))</f>
        <v/>
      </c>
      <c r="I73" s="165" t="str">
        <f>IF(DistrictName=0,"",
 IF($H$30&lt;&gt;"Yes","",
 IF(SCOstatus="No",'2. L-2 Worksheet'!H47,
    IF($H$30="Yes",AnnexationBudgetIncreaseCapped,""))))</f>
        <v/>
      </c>
    </row>
    <row r="74" spans="2:9" ht="18" customHeight="1" x14ac:dyDescent="0.25">
      <c r="B74" s="277" t="str">
        <f>IF(OR(DistrictType="Fire",DistrictType="Ambulance"),
    "Effect of 15% cap on new construction &amp; annexation increases",
    "Effect of 8% cap on new construction &amp; annexation increases")</f>
        <v>Effect of 8% cap on new construction &amp; annexation increases</v>
      </c>
      <c r="C74" s="278"/>
      <c r="D74" s="278"/>
      <c r="E74" s="278"/>
      <c r="F74" s="278"/>
      <c r="G74" s="279"/>
      <c r="H74" s="164" t="str">
        <f t="shared" si="0"/>
        <v/>
      </c>
      <c r="I74" s="165" t="str">
        <f>IFERROR(IF(DistrictName=0,"",
            IF(SCOstatus="No",'2. L-2 Worksheet'!H51,
               ReductionByPercentCap)),0)</f>
        <v/>
      </c>
    </row>
    <row r="75" spans="2:9" ht="18" customHeight="1" x14ac:dyDescent="0.25">
      <c r="B75" s="277" t="str">
        <f>IF($H$39&lt;&gt;"Yes","","Terminating Urban Renewal allowable increase")</f>
        <v/>
      </c>
      <c r="C75" s="278"/>
      <c r="D75" s="278"/>
      <c r="E75" s="278"/>
      <c r="F75" s="278"/>
      <c r="G75" s="279"/>
      <c r="H75" s="164" t="str">
        <f>IF($H$39&lt;&gt;"Yes","",
    IFERROR(ROUND(I75/HighestofLast3yrs,4),""))</f>
        <v/>
      </c>
      <c r="I75" s="165" t="str">
        <f>IF(DistrictName=0,"",
 IF($H$39&lt;&gt;"Yes","",
 IF(SCOstatus="No",'2. L-2 Worksheet'!H56,
    IF(H39="Yes",URbudgetIncrease,""))))</f>
        <v/>
      </c>
    </row>
    <row r="76" spans="2:9" ht="18" customHeight="1" x14ac:dyDescent="0.25">
      <c r="B76" s="277" t="str">
        <f>IF($H$30="Yes",
    IF(DistrictType="Library","Annexation budget increase from another library district (uncapped)",
    IF(DistrictType="Fire",   "Annexation budget increase from another fire district (uncapped)",
    "")),"")</f>
        <v/>
      </c>
      <c r="C76" s="278"/>
      <c r="D76" s="278"/>
      <c r="E76" s="278"/>
      <c r="F76" s="278"/>
      <c r="G76" s="279"/>
      <c r="H76" s="164" t="str">
        <f>IF(AND($H$30="Yes",
        OR(DistrictType="Fire",DistrictType="Library")),
    IFERROR(ROUND(I76/HighestofLast3yrs,4),""),"")</f>
        <v/>
      </c>
      <c r="I76" s="165" t="str">
        <f>IF(DistrictName=0,"",
 IF(AND(DistrictType&lt;&gt;"Fire",DistrictType&lt;&gt;"Library"),"",
    IF(SCOstatus="No",'2. L-2 Worksheet'!H60,
    IF(H30="Yes",AnnexationBudgetIncreaseUncapped,""))))</f>
        <v/>
      </c>
    </row>
    <row r="77" spans="2:9" ht="18" customHeight="1" x14ac:dyDescent="0.25">
      <c r="B77" s="277" t="str">
        <f>IF($H$47="Yes","Effect of changing solar farm tax revenue","")</f>
        <v/>
      </c>
      <c r="C77" s="278"/>
      <c r="D77" s="278"/>
      <c r="E77" s="278"/>
      <c r="F77" s="278"/>
      <c r="G77" s="279"/>
      <c r="H77" s="164" t="str">
        <f t="shared" si="0"/>
        <v/>
      </c>
      <c r="I77" s="165" t="str">
        <f>IF($H$47="Yes",
      IF('2. L-2 Worksheet'!G13=MAX('2. L-2 Worksheet'!C13:G13),'2. L-2 Worksheet'!G11-'2. L-2 Worksheet'!E78,
      IF('2. L-2 Worksheet'!E13=MAX('2. L-2 Worksheet'!C13:G13),'2. L-2 Worksheet'!E11-'2. L-2 Worksheet'!E78,
      IF('2. L-2 Worksheet'!C13=MAX('2. L-2 Worksheet'!C13:G13),'2. L-2 Worksheet'!C11-'2. L-2 Worksheet'!E78))),"")</f>
        <v/>
      </c>
    </row>
    <row r="78" spans="2:9" ht="18" customHeight="1" x14ac:dyDescent="0.25">
      <c r="B78" s="277" t="str">
        <f>"Effect of changing kWh/therms tax revenue"</f>
        <v>Effect of changing kWh/therms tax revenue</v>
      </c>
      <c r="C78" s="278"/>
      <c r="D78" s="278"/>
      <c r="E78" s="278"/>
      <c r="F78" s="278"/>
      <c r="G78" s="279"/>
      <c r="H78" s="164" t="str">
        <f t="shared" si="0"/>
        <v/>
      </c>
      <c r="I78" s="165" t="str">
        <f>IF(DistrictName=0,"",
    -H58)</f>
        <v/>
      </c>
    </row>
    <row r="79" spans="2:9" ht="18" customHeight="1" x14ac:dyDescent="0.25">
      <c r="B79" s="277" t="s">
        <v>1165</v>
      </c>
      <c r="C79" s="278"/>
      <c r="D79" s="278"/>
      <c r="E79" s="278"/>
      <c r="F79" s="278"/>
      <c r="G79" s="279"/>
      <c r="H79" s="164" t="str">
        <f t="shared" si="0"/>
        <v/>
      </c>
      <c r="I79" s="165" t="str">
        <f>IF(DistrictName=0,"",
    SUM(-H50,-H52,-H54))</f>
        <v/>
      </c>
    </row>
    <row r="80" spans="2:9" ht="18" customHeight="1" x14ac:dyDescent="0.25">
      <c r="B80" s="277" t="str">
        <f>IF(DistrictType="City","Budget reduction if city annexed into fire district","")</f>
        <v/>
      </c>
      <c r="C80" s="278"/>
      <c r="D80" s="278"/>
      <c r="E80" s="278"/>
      <c r="F80" s="278"/>
      <c r="G80" s="279"/>
      <c r="H80" s="164" t="str">
        <f t="shared" si="0"/>
        <v/>
      </c>
      <c r="I80" s="165" t="str">
        <f>IF(G12="City",-('2. L-2 Worksheet'!G81),"")</f>
        <v/>
      </c>
    </row>
    <row r="81" spans="2:9" ht="31.5" customHeight="1" x14ac:dyDescent="0.25">
      <c r="B81" s="366" t="str">
        <f>IF($H$62="Yes","Extra increase to the maximum budget from forgone amounts 
      (Maintenance &amp; Operations)","")</f>
        <v/>
      </c>
      <c r="C81" s="367"/>
      <c r="D81" s="367"/>
      <c r="E81" s="367"/>
      <c r="F81" s="367"/>
      <c r="G81" s="374"/>
      <c r="H81" s="164" t="str">
        <f>IF($H$62="Yes",
    IFERROR(IF($G$12="School","",
               ROUND(I81/'2. L-2 Worksheet'!$G$61,4)),""),
    "")</f>
        <v/>
      </c>
      <c r="I81" s="165" t="str">
        <f>IF($G$12="School","",
 IF($H$62="Yes",'2. L-2 Worksheet'!E64,""))</f>
        <v/>
      </c>
    </row>
    <row r="82" spans="2:9" ht="31.5" customHeight="1" x14ac:dyDescent="0.25">
      <c r="B82" s="366" t="str">
        <f>IF($H$62="Yes","Extra increase to the maximum budget from forgone amounts 
      (Capital Projects)","")</f>
        <v/>
      </c>
      <c r="C82" s="367"/>
      <c r="D82" s="367"/>
      <c r="E82" s="367"/>
      <c r="F82" s="367"/>
      <c r="G82" s="374"/>
      <c r="H82" s="164" t="str">
        <f>IF($H$62="Yes",
    IFERROR(IF($G$12="School","",
               ROUND(I82/'2. L-2 Worksheet'!$G$61,4)),""),
    "")</f>
        <v/>
      </c>
      <c r="I82" s="165" t="str">
        <f>IF($G$12="School","",
 IF($H$62="Yes",'2. L-2 Worksheet'!E65,""))</f>
        <v/>
      </c>
    </row>
    <row r="83" spans="2:9" ht="18" customHeight="1" thickBot="1" x14ac:dyDescent="0.3">
      <c r="B83" s="371" t="s">
        <v>1164</v>
      </c>
      <c r="C83" s="372"/>
      <c r="D83" s="372"/>
      <c r="E83" s="372"/>
      <c r="F83" s="372"/>
      <c r="G83" s="373"/>
      <c r="H83" s="166" t="str">
        <f>IFERROR(ROUND(I83/HighestofLast3yrs,4),"")</f>
        <v/>
      </c>
      <c r="I83" s="167" t="str">
        <f>IF(DistrictName=0,"",
    SUM(I71:I82))</f>
        <v/>
      </c>
    </row>
    <row r="84" spans="2:9" ht="22.5" customHeight="1" thickBot="1" x14ac:dyDescent="0.3">
      <c r="B84" s="255" t="s">
        <v>1333</v>
      </c>
      <c r="C84" s="256"/>
      <c r="D84" s="256"/>
      <c r="E84" s="256"/>
      <c r="F84" s="256"/>
      <c r="G84" s="257"/>
      <c r="H84" s="231" t="str">
        <f>IF(DistrictName="","",
    ROUND($I$84/HighestofLast3yrs,4))</f>
        <v/>
      </c>
      <c r="I84" s="230" t="str">
        <f>IF(DistrictName="","",
    IF(SCOstatus&lt;&gt;"No",0,
       SUM('2. L-2 Worksheet'!H19,
           '2. L-2 Worksheet'!H41,
           '2. L-2 Worksheet'!H47,
           '2. L-2 Worksheet'!H51,
           '2. L-2 Worksheet'!H56,
           '2. L-2 Worksheet'!H60)))</f>
        <v/>
      </c>
    </row>
  </sheetData>
  <sheetProtection algorithmName="SHA-512" hashValue="ozeKZJOK5Z7sbFyvTMrpZA3ev501+kk/hix9c63UyXxS1JNahvw9oYiYonvG8JCMVK44WzOP2YPdfHIb2Y9u9g==" saltValue="NbHEyikjHHGq+vMCXgMZsg==" spinCount="100000" sheet="1" selectLockedCells="1"/>
  <protectedRanges>
    <protectedRange sqref="H69:H70 H21:H49 H55:H57 G14 G10:I13 G15:I19" name="Range1"/>
  </protectedRanges>
  <mergeCells count="130">
    <mergeCell ref="B36:F36"/>
    <mergeCell ref="B47:G47"/>
    <mergeCell ref="H47:I47"/>
    <mergeCell ref="B46:I46"/>
    <mergeCell ref="H40:I40"/>
    <mergeCell ref="B39:G39"/>
    <mergeCell ref="B49:G49"/>
    <mergeCell ref="H49:I49"/>
    <mergeCell ref="B52:G52"/>
    <mergeCell ref="H52:I52"/>
    <mergeCell ref="B48:G48"/>
    <mergeCell ref="H48:I48"/>
    <mergeCell ref="B50:G50"/>
    <mergeCell ref="H50:I50"/>
    <mergeCell ref="B51:G51"/>
    <mergeCell ref="H51:I51"/>
    <mergeCell ref="B45:I45"/>
    <mergeCell ref="B41:G41"/>
    <mergeCell ref="H41:I41"/>
    <mergeCell ref="B40:G40"/>
    <mergeCell ref="B68:I68"/>
    <mergeCell ref="B61:G61"/>
    <mergeCell ref="B54:G54"/>
    <mergeCell ref="H54:I54"/>
    <mergeCell ref="B59:I59"/>
    <mergeCell ref="B55:I55"/>
    <mergeCell ref="B56:I56"/>
    <mergeCell ref="B57:I57"/>
    <mergeCell ref="B62:G62"/>
    <mergeCell ref="H62:I62"/>
    <mergeCell ref="B60:I60"/>
    <mergeCell ref="H61:I61"/>
    <mergeCell ref="B58:G58"/>
    <mergeCell ref="H58:I58"/>
    <mergeCell ref="B28:F28"/>
    <mergeCell ref="B29:F29"/>
    <mergeCell ref="B33:F33"/>
    <mergeCell ref="B31:F31"/>
    <mergeCell ref="B35:F35"/>
    <mergeCell ref="H34:I34"/>
    <mergeCell ref="B14:F14"/>
    <mergeCell ref="G14:I14"/>
    <mergeCell ref="B83:G83"/>
    <mergeCell ref="B80:G80"/>
    <mergeCell ref="B81:G81"/>
    <mergeCell ref="B82:G82"/>
    <mergeCell ref="B73:G73"/>
    <mergeCell ref="B75:G75"/>
    <mergeCell ref="B74:G74"/>
    <mergeCell ref="B77:G77"/>
    <mergeCell ref="B79:G79"/>
    <mergeCell ref="B78:G78"/>
    <mergeCell ref="B76:G76"/>
    <mergeCell ref="B72:G72"/>
    <mergeCell ref="B63:G63"/>
    <mergeCell ref="B70:I70"/>
    <mergeCell ref="B69:I69"/>
    <mergeCell ref="B67:I67"/>
    <mergeCell ref="B11:F11"/>
    <mergeCell ref="G11:I11"/>
    <mergeCell ref="B13:F13"/>
    <mergeCell ref="G13:I13"/>
    <mergeCell ref="H43:I43"/>
    <mergeCell ref="H39:I39"/>
    <mergeCell ref="B44:I44"/>
    <mergeCell ref="G18:I18"/>
    <mergeCell ref="C18:E18"/>
    <mergeCell ref="C17:E17"/>
    <mergeCell ref="B15:I15"/>
    <mergeCell ref="E16:F16"/>
    <mergeCell ref="G16:I16"/>
    <mergeCell ref="G17:I17"/>
    <mergeCell ref="B20:I20"/>
    <mergeCell ref="H23:I23"/>
    <mergeCell ref="H31:I31"/>
    <mergeCell ref="B37:F37"/>
    <mergeCell ref="H36:I36"/>
    <mergeCell ref="B38:F38"/>
    <mergeCell ref="H37:I37"/>
    <mergeCell ref="H38:I38"/>
    <mergeCell ref="H33:I33"/>
    <mergeCell ref="B34:F34"/>
    <mergeCell ref="B2:I3"/>
    <mergeCell ref="B6:I6"/>
    <mergeCell ref="B4:G4"/>
    <mergeCell ref="H4:I4"/>
    <mergeCell ref="B30:G30"/>
    <mergeCell ref="H30:I30"/>
    <mergeCell ref="B10:F10"/>
    <mergeCell ref="G10:I10"/>
    <mergeCell ref="H27:I27"/>
    <mergeCell ref="H29:I29"/>
    <mergeCell ref="G19:I19"/>
    <mergeCell ref="C19:E19"/>
    <mergeCell ref="B22:F22"/>
    <mergeCell ref="B23:F23"/>
    <mergeCell ref="B24:F24"/>
    <mergeCell ref="B25:F25"/>
    <mergeCell ref="H22:I22"/>
    <mergeCell ref="B7:I7"/>
    <mergeCell ref="B8:I9"/>
    <mergeCell ref="B12:F12"/>
    <mergeCell ref="H5:I5"/>
    <mergeCell ref="B5:G5"/>
    <mergeCell ref="B27:F27"/>
    <mergeCell ref="G12:I12"/>
    <mergeCell ref="B84:G84"/>
    <mergeCell ref="H21:I21"/>
    <mergeCell ref="B21:G21"/>
    <mergeCell ref="H24:I24"/>
    <mergeCell ref="H25:I25"/>
    <mergeCell ref="H26:I26"/>
    <mergeCell ref="H28:I28"/>
    <mergeCell ref="B26:F26"/>
    <mergeCell ref="B32:F32"/>
    <mergeCell ref="B64:G64"/>
    <mergeCell ref="H64:I64"/>
    <mergeCell ref="H63:I63"/>
    <mergeCell ref="H65:I65"/>
    <mergeCell ref="B65:G65"/>
    <mergeCell ref="B66:G66"/>
    <mergeCell ref="H66:I66"/>
    <mergeCell ref="B71:G71"/>
    <mergeCell ref="B53:G53"/>
    <mergeCell ref="H53:I53"/>
    <mergeCell ref="B42:G42"/>
    <mergeCell ref="B43:G43"/>
    <mergeCell ref="H42:I42"/>
    <mergeCell ref="H32:I32"/>
    <mergeCell ref="H35:I35"/>
  </mergeCells>
  <conditionalFormatting sqref="B14 G14 B15:I19 B20 B21:I21 B22:G30 B31:B32 G31:G32 B33:G34 B35:B37 G35:G37 B38:G43 B44 B47:G58 B59 H71 B71:B84">
    <cfRule type="expression" dxfId="169" priority="13">
      <formula>$G$13=""</formula>
    </cfRule>
  </conditionalFormatting>
  <conditionalFormatting sqref="B28 G28:I28">
    <cfRule type="expression" dxfId="168" priority="185">
      <formula>$F$18="No"</formula>
    </cfRule>
    <cfRule type="expression" dxfId="167" priority="176">
      <formula>AND($F$17="NO",$F$18="YES")</formula>
    </cfRule>
  </conditionalFormatting>
  <conditionalFormatting sqref="B29 G29:I29">
    <cfRule type="expression" dxfId="166" priority="177">
      <formula>AND($F$18="NO", $F$19="YES")</formula>
    </cfRule>
    <cfRule type="expression" dxfId="165" priority="186">
      <formula>$F$19="No"</formula>
    </cfRule>
  </conditionalFormatting>
  <conditionalFormatting sqref="B38">
    <cfRule type="expression" dxfId="164" priority="174">
      <formula>AND($F$17="NO", $F$18="YES")</formula>
    </cfRule>
  </conditionalFormatting>
  <conditionalFormatting sqref="B48">
    <cfRule type="expression" dxfId="163" priority="128">
      <formula>$H$47&lt;&gt;"Yes"</formula>
    </cfRule>
  </conditionalFormatting>
  <conditionalFormatting sqref="B50">
    <cfRule type="expression" dxfId="162" priority="137">
      <formula>$H$49&lt;&gt;"Yes"</formula>
    </cfRule>
  </conditionalFormatting>
  <conditionalFormatting sqref="B12:F13 B14">
    <cfRule type="expression" dxfId="161" priority="78">
      <formula>$G$11=""</formula>
    </cfRule>
  </conditionalFormatting>
  <conditionalFormatting sqref="B32:F32">
    <cfRule type="expression" dxfId="160" priority="9">
      <formula>$H$30="Yes"</formula>
    </cfRule>
    <cfRule type="expression" dxfId="159" priority="10">
      <formula>OR(DistrictType="Library",DistrictType="Fire")</formula>
    </cfRule>
  </conditionalFormatting>
  <conditionalFormatting sqref="B37:F37">
    <cfRule type="expression" dxfId="158" priority="2">
      <formula>AND($H$30="Yes",OR(DistrictType="Library",DistrictType="Fire"))</formula>
    </cfRule>
  </conditionalFormatting>
  <conditionalFormatting sqref="B38:F38">
    <cfRule type="expression" dxfId="157" priority="8">
      <formula>AND($H$30="Yes",OR(DistrictType="Library",DistrictType="Fire"))</formula>
    </cfRule>
  </conditionalFormatting>
  <conditionalFormatting sqref="B21:G21">
    <cfRule type="expression" dxfId="156" priority="41">
      <formula>SCOstatus="No"</formula>
    </cfRule>
  </conditionalFormatting>
  <conditionalFormatting sqref="B33:G34 B38:G38 G35:G37 B31:B32 G31:G32 B35:B37">
    <cfRule type="expression" dxfId="155" priority="178">
      <formula>$H$30&lt;&gt;"Yes"</formula>
    </cfRule>
  </conditionalFormatting>
  <conditionalFormatting sqref="B39:G39">
    <cfRule type="expression" dxfId="154" priority="100">
      <formula>OR($H$30="", AND($H$30="Yes",$H$31="",$H$32="",$H$33="",$H$34="",$H$35="",$H$36="",$H$37="",$H$38=""))</formula>
    </cfRule>
  </conditionalFormatting>
  <conditionalFormatting sqref="B40:G41">
    <cfRule type="expression" dxfId="153" priority="96">
      <formula>$H$39&lt;&gt;"Yes"</formula>
    </cfRule>
  </conditionalFormatting>
  <conditionalFormatting sqref="B42:G42">
    <cfRule type="expression" dxfId="152" priority="109">
      <formula>OR(AND($H$39="",SCOstatus="Yes"),AND($H$39="Yes",$H$40=0))</formula>
    </cfRule>
    <cfRule type="expression" dxfId="151" priority="46">
      <formula>AND(SCOstatus="No",DistrictType&lt;&gt;"City")</formula>
    </cfRule>
  </conditionalFormatting>
  <conditionalFormatting sqref="B43:G43">
    <cfRule type="expression" dxfId="150" priority="48">
      <formula>AND(SCOstatus="No",DistrictType&lt;&gt;"City")</formula>
    </cfRule>
  </conditionalFormatting>
  <conditionalFormatting sqref="B47:G47 B58:G58">
    <cfRule type="expression" dxfId="149" priority="330">
      <formula>OR($H$39="",AND($H$39="Yes",$H$40=0,$H$41=0))</formula>
    </cfRule>
  </conditionalFormatting>
  <conditionalFormatting sqref="B49:G49">
    <cfRule type="expression" dxfId="148" priority="117">
      <formula>OR($H$47="",AND($H$47="Yes",$H$48=0))</formula>
    </cfRule>
  </conditionalFormatting>
  <conditionalFormatting sqref="B51:G51">
    <cfRule type="expression" dxfId="147" priority="61">
      <formula>OR($H$49="", AND($H$49="Yes",$H$50=0))</formula>
    </cfRule>
  </conditionalFormatting>
  <conditionalFormatting sqref="B52:G52">
    <cfRule type="expression" dxfId="146" priority="63">
      <formula>$H$51&lt;&gt;"Yes"</formula>
    </cfRule>
  </conditionalFormatting>
  <conditionalFormatting sqref="B53:G53">
    <cfRule type="expression" dxfId="145" priority="104">
      <formula>OR($H$51="", AND($H$51="Yes",$H$52=0))</formula>
    </cfRule>
  </conditionalFormatting>
  <conditionalFormatting sqref="B54:G54">
    <cfRule type="expression" dxfId="144" priority="107">
      <formula>$H$53&lt;&gt;"Yes"</formula>
    </cfRule>
  </conditionalFormatting>
  <conditionalFormatting sqref="B61:G66 H65 B81:G82">
    <cfRule type="expression" dxfId="143" priority="68">
      <formula>DistrictType="School"</formula>
    </cfRule>
  </conditionalFormatting>
  <conditionalFormatting sqref="B62:G62">
    <cfRule type="expression" dxfId="142" priority="76">
      <formula>OR($H$47="",$H$49="",$H$53="",$H$58="")</formula>
    </cfRule>
    <cfRule type="expression" dxfId="141" priority="83">
      <formula>OR($H$47="",$H$49="",$H$53="")</formula>
    </cfRule>
  </conditionalFormatting>
  <conditionalFormatting sqref="B73:G73">
    <cfRule type="expression" dxfId="140" priority="69">
      <formula>$H$30&lt;&gt;"Yes"</formula>
    </cfRule>
  </conditionalFormatting>
  <conditionalFormatting sqref="B18:I19">
    <cfRule type="expression" dxfId="139" priority="301">
      <formula>$F$17="NO"</formula>
    </cfRule>
  </conditionalFormatting>
  <conditionalFormatting sqref="B19:I19">
    <cfRule type="expression" dxfId="138" priority="151">
      <formula>$F$18="NO"</formula>
    </cfRule>
  </conditionalFormatting>
  <conditionalFormatting sqref="B67:I67">
    <cfRule type="expression" dxfId="137" priority="87">
      <formula>OR($H$62&lt;&gt;"Yes", AND($H$64=0,$H$66=0))</formula>
    </cfRule>
  </conditionalFormatting>
  <conditionalFormatting sqref="B71:I76">
    <cfRule type="expression" dxfId="136" priority="99">
      <formula>SCOstatus="No"</formula>
    </cfRule>
  </conditionalFormatting>
  <conditionalFormatting sqref="B76:I76">
    <cfRule type="expression" dxfId="135" priority="3">
      <formula>$H$30&lt;&gt;"Yes"</formula>
    </cfRule>
  </conditionalFormatting>
  <conditionalFormatting sqref="B84:I84">
    <cfRule type="expression" dxfId="134" priority="57">
      <formula>SCOstatus="Yes"</formula>
    </cfRule>
  </conditionalFormatting>
  <conditionalFormatting sqref="G14 G13:I13">
    <cfRule type="expression" dxfId="133" priority="380">
      <formula>DistrictType=""</formula>
    </cfRule>
  </conditionalFormatting>
  <conditionalFormatting sqref="G14">
    <cfRule type="expression" dxfId="132" priority="395">
      <formula>AND($G$14="No",DistrictType="School")</formula>
    </cfRule>
    <cfRule type="expression" dxfId="131" priority="396">
      <formula>DistrictType="School"</formula>
    </cfRule>
  </conditionalFormatting>
  <conditionalFormatting sqref="G24">
    <cfRule type="expression" dxfId="130" priority="164">
      <formula>AND($F$17="NO",$F$18="YES")</formula>
    </cfRule>
  </conditionalFormatting>
  <conditionalFormatting sqref="G31 G16:I16 B13:F13 B14 G22 G26">
    <cfRule type="expression" dxfId="129" priority="374">
      <formula>DistrictType=""</formula>
    </cfRule>
  </conditionalFormatting>
  <conditionalFormatting sqref="G35">
    <cfRule type="expression" dxfId="128" priority="19">
      <formula>DistrictType=""</formula>
    </cfRule>
  </conditionalFormatting>
  <conditionalFormatting sqref="G12:I13">
    <cfRule type="expression" dxfId="127" priority="77">
      <formula>$G$11=""</formula>
    </cfRule>
  </conditionalFormatting>
  <conditionalFormatting sqref="G23:I23 G27:I27">
    <cfRule type="expression" dxfId="126" priority="156">
      <formula>$F$17="No"</formula>
    </cfRule>
  </conditionalFormatting>
  <conditionalFormatting sqref="G24:I24">
    <cfRule type="expression" dxfId="125" priority="157">
      <formula>$F$18="No"</formula>
    </cfRule>
  </conditionalFormatting>
  <conditionalFormatting sqref="G25:I25 G38:I38">
    <cfRule type="expression" dxfId="124" priority="158">
      <formula>$F$19="No"</formula>
    </cfRule>
  </conditionalFormatting>
  <conditionalFormatting sqref="G31:I38">
    <cfRule type="expression" dxfId="123" priority="179">
      <formula>$H$30&lt;&gt;"Yes"</formula>
    </cfRule>
  </conditionalFormatting>
  <conditionalFormatting sqref="G32:I32">
    <cfRule type="expression" dxfId="122" priority="184">
      <formula>$F$17="No"</formula>
    </cfRule>
  </conditionalFormatting>
  <conditionalFormatting sqref="G33:I33 G37:I37 B33">
    <cfRule type="expression" dxfId="121" priority="108">
      <formula>AND($F$17="NO", $F$18="YES")</formula>
    </cfRule>
  </conditionalFormatting>
  <conditionalFormatting sqref="G33:I33">
    <cfRule type="expression" dxfId="120" priority="182">
      <formula>$F$18="No"</formula>
    </cfRule>
  </conditionalFormatting>
  <conditionalFormatting sqref="G34:I34">
    <cfRule type="expression" dxfId="119" priority="183">
      <formula>$F$19="No"</formula>
    </cfRule>
  </conditionalFormatting>
  <conditionalFormatting sqref="G36:I36">
    <cfRule type="expression" dxfId="118" priority="17">
      <formula>$F$17="No"</formula>
    </cfRule>
  </conditionalFormatting>
  <conditionalFormatting sqref="G37:I37">
    <cfRule type="expression" dxfId="117" priority="16">
      <formula>$F$18="No"</formula>
    </cfRule>
  </conditionalFormatting>
  <conditionalFormatting sqref="G38:I38 G34:I34 B34">
    <cfRule type="expression" dxfId="116" priority="175">
      <formula>AND($F$18="NO", $F$19="YES", $H$30="Yes")</formula>
    </cfRule>
  </conditionalFormatting>
  <conditionalFormatting sqref="H5">
    <cfRule type="cellIs" dxfId="115" priority="106" operator="greaterThan">
      <formula>0.03</formula>
    </cfRule>
  </conditionalFormatting>
  <conditionalFormatting sqref="H43">
    <cfRule type="expression" dxfId="114" priority="304">
      <formula>OR(AND($G$12&lt;&gt;"City",$G$12&lt;&gt;"School"),AND($G$12&lt;&gt;"School",$H$42&lt;&gt;"Yes"))</formula>
    </cfRule>
  </conditionalFormatting>
  <conditionalFormatting sqref="H48">
    <cfRule type="expression" dxfId="113" priority="125">
      <formula>$H$47&lt;&gt;"Yes"</formula>
    </cfRule>
  </conditionalFormatting>
  <conditionalFormatting sqref="H50">
    <cfRule type="expression" dxfId="112" priority="300">
      <formula>$H$49&lt;&gt;"Yes"</formula>
    </cfRule>
  </conditionalFormatting>
  <conditionalFormatting sqref="H52">
    <cfRule type="expression" dxfId="111" priority="64">
      <formula>$H$51&lt;&gt;"Yes"</formula>
    </cfRule>
  </conditionalFormatting>
  <conditionalFormatting sqref="H54">
    <cfRule type="expression" dxfId="110" priority="115">
      <formula>$H$53&lt;&gt;"Yes"</formula>
    </cfRule>
  </conditionalFormatting>
  <conditionalFormatting sqref="H62 H64 H66">
    <cfRule type="expression" dxfId="109" priority="1">
      <formula>$H$61=0</formula>
    </cfRule>
  </conditionalFormatting>
  <conditionalFormatting sqref="H62">
    <cfRule type="expression" dxfId="108" priority="66">
      <formula>OR($H$47="",$H$49="",$H$53="",$H$58="")</formula>
    </cfRule>
  </conditionalFormatting>
  <conditionalFormatting sqref="H63 B63:G66 H65 B81:I83">
    <cfRule type="expression" dxfId="107" priority="4">
      <formula>SCOstatus="No"</formula>
    </cfRule>
  </conditionalFormatting>
  <conditionalFormatting sqref="H63 B63:G66 H65">
    <cfRule type="expression" dxfId="106" priority="86">
      <formula>OR($H$62&lt;&gt;"Yes",$H$61="N/A")</formula>
    </cfRule>
  </conditionalFormatting>
  <conditionalFormatting sqref="H63">
    <cfRule type="expression" dxfId="105" priority="82">
      <formula>DistrictType="School"</formula>
    </cfRule>
  </conditionalFormatting>
  <conditionalFormatting sqref="H64 H66">
    <cfRule type="expression" dxfId="104" priority="81">
      <formula>SUM($H$64,$H$66)&gt;$H$61</formula>
    </cfRule>
    <cfRule type="expression" dxfId="103" priority="74">
      <formula>OR($H$62&lt;&gt;"Yes",$H$61="N/A")</formula>
    </cfRule>
  </conditionalFormatting>
  <conditionalFormatting sqref="H64">
    <cfRule type="expression" dxfId="102" priority="84">
      <formula>$H$64&gt;$H$63</formula>
    </cfRule>
  </conditionalFormatting>
  <conditionalFormatting sqref="H66">
    <cfRule type="expression" dxfId="101" priority="85">
      <formula>$H$66&gt;$H$65</formula>
    </cfRule>
  </conditionalFormatting>
  <conditionalFormatting sqref="H15:I19 H22:I43 H47:I58">
    <cfRule type="expression" dxfId="100" priority="18">
      <formula>$G$13=""</formula>
    </cfRule>
  </conditionalFormatting>
  <conditionalFormatting sqref="H21:I21">
    <cfRule type="expression" dxfId="99" priority="40">
      <formula>SCOstatus="No"</formula>
    </cfRule>
  </conditionalFormatting>
  <conditionalFormatting sqref="H22:I25">
    <cfRule type="expression" dxfId="98" priority="7">
      <formula>OR(DistrictType="Fire",DistrictType="Ambulance")</formula>
    </cfRule>
  </conditionalFormatting>
  <conditionalFormatting sqref="H24:I24">
    <cfRule type="expression" dxfId="97" priority="155">
      <formula>AND($F$17="NO",$F$18="YES")</formula>
    </cfRule>
  </conditionalFormatting>
  <conditionalFormatting sqref="H25:I25">
    <cfRule type="expression" dxfId="96" priority="154">
      <formula>AND($F$18="NO", $F$19="YES")</formula>
    </cfRule>
  </conditionalFormatting>
  <conditionalFormatting sqref="H31:I38">
    <cfRule type="expression" dxfId="95" priority="67">
      <formula>AND($H$30&lt;&gt;"Yes", OR($H$31&lt;&gt;0, $H$32&lt;&gt;0, $H$33&lt;&gt;0, $H$34&lt;&gt;0))</formula>
    </cfRule>
  </conditionalFormatting>
  <conditionalFormatting sqref="H35:I38">
    <cfRule type="expression" dxfId="94" priority="14">
      <formula>AND(DistrictType&lt;&gt;"Library",DistrictType&lt;&gt;"Fire")</formula>
    </cfRule>
  </conditionalFormatting>
  <conditionalFormatting sqref="H39:I39">
    <cfRule type="expression" dxfId="93" priority="148">
      <formula>OR($H$30="", AND($H$30="Yes",$H$31="",$H$32="",$H$33="",$H$34="",$H$35="",$H$36="",$H$37="",$H$38=""))</formula>
    </cfRule>
  </conditionalFormatting>
  <conditionalFormatting sqref="H40:I41">
    <cfRule type="expression" dxfId="92" priority="101">
      <formula>$H$39&lt;&gt;"Yes"</formula>
    </cfRule>
  </conditionalFormatting>
  <conditionalFormatting sqref="H42:I42">
    <cfRule type="expression" dxfId="91" priority="150">
      <formula>DistrictType&lt;&gt;"City"</formula>
    </cfRule>
    <cfRule type="expression" dxfId="90" priority="303">
      <formula>OR($G$12&lt;&gt;"City",AND($H$39="",SCOstatus="Yes"),AND($H$39="Yes",$H$40=0))</formula>
    </cfRule>
    <cfRule type="expression" dxfId="89" priority="39">
      <formula>AND(SCOstatus="No",DistrictType&lt;&gt;"City")</formula>
    </cfRule>
  </conditionalFormatting>
  <conditionalFormatting sqref="H43:I43">
    <cfRule type="expression" dxfId="88" priority="73">
      <formula>AND($H$42&lt;&gt;"Yes",$H$43&lt;&gt;0,$G$12&lt;&gt;"School")</formula>
    </cfRule>
    <cfRule type="expression" dxfId="87" priority="47">
      <formula>AND(SCOstatus="No",DistrictType&lt;&gt;"City")</formula>
    </cfRule>
    <cfRule type="expression" dxfId="86" priority="144">
      <formula>AND($G$12&lt;&gt;"City", $G$12&lt;&gt;"School")</formula>
    </cfRule>
  </conditionalFormatting>
  <conditionalFormatting sqref="H47:I47 H58:I58">
    <cfRule type="expression" dxfId="85" priority="308">
      <formula>OR($H$39="",AND($H$39="Yes",$H$40=0,$H$41=0))</formula>
    </cfRule>
  </conditionalFormatting>
  <conditionalFormatting sqref="H48:I48">
    <cfRule type="expression" dxfId="84" priority="120">
      <formula>AND($H$47&lt;&gt;"Yes",$H$48&lt;&gt;0)</formula>
    </cfRule>
  </conditionalFormatting>
  <conditionalFormatting sqref="H49:I49">
    <cfRule type="expression" dxfId="83" priority="170">
      <formula>OR($H$47="",AND($H$47="Yes",$H$48=0))</formula>
    </cfRule>
  </conditionalFormatting>
  <conditionalFormatting sqref="H50:I50">
    <cfRule type="expression" dxfId="82" priority="112">
      <formula>AND($H$49&lt;&gt;"Yes",$H$50&lt;&gt;0)</formula>
    </cfRule>
  </conditionalFormatting>
  <conditionalFormatting sqref="H51:I51">
    <cfRule type="expression" dxfId="81" priority="62">
      <formula>OR($H$49="", AND($H$49="Yes",$H$50=0))</formula>
    </cfRule>
  </conditionalFormatting>
  <conditionalFormatting sqref="H53:I53">
    <cfRule type="expression" dxfId="80" priority="105">
      <formula>OR($H$51="", AND($H$51="Yes",$H$52=0))</formula>
    </cfRule>
  </conditionalFormatting>
  <conditionalFormatting sqref="H61:I61">
    <cfRule type="expression" dxfId="79" priority="65">
      <formula>DistrictType="School"</formula>
    </cfRule>
  </conditionalFormatting>
  <conditionalFormatting sqref="H62:I62">
    <cfRule type="expression" dxfId="78" priority="11">
      <formula>SCOstatus="No"</formula>
    </cfRule>
  </conditionalFormatting>
  <conditionalFormatting sqref="H64:I64 H66:I66">
    <cfRule type="expression" dxfId="77" priority="56">
      <formula>SCOstatus="No"</formula>
    </cfRule>
  </conditionalFormatting>
  <conditionalFormatting sqref="H81:I82 H62 H64 H66">
    <cfRule type="expression" dxfId="76" priority="43">
      <formula>DistrictType="School"</formula>
    </cfRule>
  </conditionalFormatting>
  <dataValidations count="9">
    <dataValidation type="list" allowBlank="1" showInputMessage="1" showErrorMessage="1" sqref="G11:I11" xr:uid="{22F87364-6470-4332-B58E-4DA1532DC43A}">
      <formula1>CountyList</formula1>
    </dataValidation>
    <dataValidation type="decimal" allowBlank="1" showInputMessage="1" showErrorMessage="1" error="Base budget growth cannot exceed 3% per year." sqref="H21:I21" xr:uid="{9AE6548E-4294-440B-82B2-A2E300108230}">
      <formula1>0</formula1>
      <formula2>0.03</formula2>
    </dataValidation>
    <dataValidation type="list" allowBlank="1" showInputMessage="1" showErrorMessage="1" errorTitle="Error" error="This is a Yes/No question. Do not enter numbers in this field." sqref="H30:I30 G14:I14 H62:I62 H53:I53 H51:I51 H49:I49 H42:I42 H39:I39" xr:uid="{F8277A4B-F28F-4184-9A7C-EF784A67AFA9}">
      <formula1>"Yes,No"</formula1>
    </dataValidation>
    <dataValidation type="list" allowBlank="1" showInputMessage="1" showErrorMessage="1" sqref="G12:I12" xr:uid="{7DC747AE-29C2-4003-845F-9040ED2E8F62}">
      <formula1>DistTypeList2</formula1>
    </dataValidation>
    <dataValidation type="list" allowBlank="1" showInputMessage="1" showErrorMessage="1" sqref="G10:I11" xr:uid="{D5C34360-6E10-4764-978E-7F45F61EA16B}">
      <formula1>UserType</formula1>
    </dataValidation>
    <dataValidation type="whole" operator="lessThanOrEqual" allowBlank="1" showInputMessage="1" showErrorMessage="1" error="That amount either exceeds the district's forgone balance or the 3% cap on forgone amounts recovered for capital projects." sqref="H66:I66" xr:uid="{089E5830-D8C5-406F-A19B-5941A67EF9B6}">
      <formula1>H65</formula1>
    </dataValidation>
    <dataValidation type="whole" operator="lessThanOrEqual" allowBlank="1" showInputMessage="1" showErrorMessage="1" error="That amount either exceeds the district's forgone balance or the 1% cap on forgone amounts recovered for M&amp;O." sqref="H64:I64" xr:uid="{CDF4DC1D-17F6-4EA7-858F-6DD672C1E8E6}">
      <formula1>H63</formula1>
    </dataValidation>
    <dataValidation type="list" allowBlank="1" showInputMessage="1" showErrorMessage="1" sqref="G13:I13" xr:uid="{41046F58-3167-4ABE-A20F-A0F83116EB32}">
      <formula1>INDIRECT(SUBSTITUTE(SUBSTITUTE(G11&amp;G12,"w/","and ")," ",""))</formula1>
    </dataValidation>
    <dataValidation type="list" allowBlank="1" showInputMessage="1" showErrorMessage="1" errorTitle="Error" error="This is a Yes/No question. Do not enter numbers in this field." prompt="Ask your county clerk's office for the &quot;Recovered/Recaptured Property Tax and Refund List&quot; to complete this section. _x000a__x000a_If there are no amounts to be reported on that form, answer these questions with &quot;No.&quot;" sqref="H47:I47" xr:uid="{1FCCA230-57CF-469C-A96C-D88F5CC5BE0F}">
      <formula1>"Yes,No"</formula1>
    </dataValidation>
  </dataValidations>
  <printOptions horizontalCentered="1"/>
  <pageMargins left="0.45" right="0.45" top="0.5" bottom="0.5" header="0.3" footer="0.3"/>
  <pageSetup scale="85" fitToHeight="0" orientation="portrait" r:id="rId1"/>
  <rowBreaks count="1" manualBreakCount="1">
    <brk id="44"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0382-E85E-2848-97F8-E03A2B349A62}">
  <sheetPr codeName="Sheet8"/>
  <dimension ref="B1:K89"/>
  <sheetViews>
    <sheetView showGridLines="0" showZeros="0" zoomScale="90" zoomScaleNormal="90" workbookViewId="0">
      <selection activeCell="B1" sqref="B1:G1"/>
    </sheetView>
  </sheetViews>
  <sheetFormatPr defaultColWidth="8.75" defaultRowHeight="16.899999999999999" customHeight="1" x14ac:dyDescent="0.25"/>
  <cols>
    <col min="1" max="1" width="2.75" style="2" customWidth="1"/>
    <col min="2" max="2" width="72.625" style="2" customWidth="1"/>
    <col min="3" max="3" width="16.75" style="2" customWidth="1"/>
    <col min="4" max="4" width="5" style="2" customWidth="1"/>
    <col min="5" max="5" width="16.75" style="2" bestFit="1" customWidth="1"/>
    <col min="6" max="6" width="5" style="2" customWidth="1"/>
    <col min="7" max="7" width="21.25" style="2" customWidth="1"/>
    <col min="8" max="8" width="13.25" style="247" bestFit="1" customWidth="1"/>
    <col min="9" max="9" width="16.25" style="2" customWidth="1"/>
    <col min="10" max="11" width="12.25" style="2" bestFit="1" customWidth="1"/>
    <col min="12" max="16384" width="8.75" style="2"/>
  </cols>
  <sheetData>
    <row r="1" spans="2:11" ht="9.75" customHeight="1" thickBot="1" x14ac:dyDescent="0.3">
      <c r="B1" s="480"/>
      <c r="C1" s="480"/>
      <c r="D1" s="480"/>
      <c r="E1" s="480"/>
      <c r="F1" s="480"/>
      <c r="G1" s="480"/>
    </row>
    <row r="2" spans="2:11" ht="16.899999999999999" customHeight="1" thickBot="1" x14ac:dyDescent="0.3">
      <c r="B2" s="485" t="s">
        <v>1192</v>
      </c>
      <c r="C2" s="486"/>
      <c r="D2" s="486"/>
      <c r="E2" s="486"/>
      <c r="F2" s="486"/>
      <c r="G2" s="487"/>
    </row>
    <row r="3" spans="2:11" ht="16.899999999999999" customHeight="1" thickBot="1" x14ac:dyDescent="0.3">
      <c r="B3" s="438" t="str">
        <f>"District Name: "&amp;'1. Dashboard'!G13</f>
        <v xml:space="preserve">District Name: </v>
      </c>
      <c r="C3" s="439"/>
      <c r="D3" s="439"/>
      <c r="E3" s="439"/>
      <c r="F3" s="439"/>
      <c r="G3" s="440"/>
    </row>
    <row r="4" spans="2:11" ht="16.899999999999999" customHeight="1" x14ac:dyDescent="0.25">
      <c r="B4" s="189" t="s">
        <v>1191</v>
      </c>
      <c r="C4" s="436">
        <f>LEFT($B$15,4)-3</f>
        <v>2023</v>
      </c>
      <c r="D4" s="437"/>
      <c r="E4" s="436">
        <f>LEFT($B$15,4)-2</f>
        <v>2024</v>
      </c>
      <c r="F4" s="437"/>
      <c r="G4" s="190">
        <f>LEFT($B$15,4)-1</f>
        <v>2025</v>
      </c>
    </row>
    <row r="5" spans="2:11" ht="16.899999999999999" customHeight="1" x14ac:dyDescent="0.25">
      <c r="B5" s="191" t="str">
        <f>IF(DistrictType="School","Levied Amount for Tort","Non-exempt property tax budget")</f>
        <v>Non-exempt property tax budget</v>
      </c>
      <c r="C5" s="450" t="str" cm="1">
        <f t="array" ref="C5">IFERROR(ROUND(
   IF(DistrictName&lt;&gt;0,
      IF(DistrictType="School",
        MAX(C12-C6-C7-C8-C9-C10,0),
        INDEX(DataDump!AB1:AB1202,MATCH(1,(COUNTY1=DataDump!$C1:$C1202)*(DistrictName=DataDump!$G1:$G1202),0)))," "),0),"")</f>
        <v/>
      </c>
      <c r="D5" s="450"/>
      <c r="E5" s="448" t="str" cm="1">
        <f t="array" ref="E5">IFERROR(ROUND(
   IF(DistrictName&lt;&gt;0,
      IF(DistrictType="School",
        MAX(E12-E6-E7-E8-E9-E10,0),
        INDEX(DataDump!AC1:AC1202,MATCH(1,(COUNTY1=DataDump!$C1:$C1202)*(DistrictName=DataDump!$G1:$G1202),0)))," "),0),"")</f>
        <v/>
      </c>
      <c r="F5" s="449"/>
      <c r="G5" s="192" t="str" cm="1">
        <f t="array" ref="G5">IFERROR(ROUND(
   IF(DistrictName&lt;&gt;0,
      IF(DistrictType="School",
        MAX(G12-G6-G7-G8-G9-G10,0),
        INDEX(DataDump!AD1:AD1202,MATCH(1,(COUNTY1=DataDump!$C1:$C1202)*(DistrictName=DataDump!$G1:$G1202),0)))," "),0),"")</f>
        <v/>
      </c>
      <c r="I5" s="181"/>
      <c r="J5" s="181"/>
      <c r="K5" s="181"/>
    </row>
    <row r="6" spans="2:11" ht="16.899999999999999" customHeight="1" x14ac:dyDescent="0.25">
      <c r="B6" s="191" t="s">
        <v>1180</v>
      </c>
      <c r="C6" s="448" t="str" cm="1">
        <f t="array" ref="C6">IFERROR(ROUND(
   IF(DistrictName&lt;&gt;0,
      INDEX(DataDump!L1:L1202,MATCH(1,(DataDump!C1:C1202=COUNTY1)*(DataDump!G1:G1202=DistrictName),0))," "),0),"")</f>
        <v/>
      </c>
      <c r="D6" s="449"/>
      <c r="E6" s="448" t="str" cm="1">
        <f t="array" ref="E6">IFERROR(ROUND(
   IF(DistrictName&lt;&gt;0,
      INDEX(DataDump!L1:L1202,MATCH(1,(DataDump!C1:C1202=COUNTY1)*(DataDump!G1:G1202=DistrictName),0))," "),0),"")</f>
        <v/>
      </c>
      <c r="F6" s="449"/>
      <c r="G6" s="192" t="str" cm="1">
        <f t="array" ref="G6">IFERROR(ROUND(
   IF(DistrictName&lt;&gt;0,
      INDEX(DataDump!L1:L1202,MATCH(1,(DataDump!C1:C1202=COUNTY1)*(DataDump!G1:G1202=DistrictName),0))," "),0),"")</f>
        <v/>
      </c>
    </row>
    <row r="7" spans="2:11" ht="16.899999999999999" customHeight="1" x14ac:dyDescent="0.25">
      <c r="B7" s="191" t="s">
        <v>1181</v>
      </c>
      <c r="C7" s="448" t="str" cm="1">
        <f t="array" ref="C7">IFERROR(ROUND(
   IF(DistrictName&lt;&gt;0,
      INDEX(DataDump!M1:M1202,MATCH(1,(DataDump!C1:C1202=COUNTY1)*(DataDump!G1:G1202=DistrictName),0))," "),0),"")</f>
        <v/>
      </c>
      <c r="D7" s="449"/>
      <c r="E7" s="448" t="str" cm="1">
        <f t="array" ref="E7">IFERROR(ROUND(
   IF(DistrictName&lt;&gt;0,
      INDEX(DataDump!M1:M1202,MATCH(1,(DataDump!C1:C1202=COUNTY1)*(DataDump!G1:G1202=DistrictName),0))," "),0),"")</f>
        <v/>
      </c>
      <c r="F7" s="449"/>
      <c r="G7" s="192" t="str" cm="1">
        <f t="array" ref="G7">IFERROR(ROUND(
   IF(DistrictName&lt;&gt;0,
      INDEX(DataDump!M1:M1202,MATCH(1,(DataDump!C1:C1202=COUNTY1)*(DataDump!G1:G1202=DistrictName),0))," "),0),"")</f>
        <v/>
      </c>
    </row>
    <row r="8" spans="2:11" ht="16.899999999999999" customHeight="1" x14ac:dyDescent="0.25">
      <c r="B8" s="191" t="s">
        <v>1182</v>
      </c>
      <c r="C8" s="448" t="str" cm="1">
        <f t="array" ref="C8">IFERROR(ROUND(
   IF(DistrictName&lt;&gt;0,
      INDEX(DataDump!N1:N1202,MATCH(1,(DataDump!C1:C1202=COUNTY1)*(DataDump!G1:G1202=DistrictName),0))," "),0),"")</f>
        <v/>
      </c>
      <c r="D8" s="449"/>
      <c r="E8" s="448" t="str" cm="1">
        <f t="array" ref="E8">IFERROR(ROUND(
   IF(DistrictName&lt;&gt;0,
      INDEX(DataDump!N1:N1202,MATCH(1,(DataDump!C1:C1202=COUNTY1)*(DataDump!G1:G1202=DistrictName),0))," "),0),"")</f>
        <v/>
      </c>
      <c r="F8" s="449"/>
      <c r="G8" s="192" t="str" cm="1">
        <f t="array" ref="G8">IFERROR(ROUND(
   IF(DistrictName&lt;&gt;0,
      INDEX(DataDump!O1:O1202,MATCH(1,(DataDump!C1:C1202=COUNTY1)*(DataDump!G1:G1202=DistrictName),0))," "),0),"")</f>
        <v/>
      </c>
    </row>
    <row r="9" spans="2:11" ht="16.899999999999999" customHeight="1" x14ac:dyDescent="0.25">
      <c r="B9" s="191" t="s">
        <v>1183</v>
      </c>
      <c r="C9" s="448" t="str" cm="1">
        <f t="array" ref="C9">IFERROR(ROUND(
   IF(DistrictName&lt;&gt;0,
      INDEX(DataDump!S1:S1202,MATCH(1,(DataDump!C1:C1202=COUNTY1)*(DataDump!G1:G1202=DistrictName),0))," "),0),"")</f>
        <v/>
      </c>
      <c r="D9" s="449"/>
      <c r="E9" s="448" t="str" cm="1">
        <f t="array" ref="E9">IFERROR(ROUND(
   IF(DistrictName&lt;&gt;0,
      INDEX(DataDump!T1:T1202,MATCH(1,(DataDump!C1:C1202=COUNTY1)*(DataDump!G1:G1202=DistrictName),0))," "),0),"")</f>
        <v/>
      </c>
      <c r="F9" s="449"/>
      <c r="G9" s="192" t="str" cm="1">
        <f t="array" ref="G9">IFERROR(ROUND(
   IF(DistrictName&lt;&gt;0,
      INDEX(DataDump!U1:U1202,MATCH(1,(DataDump!C1:C1202=COUNTY1)*(DataDump!G1:G1202=DistrictName),0))," "),0),"")</f>
        <v/>
      </c>
    </row>
    <row r="10" spans="2:11" ht="16.899999999999999" customHeight="1" x14ac:dyDescent="0.25">
      <c r="B10" s="191" t="s">
        <v>1184</v>
      </c>
      <c r="C10" s="450" t="str" cm="1">
        <f t="array" ref="C10">IFERROR(ROUND(
   IF(DistrictName&lt;&gt;0,
      INDEX(DataDump!V1:V1202,MATCH(1,(DataDump!C1:C1202=COUNTY1)*(DataDump!G1:G1202=DistrictName),0))," "),0),"")</f>
        <v/>
      </c>
      <c r="D10" s="450"/>
      <c r="E10" s="450" t="str" cm="1">
        <f t="array" ref="E10">IFERROR(ROUND(
   IF(DistrictName&lt;&gt;0,
      INDEX(DataDump!W1:W1202,MATCH(1,(DataDump!C1:C1202=COUNTY1)*(DataDump!G1:G1202=DistrictName),0))," "),0),"")</f>
        <v/>
      </c>
      <c r="F10" s="450"/>
      <c r="G10" s="192" t="str" cm="1">
        <f t="array" ref="G10">IFERROR(ROUND(
   IF(DistrictName&lt;&gt;0,
      INDEX(DataDump!X1:X1202,MATCH(1,(DataDump!C1:C1202=COUNTY1)*(DataDump!G1:G1202=DistrictName),0))," "),0),"")</f>
        <v/>
      </c>
    </row>
    <row r="11" spans="2:11" ht="16.899999999999999" customHeight="1" x14ac:dyDescent="0.25">
      <c r="B11" s="191" t="str">
        <f>IF(DistrictType="School","Solar Farm Tax Revenue","Solar Farm Tax Revenue (not added until line 26 after all growth calculations)")</f>
        <v>Solar Farm Tax Revenue (not added until line 26 after all growth calculations)</v>
      </c>
      <c r="C11" s="450" t="str" cm="1">
        <f t="array" ref="C11">IFERROR(ROUND(
   IF(DistrictName&lt;&gt;0,
      INDEX(DataDump!P1:P1202,MATCH(1,(DataDump!C1:C1202=COUNTY1)*(DataDump!G1:G1202=DistrictName),0))," "),0),"")</f>
        <v/>
      </c>
      <c r="D11" s="450"/>
      <c r="E11" s="450" t="str" cm="1">
        <f t="array" ref="E11">IFERROR(ROUND(
   IF(DistrictName&lt;&gt;0,
      INDEX(DataDump!Q1:Q1202,MATCH(1,(DataDump!C1:C1202=COUNTY1)*(DataDump!G1:G1202=DistrictName),0))," "),0),"")</f>
        <v/>
      </c>
      <c r="F11" s="450"/>
      <c r="G11" s="192" t="str" cm="1">
        <f t="array" ref="G11">IFERROR(ROUND(
   IF(DistrictName&lt;&gt;0,
      INDEX(DataDump!R1:R1202,MATCH(1,(DataDump!C1:C1202=COUNTY1)*(DataDump!G1:G1202=DistrictName),0))," "),0),"")</f>
        <v/>
      </c>
    </row>
    <row r="12" spans="2:11" ht="16.899999999999999" customHeight="1" thickBot="1" x14ac:dyDescent="0.3">
      <c r="B12" s="193" t="str">
        <f>IF(DistrictType="School","Non-exempt (Tort) budget including replacements but NOT solar farm tax","Forgone Recovered for Capital Projects ( - )")</f>
        <v>Forgone Recovered for Capital Projects ( - )</v>
      </c>
      <c r="C12" s="444" t="str" cm="1">
        <f t="array" ref="C12">IFERROR(ROUND(
   IF(DistrictName&lt;&gt;0,
     IF(DistrictType="School",
        INDEX(DataDump!AB1:AB1202,MATCH(1,(DataDump!C1:C1202=COUNTY1)*(DataDump!G1:G1202=DistrictName),0)),
        INDEX(DataDump!AE1:AE1202,MATCH(1,(DataDump!C1:C1202=COUNTY1)*(DataDump!G1:G1202=DistrictName),0)))," "),0),"")</f>
        <v/>
      </c>
      <c r="D12" s="444"/>
      <c r="E12" s="445" t="str" cm="1">
        <f t="array" ref="E12">IFERROR(ROUND(
   IF(DistrictName&lt;&gt;0,
     IF(DistrictType="School",
        INDEX(DataDump!AC1:AC1202,MATCH(1,(DataDump!C1:C1202=COUNTY1)*(DataDump!G1:G1202=DistrictName),0)),
        INDEX(DataDump!AF1:AF1202,MATCH(1,(DataDump!C1:C1202=COUNTY1)*(DataDump!G1:G1202=DistrictName),0)))," "),0),"")</f>
        <v/>
      </c>
      <c r="F12" s="446"/>
      <c r="G12" s="194" t="str" cm="1">
        <f t="array" ref="G12">IFERROR(ROUND(
   IF(DistrictName&lt;&gt;0,
     IF(DistrictType="School",
        INDEX(DataDump!AD1:AD1202,MATCH(1,(DataDump!C1:C1202=COUNTY1)*(DataDump!G1:G1202=DistrictName),0)),
        INDEX(DataDump!AG1:AG1202,MATCH(1,(DataDump!C1:C1202=COUNTY1)*(DataDump!G1:G1202=DistrictName),0)))," "),0),"")</f>
        <v/>
      </c>
    </row>
    <row r="13" spans="2:11" ht="32.25" thickBot="1" x14ac:dyDescent="0.3">
      <c r="B13" s="195" t="str">
        <f>IF(DistrictType="School","TOTAL Non-Exempt Property Tax Budget (including replacements but not including solar farm tax revenue)","TOTAL Non-Exempt Property Tax Budget (including replacements but not including solar farm tax revenue or forgone amounts recovered for capital projects):")</f>
        <v>TOTAL Non-Exempt Property Tax Budget (including replacements but not including solar farm tax revenue or forgone amounts recovered for capital projects):</v>
      </c>
      <c r="C13" s="447" t="str">
        <f>IFERROR(IF(DistrictName&lt;&gt;0,IF(DistrictType="School",C12,C5+C6+C7+C8+C9+C10-C12),""),0)</f>
        <v/>
      </c>
      <c r="D13" s="447"/>
      <c r="E13" s="447" t="str">
        <f>IFERROR(IF(DistrictName&lt;&gt;0,IF(DistrictType="School",E12,E5+E6+E7+E8+E9+E10-E12),""),0)</f>
        <v/>
      </c>
      <c r="F13" s="447"/>
      <c r="G13" s="200" t="str">
        <f>IFERROR(IF(DistrictName&lt;&gt;0,IF(DistrictType="School",G12,G5+G6+G7+G8+G9+G10-G12),""),0)</f>
        <v/>
      </c>
    </row>
    <row r="14" spans="2:11" ht="33" customHeight="1" thickBot="1" x14ac:dyDescent="0.3">
      <c r="B14" s="490"/>
      <c r="C14" s="490"/>
      <c r="D14" s="490"/>
      <c r="E14" s="490"/>
      <c r="F14" s="490"/>
      <c r="G14" s="490"/>
    </row>
    <row r="15" spans="2:11" ht="24" customHeight="1" thickBot="1" x14ac:dyDescent="0.3">
      <c r="B15" s="441" t="str">
        <f>LEFT('1. Dashboard'!$B$8,4)&amp;" L-2 Worksheet"</f>
        <v>2026 L-2 Worksheet</v>
      </c>
      <c r="C15" s="442"/>
      <c r="D15" s="442"/>
      <c r="E15" s="442"/>
      <c r="F15" s="442"/>
      <c r="G15" s="443"/>
    </row>
    <row r="16" spans="2:11" ht="16.899999999999999" customHeight="1" thickBot="1" x14ac:dyDescent="0.3">
      <c r="B16" s="438" t="str">
        <f>"District Name: "&amp;DistrictName</f>
        <v xml:space="preserve">District Name: </v>
      </c>
      <c r="C16" s="439"/>
      <c r="D16" s="488" t="str">
        <f>IF(DistrictType&lt;&gt;0,"District Type:"&amp;" "&amp;DistrictType, "District Type: None Selected")</f>
        <v>District Type: None Selected</v>
      </c>
      <c r="E16" s="488"/>
      <c r="F16" s="488"/>
      <c r="G16" s="489"/>
      <c r="H16" s="247" t="s">
        <v>1376</v>
      </c>
    </row>
    <row r="17" spans="2:8" ht="16.899999999999999" customHeight="1" thickBot="1" x14ac:dyDescent="0.3">
      <c r="B17" s="451" t="s">
        <v>1160</v>
      </c>
      <c r="C17" s="452"/>
      <c r="D17" s="452"/>
      <c r="E17" s="452"/>
      <c r="F17" s="452"/>
      <c r="G17" s="453"/>
    </row>
    <row r="18" spans="2:8" ht="33.75" customHeight="1" x14ac:dyDescent="0.25">
      <c r="B18" s="454" t="str">
        <f>IF(DistrictType="Hospital",
        "Highest of the Last 3 years Non-Exempt P-Tax Budget + P-Tax Replacements 
(from of the 'Maximum Budget &amp; Forgone Amounts Worksheet' and highlighted in the table above)*",
            IF(OR(DistrictType="Highway",DistrictType="County Road &amp; Bridge",DistrictType="County w/ Countywide Road &amp; Bridge"),
                 "Highest of the Last 3 years Non-Exempt P-Tax Budget + P-Tax Replacements 
(from the 'Maximum Budget &amp; Forgone Amounts Worksheet' and highlighted in the table above)*",
                 "Highest of the Last 3 years Non-Exempt P-Tax Budget + P-Tax Replacements 
(from the 'Maximum Budget &amp; Forgone Amounts Worksheet' and highlighted in the table above)"))</f>
        <v>Highest of the Last 3 years Non-Exempt P-Tax Budget + P-Tax Replacements 
(from the 'Maximum Budget &amp; Forgone Amounts Worksheet' and highlighted in the table above)</v>
      </c>
      <c r="C18" s="455"/>
      <c r="D18" s="455"/>
      <c r="E18" s="456"/>
      <c r="F18" s="120" t="s">
        <v>21</v>
      </c>
      <c r="G18" s="174" t="str">
        <f>IF(DistrictName&lt;&gt;0,IFERROR(ROUND(MAX(C13:G13),0),""),"")</f>
        <v/>
      </c>
    </row>
    <row r="19" spans="2:8" ht="16.899999999999999" customHeight="1" thickBot="1" x14ac:dyDescent="0.3">
      <c r="B19" s="425" t="str">
        <f>IF(SCOstatus="Yes",
    "Selected Base Budget Growth Entered on the Dashboard = "&amp;('1. Dashboard'!H21*100)&amp;"% (cannot exceed 3% of line 1)",
    "Property tax budget increases not allowed while non-compliant with local govt registry of the State Controller's Office")</f>
        <v>Selected Base Budget Growth Entered on the Dashboard = 3% (cannot exceed 3% of line 1)</v>
      </c>
      <c r="C19" s="426"/>
      <c r="D19" s="426"/>
      <c r="E19" s="427"/>
      <c r="F19" s="125" t="s">
        <v>20</v>
      </c>
      <c r="G19" s="172" t="str">
        <f>IFERROR(IF(SCOstatus="No",0,
            ROUND(HighestofLast3yrs*'1. Dashboard'!H21,0)),"")</f>
        <v/>
      </c>
      <c r="H19" s="248" t="str">
        <f>IFERROR(ROUND(HighestofLast3yrs*0.03,0),"")</f>
        <v/>
      </c>
    </row>
    <row r="20" spans="2:8" ht="16.899999999999999" customHeight="1" x14ac:dyDescent="0.25">
      <c r="B20" s="492" t="s">
        <v>1094</v>
      </c>
      <c r="C20" s="493"/>
      <c r="D20" s="493"/>
      <c r="E20" s="493"/>
      <c r="F20" s="493"/>
      <c r="G20" s="494"/>
    </row>
    <row r="21" spans="2:8" ht="16.899999999999999" customHeight="1" x14ac:dyDescent="0.25">
      <c r="B21" s="483" t="str">
        <f>IF(OR(DistrictType="Fire",DistrictType="Ambulance"),"",
 LEFT($B$15,4)-1&amp;" Value of District's Operating Property from Each Applicable County:")</f>
        <v>2025 Value of District's Operating Property from Each Applicable County:</v>
      </c>
      <c r="C21" s="484"/>
      <c r="D21" s="518" t="str">
        <f>IF(OR(DistrictType="Fire",DistrictType="Ambulance"),"","Value")</f>
        <v>Value</v>
      </c>
      <c r="E21" s="519"/>
      <c r="F21" s="154"/>
      <c r="G21" s="155"/>
    </row>
    <row r="22" spans="2:8" ht="16.899999999999999" customHeight="1" x14ac:dyDescent="0.25">
      <c r="B22" s="434">
        <f>'1. Dashboard'!G22</f>
        <v>0</v>
      </c>
      <c r="C22" s="435"/>
      <c r="D22" s="125" t="s">
        <v>1133</v>
      </c>
      <c r="E22" s="171" t="str" cm="1">
        <f t="array" ref="E22">IF(DistrictName=0,"",
 IF(OR(DistrictType="Fire",DistrictType="Ambulance"),"",
    INDEX(DataDump!$J$1:$J$1202,MATCH(1,(DataDump!$C$1:$C$1202=COUNTY1)*(DataDump!$G$1:$G$1202=DistrictName),0))))</f>
        <v/>
      </c>
      <c r="F22" s="127"/>
      <c r="G22" s="128"/>
    </row>
    <row r="23" spans="2:8" ht="16.899999999999999" customHeight="1" x14ac:dyDescent="0.25">
      <c r="B23" s="434" t="str">
        <f>'1. Dashboard'!G23</f>
        <v xml:space="preserve"> </v>
      </c>
      <c r="C23" s="435"/>
      <c r="D23" s="125" t="s">
        <v>1134</v>
      </c>
      <c r="E23" s="171" t="str" cm="1">
        <f t="array" ref="E23">IFERROR(IF(OR(DistrictType="Fire",DistrictType="Ambulance"),"",
         IF(AND(DistrictName&lt;&gt;0,'1. Dashboard'!F17="YES"),
            IF(COUNTIF(JointDistricts,DistrictName),
               INDEX(DataDump!$J$1:$J$1202,
                     MATCH(1,(DataDump!$C$1:$C$1202='1. Dashboard'!G23)*
                             (DataDump!$G$1:$G$1202=DistrictName),0)),""),"")),"")</f>
        <v/>
      </c>
      <c r="F23" s="127"/>
      <c r="G23" s="128"/>
    </row>
    <row r="24" spans="2:8" ht="16.899999999999999" customHeight="1" x14ac:dyDescent="0.25">
      <c r="B24" s="434" t="str">
        <f>'1. Dashboard'!G24</f>
        <v xml:space="preserve"> </v>
      </c>
      <c r="C24" s="435"/>
      <c r="D24" s="125" t="s">
        <v>1135</v>
      </c>
      <c r="E24" s="171" t="str" cm="1">
        <f t="array" ref="E24">IFERROR(IF(OR(DistrictType="Fire",DistrictType="Ambulance"),"",
         IF(AND(DistrictName&lt;&gt;0,'1. Dashboard'!F18="YES"),
            IF(COUNTIF(JointDistricts,DistrictName),
               INDEX(DataDump!$J$1:$J$1202,
                     MATCH(1,(DataDump!$C$1:$C$1202='1. Dashboard'!G24)*
                             (DataDump!$G$1:$G$1202=DistrictName),0)),""),"")),"")</f>
        <v/>
      </c>
      <c r="F24" s="127"/>
      <c r="G24" s="128"/>
    </row>
    <row r="25" spans="2:8" ht="16.899999999999999" customHeight="1" x14ac:dyDescent="0.25">
      <c r="B25" s="434" t="str">
        <f>'1. Dashboard'!G25</f>
        <v xml:space="preserve"> </v>
      </c>
      <c r="C25" s="435"/>
      <c r="D25" s="125" t="s">
        <v>1136</v>
      </c>
      <c r="E25" s="171" t="str" cm="1">
        <f t="array" ref="E25">IFERROR(IF(OR(DistrictType="Fire",DistrictType="Ambulance"),"",
         IF(AND(DistrictName&lt;&gt;0,'1. Dashboard'!F19="YES"),
            IF(COUNTIF(JointDistricts,DistrictName),
               INDEX(DataDump!$J$1:$J$1202,
                     MATCH(1,(DataDump!$C$1:$C$1202='1. Dashboard'!G25)*
                             (DataDump!$G$1:$G$1202=DistrictName),0)),""),"")),"")</f>
        <v/>
      </c>
      <c r="F25" s="127"/>
      <c r="G25" s="128"/>
    </row>
    <row r="26" spans="2:8" ht="16.899999999999999" customHeight="1" x14ac:dyDescent="0.25">
      <c r="B26" s="478" t="str">
        <f>IF(OR(DistrictType="Fire",DistrictType="Ambulance"),"",
    "Total "&amp;LEFT($B$15,4)-1&amp;" Operating Property Value (total of lines 3a thru 3d):")</f>
        <v>Total 2025 Operating Property Value (total of lines 3a thru 3d):</v>
      </c>
      <c r="C26" s="479"/>
      <c r="D26" s="130" t="s">
        <v>19</v>
      </c>
      <c r="E26" s="171" t="str">
        <f>IF(DistrictName=0,"",
 IF(OR(DistrictType="Fire",DistrictType="Ambulance"),"",
    ROUND(SUM(E22:E25),0)))</f>
        <v/>
      </c>
      <c r="F26" s="127"/>
      <c r="G26" s="128"/>
    </row>
    <row r="27" spans="2:8" ht="16.899999999999999" customHeight="1" x14ac:dyDescent="0.25">
      <c r="B27" s="481" t="str">
        <f>IF(OR(DistrictType="Fire",DistrictType="Ambulance"),"",
    LEFT($B$15,4)&amp;" District's Net Taxable Value &amp; Estimated Sub-roll from Each Applicable County:")</f>
        <v>2026 District's Net Taxable Value &amp; Estimated Sub-roll from Each Applicable County:</v>
      </c>
      <c r="C27" s="482"/>
      <c r="D27" s="518" t="str">
        <f>IF(OR(DistrictType="Fire",DistrictType="Ambulance"),"",
    "Value")</f>
        <v>Value</v>
      </c>
      <c r="E27" s="519"/>
      <c r="F27" s="127"/>
      <c r="G27" s="128"/>
    </row>
    <row r="28" spans="2:8" ht="16.899999999999999" customHeight="1" x14ac:dyDescent="0.25">
      <c r="B28" s="434">
        <f>'1. Dashboard'!G22</f>
        <v>0</v>
      </c>
      <c r="C28" s="435"/>
      <c r="D28" s="125" t="s">
        <v>22</v>
      </c>
      <c r="E28" s="171" t="str">
        <f>IF(DistrictName=0,"",
 IF(OR(DistrictType="Fire",DistrictType="Ambulance"),"",
    '1. Dashboard'!H22))</f>
        <v/>
      </c>
      <c r="F28" s="127"/>
      <c r="G28" s="128"/>
    </row>
    <row r="29" spans="2:8" ht="16.899999999999999" customHeight="1" x14ac:dyDescent="0.25">
      <c r="B29" s="434" t="str">
        <f>'1. Dashboard'!G23</f>
        <v xml:space="preserve"> </v>
      </c>
      <c r="C29" s="435"/>
      <c r="D29" s="125" t="s">
        <v>23</v>
      </c>
      <c r="E29" s="171" t="str">
        <f>IF(DistrictName=0,"",
 IF(OR(DistrictType="Fire",DistrictType="Ambulance"),"",
 IF('1. Dashboard'!F17="No","",
    '1. Dashboard'!H23)))</f>
        <v/>
      </c>
      <c r="F29" s="127"/>
      <c r="G29" s="128"/>
    </row>
    <row r="30" spans="2:8" ht="16.899999999999999" customHeight="1" x14ac:dyDescent="0.25">
      <c r="B30" s="434" t="str">
        <f>'1. Dashboard'!G24</f>
        <v xml:space="preserve"> </v>
      </c>
      <c r="C30" s="435"/>
      <c r="D30" s="125" t="s">
        <v>24</v>
      </c>
      <c r="E30" s="171" t="str">
        <f>IF(DistrictName=0,"",
 IF(OR(DistrictType="Fire",DistrictType="Ambulance"),"",
 IF('1. Dashboard'!F18="No","",
    '1. Dashboard'!H24)))</f>
        <v/>
      </c>
      <c r="F30" s="127"/>
      <c r="G30" s="128"/>
    </row>
    <row r="31" spans="2:8" ht="16.899999999999999" customHeight="1" x14ac:dyDescent="0.25">
      <c r="B31" s="434" t="str">
        <f>'1. Dashboard'!G25</f>
        <v xml:space="preserve"> </v>
      </c>
      <c r="C31" s="435"/>
      <c r="D31" s="125" t="s">
        <v>25</v>
      </c>
      <c r="E31" s="171" t="str">
        <f>IF(DistrictName=0,"",
 IF(OR(DistrictType="Fire",DistrictType="Ambulance"),"",
 IF('1. Dashboard'!F19="No","",
    '1. Dashboard'!H25)))</f>
        <v/>
      </c>
      <c r="F31" s="127"/>
      <c r="G31" s="128"/>
    </row>
    <row r="32" spans="2:8" ht="16.899999999999999" customHeight="1" x14ac:dyDescent="0.25">
      <c r="B32" s="478" t="str">
        <f>IF(OR(DistrictType="Fire",DistrictType="Ambulance"),"",
    "Total "&amp;LEFT($B$15,4)&amp;" Net Taxable Value &amp; Estimated Sub-roll (total of lines 4a thru 4d):")</f>
        <v>Total 2026 Net Taxable Value &amp; Estimated Sub-roll (total of lines 4a thru 4d):</v>
      </c>
      <c r="C32" s="479"/>
      <c r="D32" s="130" t="s">
        <v>18</v>
      </c>
      <c r="E32" s="171" t="str">
        <f>IF(DistrictName=0,"",
 IF(OR(DistrictType="Fire",DistrictType="Ambulance"),"",
    ROUND(SUM(E28:E31),0)))</f>
        <v/>
      </c>
      <c r="F32" s="127"/>
      <c r="G32" s="128"/>
    </row>
    <row r="33" spans="2:8" ht="16.899999999999999" customHeight="1" x14ac:dyDescent="0.25">
      <c r="B33" s="458" t="str">
        <f>IF(OR(DistrictType="Fire",DistrictType="Ambulance"),
    "Levy Rate for New Construction:",
    "Preliminary Levy Rate for New Construction:")</f>
        <v>Preliminary Levy Rate for New Construction:</v>
      </c>
      <c r="C33" s="459"/>
      <c r="D33" s="459"/>
      <c r="E33" s="460"/>
      <c r="F33" s="127"/>
      <c r="G33" s="128"/>
    </row>
    <row r="34" spans="2:8" ht="33" customHeight="1" x14ac:dyDescent="0.25">
      <c r="B34" s="434" t="str">
        <f>IF(OR(DistrictType="Fire",DistrictType="Ambulance"),
"Prior Year's Non-Exempt Levy Rate for New Construction Budget Increases",
LEFT($B$15,4)&amp;" New Construction Preliminary Levy Rate 
      ((line 1 + line 2) / (line 3 + line 4)) = ($"&amp;TEXT(SUM(G18,G19),"###,###,##0")&amp;" / $"&amp;TEXT(SUM(E26,E32),"###,###,##0")&amp;")")</f>
        <v>2026 New Construction Preliminary Levy Rate 
      ((line 1 + line 2) / (line 3 + line 4)) = ($0 / $0)</v>
      </c>
      <c r="C34" s="435"/>
      <c r="D34" s="125" t="s">
        <v>17</v>
      </c>
      <c r="E34" s="126" t="str">
        <f>IF(OR(DistrictType="Fire",DistrictType="Ambulance"),
    INDEX(DataDump!$AI$2:$AI$1202,MATCH(DistrictName,DataDump!$G$2:$G$1202,0)),
    IFERROR(ROUND((G18+G19)/(E26+E32),9), ""))</f>
        <v/>
      </c>
      <c r="F34" s="127"/>
      <c r="G34" s="128"/>
      <c r="H34" s="249" t="str">
        <f>IFERROR(IF(OR(DistrictType="Fire",DistrictType="Ambulance"),
            $E$34,
            ROUND((G18+H19)/(E26+E32),9)),"")</f>
        <v/>
      </c>
    </row>
    <row r="35" spans="2:8" ht="16.899999999999999" customHeight="1" x14ac:dyDescent="0.25">
      <c r="B35" s="483" t="str">
        <f>LEFT($B$15,4)&amp;" Value of District's New Construction Roll from Each Applicable County:"</f>
        <v>2026 Value of District's New Construction Roll from Each Applicable County:</v>
      </c>
      <c r="C35" s="484"/>
      <c r="D35" s="518" t="s">
        <v>0</v>
      </c>
      <c r="E35" s="519"/>
      <c r="F35" s="127"/>
      <c r="G35" s="128"/>
    </row>
    <row r="36" spans="2:8" ht="16.899999999999999" customHeight="1" x14ac:dyDescent="0.25">
      <c r="B36" s="434">
        <f>'1. Dashboard'!G26</f>
        <v>0</v>
      </c>
      <c r="C36" s="435"/>
      <c r="D36" s="125" t="s">
        <v>1137</v>
      </c>
      <c r="E36" s="171" t="str">
        <f>IF(DistrictName&lt;&gt;0,'1. Dashboard'!H26,"")</f>
        <v/>
      </c>
      <c r="F36" s="127"/>
      <c r="G36" s="128"/>
    </row>
    <row r="37" spans="2:8" ht="16.899999999999999" customHeight="1" x14ac:dyDescent="0.25">
      <c r="B37" s="434" t="str">
        <f>'1. Dashboard'!G27</f>
        <v xml:space="preserve"> </v>
      </c>
      <c r="C37" s="435"/>
      <c r="D37" s="125" t="s">
        <v>1138</v>
      </c>
      <c r="E37" s="171" t="str">
        <f>IF(DistrictName&lt;&gt;0,'1. Dashboard'!H27,"")</f>
        <v/>
      </c>
      <c r="F37" s="127"/>
      <c r="G37" s="128"/>
    </row>
    <row r="38" spans="2:8" ht="16.899999999999999" customHeight="1" x14ac:dyDescent="0.25">
      <c r="B38" s="434" t="str">
        <f>'1. Dashboard'!G28</f>
        <v xml:space="preserve"> </v>
      </c>
      <c r="C38" s="435"/>
      <c r="D38" s="125" t="s">
        <v>1139</v>
      </c>
      <c r="E38" s="171" t="str">
        <f>IF(DistrictName&lt;&gt;0,'1. Dashboard'!H28,"")</f>
        <v/>
      </c>
      <c r="F38" s="127"/>
      <c r="G38" s="129"/>
    </row>
    <row r="39" spans="2:8" ht="16.899999999999999" customHeight="1" x14ac:dyDescent="0.25">
      <c r="B39" s="434" t="str">
        <f>'1. Dashboard'!G29</f>
        <v xml:space="preserve"> </v>
      </c>
      <c r="C39" s="435"/>
      <c r="D39" s="125" t="s">
        <v>1140</v>
      </c>
      <c r="E39" s="171" t="str">
        <f>IF(DistrictName&lt;&gt;0,'1. Dashboard'!H29,"")</f>
        <v/>
      </c>
      <c r="F39" s="127"/>
      <c r="G39" s="128"/>
    </row>
    <row r="40" spans="2:8" ht="16.899999999999999" customHeight="1" x14ac:dyDescent="0.25">
      <c r="B40" s="478" t="s">
        <v>1141</v>
      </c>
      <c r="C40" s="479"/>
      <c r="D40" s="130" t="s">
        <v>16</v>
      </c>
      <c r="E40" s="171" t="str">
        <f>IF(DistrictName&lt;&gt;0,ROUND(SUM(E36:E39),0),"")</f>
        <v/>
      </c>
      <c r="F40" s="127"/>
      <c r="G40" s="128"/>
    </row>
    <row r="41" spans="2:8" ht="16.899999999999999" customHeight="1" x14ac:dyDescent="0.25">
      <c r="B41" s="425" t="s">
        <v>1373</v>
      </c>
      <c r="C41" s="426"/>
      <c r="D41" s="426"/>
      <c r="E41" s="427"/>
      <c r="F41" s="125" t="s">
        <v>15</v>
      </c>
      <c r="G41" s="172" t="str">
        <f>IF(DistrictName&lt;&gt;0,
    IF(SCOstatus="No",0,
       IFERROR(ROUND(E40*E34,0),0)),"")</f>
        <v/>
      </c>
      <c r="H41" s="248">
        <f>IFERROR(ROUND(E40*H34,0),0)</f>
        <v>0</v>
      </c>
    </row>
    <row r="42" spans="2:8" ht="16.899999999999999" customHeight="1" x14ac:dyDescent="0.25">
      <c r="B42" s="458" t="str">
        <f>LEFT($B$15,4)&amp;" Value of District's Annexed Property Subject to the 8% Cap:"</f>
        <v>2026 Value of District's Annexed Property Subject to the 8% Cap:</v>
      </c>
      <c r="C42" s="459"/>
      <c r="D42" s="459"/>
      <c r="E42" s="460"/>
      <c r="F42" s="127"/>
      <c r="G42" s="128"/>
    </row>
    <row r="43" spans="2:8" ht="16.899999999999999" customHeight="1" x14ac:dyDescent="0.25">
      <c r="B43" s="434" t="str">
        <f>IF(DistrictType="Library", LEFT($B$15,4)&amp;" Full Taxable Value of Annexations NOT in Other Library Districts",
 IF(DistrictType="Fire",    LEFT($B$15,4)&amp;" Full Taxable Value of Annexations NOT in Other Fire Districts",
    LEFT($B$15,4)&amp;" Full Taxable Value of Annexation Assessed by County"))</f>
        <v>2026 Full Taxable Value of Annexation Assessed by County</v>
      </c>
      <c r="C43" s="435"/>
      <c r="D43" s="125" t="s">
        <v>14</v>
      </c>
      <c r="E43" s="171" t="str">
        <f>IF(DistrictName&lt;&gt;0,ROUND(SUM('1. Dashboard'!H31:I34),0),"")</f>
        <v/>
      </c>
      <c r="F43" s="127"/>
      <c r="G43" s="128"/>
    </row>
    <row r="44" spans="2:8" ht="16.899999999999999" customHeight="1" x14ac:dyDescent="0.25">
      <c r="B44" s="434" t="s">
        <v>1364</v>
      </c>
      <c r="C44" s="435"/>
      <c r="D44" s="125" t="s">
        <v>13</v>
      </c>
      <c r="E44" s="173" t="str">
        <f>IF(DistrictName&lt;&gt;0,ROUND(E43*0.9,0),"")</f>
        <v/>
      </c>
      <c r="F44" s="127"/>
      <c r="G44" s="128"/>
    </row>
    <row r="45" spans="2:8" ht="16.899999999999999" customHeight="1" x14ac:dyDescent="0.25">
      <c r="B45" s="434" t="str">
        <f>IF(OR(DistrictType="Fire",DistrictType="Ambulance"),"",
    "Estimated Value of "&amp;LEFT($B$15,4)-1&amp;" Annexed Operating Property (line 8 divided by line 4, then multiplied by line 3)")</f>
        <v>Estimated Value of 2025 Annexed Operating Property (line 8 divided by line 4, then multiplied by line 3)</v>
      </c>
      <c r="C45" s="435"/>
      <c r="D45" s="125" t="s">
        <v>12</v>
      </c>
      <c r="E45" s="173" t="str">
        <f>IFERROR(ROUND((E43/E32)*E26,0),"")</f>
        <v/>
      </c>
      <c r="F45" s="127"/>
      <c r="G45" s="128"/>
    </row>
    <row r="46" spans="2:8" ht="16.899999999999999" customHeight="1" x14ac:dyDescent="0.25">
      <c r="B46" s="516" t="str">
        <f>IF(OR(DistrictType="Fire",DistrictType="Ambulance"),
"Prior Year's Non-Exempt Levy Rate for Annexation Budget Increases",
LEFT($B$15,4)&amp;" annexation preliminary levy rate ((line 1 + line 2)/(line 3 + line 4 + line 10))")</f>
        <v>2026 annexation preliminary levy rate ((line 1 + line 2)/(line 3 + line 4 + line 10))</v>
      </c>
      <c r="C46" s="517"/>
      <c r="D46" s="125" t="s">
        <v>11</v>
      </c>
      <c r="E46" s="131" t="str">
        <f>IF(OR(DistrictType="Fire",DistrictType="Ambulance"),
    INDEX(DataDump!$AI$2:$AI$1202,MATCH(DistrictName,DataDump!$G$2:$G$1202,0)),
    IFERROR(ROUND((G18+G19)/(E26+E32+E45),9),""))</f>
        <v/>
      </c>
      <c r="F46" s="127"/>
      <c r="G46" s="128"/>
      <c r="H46" s="249" t="str">
        <f>IFERROR(IF(OR(DistrictType="Fire",DistrictType="Ambulance"),
            $E$46,
            ROUND((G18+H19)/(E26+E32+E45),9)),"")</f>
        <v/>
      </c>
    </row>
    <row r="47" spans="2:8" ht="16.899999999999999" customHeight="1" x14ac:dyDescent="0.25">
      <c r="B47" s="425" t="s">
        <v>1365</v>
      </c>
      <c r="C47" s="426"/>
      <c r="D47" s="426"/>
      <c r="E47" s="427"/>
      <c r="F47" s="125" t="s">
        <v>10</v>
      </c>
      <c r="G47" s="172" t="str">
        <f>IF(DistrictName&lt;&gt;0,
    IF(SCOstatus="No",0,
       IFERROR(ROUND(E44*E46,0),0)),"")</f>
        <v/>
      </c>
      <c r="H47" s="248">
        <f>IFERROR(ROUND(E44*H46,0),0)</f>
        <v>0</v>
      </c>
    </row>
    <row r="48" spans="2:8" ht="16.899999999999999" customHeight="1" x14ac:dyDescent="0.25">
      <c r="B48" s="458" t="str">
        <f>IF(DistrictType="School", "8% Cap on Allowable Tort Fund Increases (Except Expiring Urban Renewal):",
 IF(DistrictType="Library",
    "8% Cap on Allowable Non-Exempt Budget Increases (Except Expiring Urban Renewal &amp; Certain Annexations):",
 IF(DistrictType="Fire",
    "15% Cap on Allowable Non-Exempt Budget Increases (Except Expiring Urban Renewal &amp; Certain Annexations):",
 IF(DistrictType="Ambulance",
    "15% Cap on Allowable Non-Exempt Budget Increases (Except Expiring Urban Renewal):",
    "8% Cap on Allowable Non-Exempt Budget Increases (Except Expiring Urban Renewal):"))))</f>
        <v>8% Cap on Allowable Non-Exempt Budget Increases (Except Expiring Urban Renewal):</v>
      </c>
      <c r="C48" s="459"/>
      <c r="D48" s="459"/>
      <c r="E48" s="460"/>
      <c r="F48" s="127"/>
      <c r="G48" s="128"/>
    </row>
    <row r="49" spans="2:9" ht="16.899999999999999" customHeight="1" x14ac:dyDescent="0.25">
      <c r="B49" s="463" t="s">
        <v>1374</v>
      </c>
      <c r="C49" s="464"/>
      <c r="D49" s="120" t="s">
        <v>1328</v>
      </c>
      <c r="E49" s="170" t="str">
        <f>IF(SCOstatus="No",0,
    IFERROR(ROUND(SUM(G19+G41+G47),0),""))</f>
        <v/>
      </c>
      <c r="F49" s="127"/>
      <c r="G49" s="128"/>
      <c r="H49" s="248" t="str">
        <f>IFERROR(ROUND(SUM(H19+H41+H47),0),"")</f>
        <v/>
      </c>
      <c r="I49" s="3"/>
    </row>
    <row r="50" spans="2:9" ht="16.899999999999999" customHeight="1" x14ac:dyDescent="0.25">
      <c r="B50" s="434" t="str">
        <f>IF(OR(DistrictType="Fire",DistrictType="Ambulance"),
    "Max 15% Cap on Budget Increases Listed Above (line 1 * 15%)",
    "Max 8% Cap on Budget Increases Listed Above (line 1 * 8%)")</f>
        <v>Max 8% Cap on Budget Increases Listed Above (line 1 * 8%)</v>
      </c>
      <c r="C50" s="435"/>
      <c r="D50" s="120" t="s">
        <v>9</v>
      </c>
      <c r="E50" s="170" t="str">
        <f>IF(OR(DistrictType="Fire",DistrictType="Ambulance"),
    IFERROR(ROUND((G18*0.15),0),""),
    IFERROR(ROUND((G18*0.08),0),""))</f>
        <v/>
      </c>
      <c r="F50" s="127"/>
      <c r="G50" s="128"/>
      <c r="I50" s="3"/>
    </row>
    <row r="51" spans="2:9" ht="16.5" customHeight="1" x14ac:dyDescent="0.25">
      <c r="B51" s="465" t="str">
        <f>IF(DistrictType="School",
    "8% Cap Adjustment for the Tort Fund (line 14 minus line 13 or zero, whichever is smaller)",
    IF(OR(DistrictType="Fire",DistrictType="Ambulance"),
       "15% Cap Adjustment for Non-Exempt Budget (line 14 minus line 13 or zero, whichever is smaller)",
       "8% Cap Adjustment for Non-Exempt Budget (line 14 minus line 13 or zero, whichever is smaller)"))</f>
        <v>8% Cap Adjustment for Non-Exempt Budget (line 14 minus line 13 or zero, whichever is smaller)</v>
      </c>
      <c r="C51" s="432"/>
      <c r="D51" s="432"/>
      <c r="E51" s="433"/>
      <c r="F51" s="121" t="s">
        <v>8</v>
      </c>
      <c r="G51" s="245" t="str">
        <f>IF(DistrictName=0,"",
    ROUND(MIN(0,IFERROR(E50-E49,0)),0))</f>
        <v/>
      </c>
      <c r="H51" s="248" t="str">
        <f>IF(DistrictName=0,"",
    MIN(0,E50-H49))</f>
        <v/>
      </c>
      <c r="I51" s="3"/>
    </row>
    <row r="52" spans="2:9" ht="16.899999999999999" customHeight="1" x14ac:dyDescent="0.25">
      <c r="B52" s="458" t="str">
        <f>LEFT($B$15,4)&amp;" Expiring Urban Renewal:"</f>
        <v>2026 Expiring Urban Renewal:</v>
      </c>
      <c r="C52" s="459"/>
      <c r="D52" s="459"/>
      <c r="E52" s="460"/>
      <c r="F52" s="127"/>
      <c r="G52" s="128"/>
    </row>
    <row r="53" spans="2:9" ht="16.899999999999999" customHeight="1" x14ac:dyDescent="0.25">
      <c r="B53" s="516" t="s">
        <v>1311</v>
      </c>
      <c r="C53" s="517"/>
      <c r="D53" s="125" t="s">
        <v>7</v>
      </c>
      <c r="E53" s="171">
        <f>IF('1. Dashboard'!$H$39="Yes",'1. Dashboard'!H40,0)</f>
        <v>0</v>
      </c>
      <c r="F53" s="127"/>
      <c r="G53" s="128"/>
    </row>
    <row r="54" spans="2:9" ht="16.899999999999999" customHeight="1" x14ac:dyDescent="0.25">
      <c r="B54" s="516" t="s">
        <v>1312</v>
      </c>
      <c r="C54" s="517"/>
      <c r="D54" s="125" t="s">
        <v>6</v>
      </c>
      <c r="E54" s="171">
        <f>IF('1. Dashboard'!$H$39="Yes",'1. Dashboard'!H41,0)</f>
        <v>0</v>
      </c>
      <c r="F54" s="127"/>
      <c r="G54" s="128"/>
    </row>
    <row r="55" spans="2:9" ht="16.899999999999999" customHeight="1" x14ac:dyDescent="0.25">
      <c r="B55" s="434" t="s">
        <v>1371</v>
      </c>
      <c r="C55" s="435"/>
      <c r="D55" s="125" t="s">
        <v>5</v>
      </c>
      <c r="E55" s="171">
        <f>IF('1. Dashboard'!$H$39="Yes",ROUND(E53*0.8,0)+ROUND(E54*0.9,0),0)</f>
        <v>0</v>
      </c>
      <c r="F55" s="127"/>
      <c r="G55" s="128"/>
    </row>
    <row r="56" spans="2:9" ht="16.899999999999999" customHeight="1" x14ac:dyDescent="0.25">
      <c r="B56" s="434" t="s">
        <v>1372</v>
      </c>
      <c r="C56" s="520"/>
      <c r="F56" s="121" t="s">
        <v>4</v>
      </c>
      <c r="G56" s="201" t="str">
        <f>IF(DistrictName&lt;&gt;0,
    IF(SCOstatus="No",0,
       IFERROR(ROUND(E55*E34,0),0)),"")</f>
        <v/>
      </c>
      <c r="H56" s="248">
        <f>IFERROR(ROUND(E55*H34,0),0)</f>
        <v>0</v>
      </c>
    </row>
    <row r="57" spans="2:9" ht="16.899999999999999" customHeight="1" x14ac:dyDescent="0.25">
      <c r="B57" s="458" t="str">
        <f>IF(DistrictType="Library",
    LEFT($B$15,4)&amp;" Value of Property Annexed from Another Library District (May Exceed 8% Cap)",
 IF(DistrictType="Fire",
    LEFT($B$15,4)&amp;" Value of Property Annexed from Another Fire District (May Exceed 15% Cap)",
    ""))</f>
        <v/>
      </c>
      <c r="C57" s="459"/>
      <c r="D57" s="459"/>
      <c r="E57" s="460"/>
      <c r="F57" s="127"/>
      <c r="G57" s="128"/>
    </row>
    <row r="58" spans="2:9" ht="16.899999999999999" customHeight="1" x14ac:dyDescent="0.25">
      <c r="B58" s="434" t="str">
        <f>IF(DistrictType="Library",
    LEFT($B$15,4)&amp;" Full Taxable Value of Annexation Assessed by County from Another Library District",
 IF(DistrictType="Fire",
    LEFT($B$15,4)&amp;" Full Taxable Value of Annexation Assessed by County from Another Fire District",
    ""))</f>
        <v/>
      </c>
      <c r="C58" s="435"/>
      <c r="D58" s="125" t="s">
        <v>3</v>
      </c>
      <c r="E58" s="171" t="str">
        <f>IF(DistrictName=0,"",
    IF(AND(DistrictType&lt;&gt;"Library",DistrictType&lt;&gt;"Fire"),0,
       ROUND(SUM('1. Dashboard'!H35:H38),0)))</f>
        <v/>
      </c>
      <c r="F58" s="127"/>
      <c r="G58" s="128"/>
    </row>
    <row r="59" spans="2:9" ht="16.899999999999999" customHeight="1" x14ac:dyDescent="0.25">
      <c r="B59" s="434" t="str">
        <f>IF(DistrictType="Library", "90% of Annexation Value in line 20",
 IF(DistrictType="Fire",    "90% of Annexation Value in line 20",
    ""))</f>
        <v/>
      </c>
      <c r="C59" s="435"/>
      <c r="D59" s="125" t="s">
        <v>2</v>
      </c>
      <c r="E59" s="173" t="str">
        <f>IF(DistrictName&lt;&gt;0,ROUND(E58*0.9,0),"")</f>
        <v/>
      </c>
      <c r="F59" s="127"/>
      <c r="G59" s="128"/>
    </row>
    <row r="60" spans="2:9" ht="16.899999999999999" customHeight="1" x14ac:dyDescent="0.25">
      <c r="B60" s="465" t="str">
        <f>IF(DistrictType="Library",
    "Allowable Budget Increase for Annexations from Other Library Districts (multiply line 21 by line 11)",
 IF(DistrictType="Fire",
    "Allowable Budget Increase for Annexations from Other Fire Districts (multiply line 21 by line 11)",""))</f>
        <v/>
      </c>
      <c r="C60" s="432"/>
      <c r="D60" s="432"/>
      <c r="E60" s="433"/>
      <c r="F60" s="121" t="s">
        <v>64</v>
      </c>
      <c r="G60" s="201" t="str">
        <f>IF(DistrictName&lt;&gt;0,
    IF(SCOstatus="No",0,
       IFERROR(ROUND(E59*E46,0),0)),"")</f>
        <v/>
      </c>
      <c r="H60" s="248">
        <f>IFERROR(ROUND(E59*H46,0),0)</f>
        <v>0</v>
      </c>
    </row>
    <row r="61" spans="2:9" ht="16.899999999999999" customHeight="1" x14ac:dyDescent="0.25">
      <c r="B61" s="434" t="str">
        <f>IF(DistrictType="School","Total Tort Fund After Increases Calculated Above (line 1 + line 2 + line 7 + line 12 + line 15 + line 19)",
    "Total Non-Exempt Property Tax Budget After Increases Calculated Above (line 1 + line 2 + line 7 + line 12 + line 15 + line 19 + line 22)")</f>
        <v>Total Non-Exempt Property Tax Budget After Increases Calculated Above (line 1 + line 2 + line 7 + line 12 + line 15 + line 19 + line 22)</v>
      </c>
      <c r="C61" s="520"/>
      <c r="D61" s="520"/>
      <c r="E61" s="435"/>
      <c r="F61" s="125" t="s">
        <v>65</v>
      </c>
      <c r="G61" s="132" t="str">
        <f>IF(DistrictName&lt;&gt;0,ROUND(SUM(HighestofLast3yrs,G19,NewConstructionBudgetIncrease,AnnexationBudgetIncreaseCapped,G51,URbudgetIncrease,G60),0),"")</f>
        <v/>
      </c>
      <c r="H61" s="248">
        <f>IFERROR(ROUND(SUM(HighestofLast3yrs,H19,H41,H47,H51,H56,H60),0),"")</f>
        <v>0</v>
      </c>
    </row>
    <row r="62" spans="2:9" ht="16.899999999999999" customHeight="1" x14ac:dyDescent="0.25">
      <c r="B62" s="461" t="str">
        <f>IF(DistrictType="School","Previous Solar Farm Tax (Forgone Amounts don't Apply to School Districts):","Previously Forgone Increases &amp; Previous Solar Farm Tax:")</f>
        <v>Previously Forgone Increases &amp; Previous Solar Farm Tax:</v>
      </c>
      <c r="C62" s="462"/>
      <c r="D62" s="462"/>
      <c r="E62" s="462"/>
      <c r="F62" s="154"/>
      <c r="G62" s="155"/>
    </row>
    <row r="63" spans="2:9" ht="16.899999999999999" customHeight="1" x14ac:dyDescent="0.25">
      <c r="B63" s="428" t="str">
        <f>IF(DistrictType="School","","Total accrued forgone balance (from the 'Maximum Budget and Forgone Amount Worksheet')")</f>
        <v>Total accrued forgone balance (from the 'Maximum Budget and Forgone Amount Worksheet')</v>
      </c>
      <c r="C63" s="429"/>
      <c r="D63" s="202"/>
      <c r="E63" s="203" t="str">
        <f>IF(DistrictName&lt;&gt;0,IF(DistrictType="School","",'1. Dashboard'!H61),"")</f>
        <v/>
      </c>
      <c r="F63" s="204"/>
      <c r="G63" s="205"/>
    </row>
    <row r="64" spans="2:9" ht="16.5" customHeight="1" x14ac:dyDescent="0.25">
      <c r="B64" s="434" t="str">
        <f>IF(DistrictType="School","",
    "Forgone amount to be recovered in this year's budget for Maintenance &amp; Operations (up to 1% of line 23)")</f>
        <v>Forgone amount to be recovered in this year's budget for Maintenance &amp; Operations (up to 1% of line 23)</v>
      </c>
      <c r="C64" s="435"/>
      <c r="D64" s="125" t="s">
        <v>1074</v>
      </c>
      <c r="E64" s="169" t="str">
        <f>IF(DistrictName=0,"",
    IFERROR(IF(DistrictType="School","",
               IF(SCOstatus="No",0,
                  ROUND('1. Dashboard'!H64,0))),""))</f>
        <v/>
      </c>
      <c r="F64" s="127"/>
      <c r="G64" s="128"/>
    </row>
    <row r="65" spans="2:9" ht="16.5" customHeight="1" x14ac:dyDescent="0.25">
      <c r="B65" s="434" t="str">
        <f>IF(DistrictType="School","",
   "Forgone amount to be recovered in this year's budget for Capital Projects (up to 3% of line 23)")</f>
        <v>Forgone amount to be recovered in this year's budget for Capital Projects (up to 3% of line 23)</v>
      </c>
      <c r="C65" s="435"/>
      <c r="D65" s="125" t="s">
        <v>1075</v>
      </c>
      <c r="E65" s="169" t="str">
        <f>IF(DistrictName=0,"",
    IFERROR(IF(DistrictType="School","",
               IF(SCOstatus="No",0,
                  ROUND('1. Dashboard'!H66,0))),""))</f>
        <v/>
      </c>
      <c r="F65" s="127"/>
      <c r="G65" s="128"/>
    </row>
    <row r="66" spans="2:9" ht="16.899999999999999" customHeight="1" x14ac:dyDescent="0.25">
      <c r="B66" s="434" t="s">
        <v>1367</v>
      </c>
      <c r="C66" s="435"/>
      <c r="D66" s="120" t="s">
        <v>1076</v>
      </c>
      <c r="E66" s="170" t="str">
        <f>IF(DistrictName&lt;&gt;0,IFERROR(ROUND(
   IF(G13=MAX(C13:G13),'2. L-2 Worksheet'!G11,
   IF(E13=MAX(C13:G13),'2. L-2 Worksheet'!E11,
   IF(C13=MAX(C13:G13),'2. L-2 Worksheet'!C11))),0),""),"")</f>
        <v/>
      </c>
      <c r="F66" s="127"/>
      <c r="G66" s="128"/>
      <c r="I66" s="3"/>
    </row>
    <row r="67" spans="2:9" ht="20.25" customHeight="1" x14ac:dyDescent="0.25">
      <c r="B67" s="495" t="str">
        <f>IF(DistrictType="School",
    "Maximum Tort Fund After All Allowable Increases and Before Subtractions (line 23 + lines 24 thru 26)",
    "Maximum Non-Exempt Property Tax Budget After All Allowable Increases and Before Subtractions (line 23 + lines 24 thru 26)")</f>
        <v>Maximum Non-Exempt Property Tax Budget After All Allowable Increases and Before Subtractions (line 23 + lines 24 thru 26)</v>
      </c>
      <c r="C67" s="496"/>
      <c r="D67" s="496"/>
      <c r="E67" s="497"/>
      <c r="F67" s="121" t="s">
        <v>1077</v>
      </c>
      <c r="G67" s="246" t="str">
        <f>IF(DistrictName&lt;&gt;0,ROUND(SUM(G61,E64:E66),0),"")</f>
        <v/>
      </c>
      <c r="H67" s="248">
        <f>IFERROR(ROUND(SUM(H61,E64:E66),0),"")</f>
        <v>0</v>
      </c>
    </row>
    <row r="68" spans="2:9" ht="16.899999999999999" customHeight="1" x14ac:dyDescent="0.25">
      <c r="B68" s="458" t="s">
        <v>1162</v>
      </c>
      <c r="C68" s="459"/>
      <c r="D68" s="459"/>
      <c r="E68" s="460"/>
      <c r="F68" s="127"/>
      <c r="G68" s="128"/>
      <c r="I68" s="3"/>
    </row>
    <row r="69" spans="2:9" ht="16.899999999999999" customHeight="1" x14ac:dyDescent="0.25">
      <c r="B69" s="463" t="s">
        <v>1155</v>
      </c>
      <c r="C69" s="464"/>
      <c r="D69" s="120" t="s">
        <v>1078</v>
      </c>
      <c r="E69" s="170" t="str" cm="1">
        <f t="array" ref="E69">IF(DistrictName&lt;&gt;0,INDEX(DataDump!L1:L1202,MATCH(1,(COUNTY1=DataDump!C1:C1202)*(DataDump!G1:G1202='1. Dashboard'!G13),0))," ")</f>
        <v xml:space="preserve"> </v>
      </c>
      <c r="F69" s="127"/>
      <c r="G69" s="133"/>
      <c r="I69" s="3"/>
    </row>
    <row r="70" spans="2:9" ht="16.899999999999999" customHeight="1" x14ac:dyDescent="0.25">
      <c r="B70" s="434" t="s">
        <v>1156</v>
      </c>
      <c r="C70" s="435"/>
      <c r="D70" s="125" t="s">
        <v>1095</v>
      </c>
      <c r="E70" s="171" t="str" cm="1">
        <f t="array" ref="E70">IF(DistrictName&lt;&gt;0,INDEX(DataDump!M1:M1202,MATCH(1,(COUNTY1=DataDump!C1:C1202)*(DataDump!G1:G1202='1. Dashboard'!G13),0))," ")</f>
        <v xml:space="preserve"> </v>
      </c>
      <c r="F70" s="127"/>
      <c r="G70" s="133"/>
    </row>
    <row r="71" spans="2:9" ht="16.899999999999999" customHeight="1" x14ac:dyDescent="0.25">
      <c r="B71" s="434" t="s">
        <v>1157</v>
      </c>
      <c r="C71" s="435"/>
      <c r="D71" s="125" t="s">
        <v>1096</v>
      </c>
      <c r="E71" s="171" t="str" cm="1">
        <f t="array" ref="E71">IF(DistrictName&lt;&gt;0,INDEX(DataDump!O1:O1202,MATCH(1,(COUNTY1=DataDump!C1:C1202)*(DataDump!G1:G1202='1. Dashboard'!G13),0))," ")</f>
        <v xml:space="preserve"> </v>
      </c>
      <c r="F71" s="127"/>
      <c r="G71" s="133"/>
    </row>
    <row r="72" spans="2:9" ht="16.899999999999999" customHeight="1" x14ac:dyDescent="0.25">
      <c r="B72" s="434" t="s">
        <v>1354</v>
      </c>
      <c r="C72" s="435"/>
      <c r="D72" s="120" t="s">
        <v>1097</v>
      </c>
      <c r="E72" s="170" t="str">
        <f>IF(DistrictName&lt;&gt;0,ROUND('1. Dashboard'!$H$58,0),"")</f>
        <v/>
      </c>
      <c r="F72" s="127"/>
      <c r="G72" s="133"/>
    </row>
    <row r="73" spans="2:9" ht="16.899999999999999" customHeight="1" x14ac:dyDescent="0.25">
      <c r="B73" s="434" t="s">
        <v>1154</v>
      </c>
      <c r="C73" s="435"/>
      <c r="D73" s="120" t="s">
        <v>1108</v>
      </c>
      <c r="E73" s="170" t="str">
        <f>IF('1. Dashboard'!$H$49="Yes",ROUND('1. Dashboard'!$H$50,0),"")</f>
        <v/>
      </c>
      <c r="F73" s="127"/>
      <c r="G73" s="133"/>
    </row>
    <row r="74" spans="2:9" ht="16.899999999999999" customHeight="1" x14ac:dyDescent="0.25">
      <c r="B74" s="434" t="s">
        <v>1210</v>
      </c>
      <c r="C74" s="435"/>
      <c r="D74" s="120" t="s">
        <v>1142</v>
      </c>
      <c r="E74" s="170" t="str">
        <f>IF('1. Dashboard'!$H$51="Yes",ROUND('1. Dashboard'!$H$52,0),"")</f>
        <v/>
      </c>
      <c r="F74" s="127"/>
      <c r="G74" s="133"/>
    </row>
    <row r="75" spans="2:9" ht="16.899999999999999" customHeight="1" x14ac:dyDescent="0.25">
      <c r="B75" s="430" t="s">
        <v>1368</v>
      </c>
      <c r="C75" s="431"/>
      <c r="D75" s="432"/>
      <c r="E75" s="433"/>
      <c r="F75" s="125" t="s">
        <v>1143</v>
      </c>
      <c r="G75" s="172" t="str">
        <f>IF(DistrictName&lt;&gt;0,ROUND(SUM(E69:E74),0),"")</f>
        <v/>
      </c>
    </row>
    <row r="76" spans="2:9" ht="16.899999999999999" customHeight="1" x14ac:dyDescent="0.25">
      <c r="B76" s="458" t="s">
        <v>1204</v>
      </c>
      <c r="C76" s="459"/>
      <c r="D76" s="459"/>
      <c r="E76" s="460"/>
      <c r="F76" s="127"/>
      <c r="G76" s="128"/>
    </row>
    <row r="77" spans="2:9" ht="16.899999999999999" customHeight="1" x14ac:dyDescent="0.25">
      <c r="B77" s="463" t="s">
        <v>1211</v>
      </c>
      <c r="C77" s="474"/>
      <c r="D77" s="120" t="s">
        <v>1203</v>
      </c>
      <c r="E77" s="170" t="str">
        <f>IF('1. Dashboard'!$H$53="Yes",ROUND('1. Dashboard'!$H$54,0),"")</f>
        <v/>
      </c>
      <c r="F77" s="127"/>
      <c r="G77" s="133"/>
    </row>
    <row r="78" spans="2:9" ht="16.899999999999999" customHeight="1" x14ac:dyDescent="0.25">
      <c r="B78" s="434" t="str">
        <f>"Solar Farm Tax received in the current year (7/1/"&amp;MID($B$15,3,2)-1&amp;" - 6/30/"&amp;MID($B$15,3,2)&amp;")"</f>
        <v>Solar Farm Tax received in the current year (7/1/25 - 6/30/26)</v>
      </c>
      <c r="C78" s="435"/>
      <c r="D78" s="120" t="s">
        <v>1355</v>
      </c>
      <c r="E78" s="170" t="str">
        <f>IF('1. Dashboard'!$H$47="Yes",ROUND('1. Dashboard'!$H$48,0),"")</f>
        <v/>
      </c>
      <c r="F78" s="127"/>
      <c r="G78" s="133"/>
    </row>
    <row r="79" spans="2:9" ht="16.899999999999999" customHeight="1" thickBot="1" x14ac:dyDescent="0.3">
      <c r="B79" s="475" t="s">
        <v>1369</v>
      </c>
      <c r="C79" s="476"/>
      <c r="D79" s="476"/>
      <c r="E79" s="477"/>
      <c r="F79" s="125" t="s">
        <v>1361</v>
      </c>
      <c r="G79" s="172" t="str">
        <f>IF(DistrictName&lt;&gt;0,ROUND(SUM(E77:E78),0),"")</f>
        <v/>
      </c>
    </row>
    <row r="80" spans="2:9" ht="16.899999999999999" customHeight="1" thickBot="1" x14ac:dyDescent="0.3">
      <c r="B80" s="451" t="str">
        <f>"Fire District Annexation (Cities Only):"</f>
        <v>Fire District Annexation (Cities Only):</v>
      </c>
      <c r="C80" s="452"/>
      <c r="D80" s="452"/>
      <c r="E80" s="452"/>
      <c r="F80" s="452"/>
      <c r="G80" s="453"/>
    </row>
    <row r="81" spans="2:9" ht="16.899999999999999" customHeight="1" thickBot="1" x14ac:dyDescent="0.3">
      <c r="B81" s="513" t="str">
        <f>IF(DistrictType="City","If annexed by a fire district, the amount spent on fire services in the prior year is to be subtracted here","")</f>
        <v/>
      </c>
      <c r="C81" s="514"/>
      <c r="D81" s="514"/>
      <c r="E81" s="515"/>
      <c r="F81" s="134" t="s">
        <v>1362</v>
      </c>
      <c r="G81" s="132" t="str">
        <f>IF(DistrictName&lt;&gt;0,ROUND(IF(DistrictType="City",'1. Dashboard'!H43,0),0),"")</f>
        <v/>
      </c>
    </row>
    <row r="82" spans="2:9" ht="16.899999999999999" customHeight="1" thickBot="1" x14ac:dyDescent="0.3">
      <c r="B82" s="451" t="str">
        <f>IF(DistrictType="School","Tort Fund Less Property Tax Replacement (School Districts Only):","For School Districts Only:")</f>
        <v>For School Districts Only:</v>
      </c>
      <c r="C82" s="452"/>
      <c r="D82" s="452"/>
      <c r="E82" s="452"/>
      <c r="F82" s="452"/>
      <c r="G82" s="453"/>
    </row>
    <row r="83" spans="2:9" ht="16.899999999999999" customHeight="1" x14ac:dyDescent="0.25">
      <c r="B83" s="500" t="str">
        <f>IF(DistrictType&lt;&gt;"School", "", "If the total property tax replacements plus current year solar tax (Line 34 + Line 37) is less than or equal to the maximum tort fund (Line 27), the difference is shown here."&amp;" This is the maximum amount of property tax that can be levied for the tort fund.")</f>
        <v/>
      </c>
      <c r="C83" s="501"/>
      <c r="D83" s="501"/>
      <c r="E83" s="502"/>
      <c r="F83" s="472" t="s">
        <v>1363</v>
      </c>
      <c r="G83" s="511">
        <f>IFERROR(IF(DistrictType="School", IF((G67-G75-G79)&lt;0,"",ROUND(G67-G75-G79,0)),0),"")</f>
        <v>0</v>
      </c>
      <c r="H83" s="491"/>
    </row>
    <row r="84" spans="2:9" ht="16.899999999999999" customHeight="1" x14ac:dyDescent="0.25">
      <c r="B84" s="503"/>
      <c r="C84" s="504"/>
      <c r="D84" s="504"/>
      <c r="E84" s="505"/>
      <c r="F84" s="473"/>
      <c r="G84" s="512"/>
      <c r="H84" s="491"/>
    </row>
    <row r="85" spans="2:9" ht="16.899999999999999" customHeight="1" x14ac:dyDescent="0.25">
      <c r="B85" s="465" t="str">
        <f>IF(DistrictType&lt;&gt;"School", "", "If the total property tax replacements plus current year solar tax (Line 34 + Line 37) is greater than or equal to the maximum tort fund (Line 27), the difference is shown here."&amp;" The tort fund will be paid by the replacements (plus current year solar tax) and this is the minimum amount of property tax replacement that is to be subtracted from any other fund(s) levying property taxes.")</f>
        <v/>
      </c>
      <c r="C85" s="432"/>
      <c r="D85" s="432"/>
      <c r="E85" s="433"/>
      <c r="F85" s="498" t="s">
        <v>1366</v>
      </c>
      <c r="G85" s="509">
        <f>IFERROR(IF(DistrictType="School", IF((G67-G75-G79)&gt;0,"",ROUND(ABS(G67-G75-G79),0)),0),"")</f>
        <v>0</v>
      </c>
      <c r="H85" s="491"/>
      <c r="I85" s="32"/>
    </row>
    <row r="86" spans="2:9" ht="30.75" customHeight="1" thickBot="1" x14ac:dyDescent="0.3">
      <c r="B86" s="506"/>
      <c r="C86" s="507"/>
      <c r="D86" s="507"/>
      <c r="E86" s="508"/>
      <c r="F86" s="499"/>
      <c r="G86" s="510"/>
      <c r="H86" s="491"/>
      <c r="I86" s="32"/>
    </row>
    <row r="87" spans="2:9" ht="16.899999999999999" customHeight="1" thickBot="1" x14ac:dyDescent="0.3">
      <c r="B87" s="466" t="str">
        <f>IF(DistrictType="School","","Maximum Allowable Non-Exempt Property Tax That Can Be Levied (Including Forgone Amount):")</f>
        <v>Maximum Allowable Non-Exempt Property Tax That Can Be Levied (Including Forgone Amount):</v>
      </c>
      <c r="C87" s="467"/>
      <c r="D87" s="467"/>
      <c r="E87" s="467"/>
      <c r="F87" s="467"/>
      <c r="G87" s="468"/>
    </row>
    <row r="88" spans="2:9" ht="16.899999999999999" customHeight="1" thickBot="1" x14ac:dyDescent="0.3">
      <c r="B88" s="469" t="str">
        <f>IF(DistrictType="School","", "Maximum non-exempt property tax budget including forgone amount (lines 27 - 34 - 37 - 38)")</f>
        <v>Maximum non-exempt property tax budget including forgone amount (lines 27 - 34 - 37 - 38)</v>
      </c>
      <c r="C88" s="470"/>
      <c r="D88" s="470"/>
      <c r="E88" s="471"/>
      <c r="F88" s="122" t="str">
        <f>IF(DistrictType="School","","(41)")</f>
        <v>(41)</v>
      </c>
      <c r="G88" s="175" t="str">
        <f>IFERROR(IF(DistrictName&lt;&gt;0,IF(DistrictType&lt;&gt;"School", IF(G67-G75-G79-G81&gt;=0, ROUND(G67-G75-G79-G81,0), "Less than $0"),""),""),"")</f>
        <v/>
      </c>
      <c r="H88" s="248" t="str">
        <f>IFERROR(IF(G18&lt;&gt;0,
         IF('1. Dashboard'!G12&lt;&gt;"School",
            IF(H67-G75-G79-G81&gt;=0,
               ROUND(H67-G75-G79-G81,0),
               "Less than $0"), 0),""),"")</f>
        <v/>
      </c>
    </row>
    <row r="89" spans="2:9" ht="16.899999999999999" customHeight="1" x14ac:dyDescent="0.25">
      <c r="B89" s="457"/>
      <c r="C89" s="457"/>
      <c r="D89" s="457"/>
      <c r="E89" s="457"/>
      <c r="F89" s="457"/>
      <c r="G89" s="457"/>
    </row>
  </sheetData>
  <sheetProtection algorithmName="SHA-512" hashValue="BGUUxovmXlYi2kh+MFrJLAhJTlAiS5G2spk5iiSBdR8TEHLveIZlmOKGyXkR6FaM8YXCJzXxciJPocWmSFTMIQ==" saltValue="iHDwcU2UwjtGWswPOY87HA==" spinCount="100000" sheet="1" objects="1" scenarios="1"/>
  <mergeCells count="107">
    <mergeCell ref="B41:E41"/>
    <mergeCell ref="B57:E57"/>
    <mergeCell ref="B58:C58"/>
    <mergeCell ref="B59:C59"/>
    <mergeCell ref="B60:E60"/>
    <mergeCell ref="B61:E61"/>
    <mergeCell ref="B56:C56"/>
    <mergeCell ref="B55:C55"/>
    <mergeCell ref="B46:C46"/>
    <mergeCell ref="B43:C43"/>
    <mergeCell ref="B44:C44"/>
    <mergeCell ref="E5:F5"/>
    <mergeCell ref="B40:C40"/>
    <mergeCell ref="B45:C45"/>
    <mergeCell ref="H83:H84"/>
    <mergeCell ref="H85:H86"/>
    <mergeCell ref="B20:G20"/>
    <mergeCell ref="B47:E47"/>
    <mergeCell ref="B52:E52"/>
    <mergeCell ref="B67:E67"/>
    <mergeCell ref="B64:C64"/>
    <mergeCell ref="F85:F86"/>
    <mergeCell ref="B83:E84"/>
    <mergeCell ref="B85:E86"/>
    <mergeCell ref="G85:G86"/>
    <mergeCell ref="G83:G84"/>
    <mergeCell ref="B81:E81"/>
    <mergeCell ref="B74:C74"/>
    <mergeCell ref="B73:C73"/>
    <mergeCell ref="B54:C54"/>
    <mergeCell ref="B53:C53"/>
    <mergeCell ref="B33:E33"/>
    <mergeCell ref="D27:E27"/>
    <mergeCell ref="D21:E21"/>
    <mergeCell ref="D35:E35"/>
    <mergeCell ref="B79:E79"/>
    <mergeCell ref="B42:E42"/>
    <mergeCell ref="B31:C31"/>
    <mergeCell ref="B32:C32"/>
    <mergeCell ref="B39:C39"/>
    <mergeCell ref="B1:G1"/>
    <mergeCell ref="B36:C36"/>
    <mergeCell ref="B37:C37"/>
    <mergeCell ref="B38:C38"/>
    <mergeCell ref="B27:C27"/>
    <mergeCell ref="B21:C21"/>
    <mergeCell ref="B16:C16"/>
    <mergeCell ref="B34:C34"/>
    <mergeCell ref="B35:C35"/>
    <mergeCell ref="B22:C22"/>
    <mergeCell ref="B23:C23"/>
    <mergeCell ref="B24:C24"/>
    <mergeCell ref="B25:C25"/>
    <mergeCell ref="B26:C26"/>
    <mergeCell ref="B2:G2"/>
    <mergeCell ref="D16:G16"/>
    <mergeCell ref="B14:G14"/>
    <mergeCell ref="E4:F4"/>
    <mergeCell ref="C13:D13"/>
    <mergeCell ref="B18:E18"/>
    <mergeCell ref="E10:F10"/>
    <mergeCell ref="E11:F11"/>
    <mergeCell ref="C6:D6"/>
    <mergeCell ref="C7:D7"/>
    <mergeCell ref="B89:G89"/>
    <mergeCell ref="B68:E68"/>
    <mergeCell ref="B76:E76"/>
    <mergeCell ref="B48:E48"/>
    <mergeCell ref="B62:E62"/>
    <mergeCell ref="B66:C66"/>
    <mergeCell ref="B69:C69"/>
    <mergeCell ref="B49:C49"/>
    <mergeCell ref="B50:C50"/>
    <mergeCell ref="B51:E51"/>
    <mergeCell ref="B65:C65"/>
    <mergeCell ref="B87:G87"/>
    <mergeCell ref="B88:E88"/>
    <mergeCell ref="B80:G80"/>
    <mergeCell ref="B82:G82"/>
    <mergeCell ref="F83:F84"/>
    <mergeCell ref="B77:C77"/>
    <mergeCell ref="B78:C78"/>
    <mergeCell ref="B72:C72"/>
    <mergeCell ref="B19:E19"/>
    <mergeCell ref="B63:C63"/>
    <mergeCell ref="B75:E75"/>
    <mergeCell ref="B70:C70"/>
    <mergeCell ref="B71:C71"/>
    <mergeCell ref="C4:D4"/>
    <mergeCell ref="B3:G3"/>
    <mergeCell ref="B15:G15"/>
    <mergeCell ref="C12:D12"/>
    <mergeCell ref="E12:F12"/>
    <mergeCell ref="E13:F13"/>
    <mergeCell ref="B28:C28"/>
    <mergeCell ref="B29:C29"/>
    <mergeCell ref="B30:C30"/>
    <mergeCell ref="C8:D8"/>
    <mergeCell ref="C9:D9"/>
    <mergeCell ref="E6:F6"/>
    <mergeCell ref="E7:F7"/>
    <mergeCell ref="E8:F8"/>
    <mergeCell ref="E9:F9"/>
    <mergeCell ref="C5:D5"/>
    <mergeCell ref="C10:D10"/>
    <mergeCell ref="C11:D11"/>
    <mergeCell ref="B17:G17"/>
  </mergeCells>
  <conditionalFormatting sqref="A15:C15 H15:XFD17 B16 B17:C17 A18:XFD20 A33:C33 A34:B40 D34:XFD40 A41:XFD42 A43:B46 D43:XFD46 A47:XFD51 A52:C52 D63:XFD66 A69:B74 D69:XFD74 A75:XFD75 A76:C76 F76:XFD79 A77:B79 A80:C80 H80:XFD80 A81:B81 F81:XFD81 H82:XFD82 I83:XFD86 A84 A85:C85 A86 A87:C87 H87:XFD87">
    <cfRule type="containsErrors" dxfId="75" priority="58">
      <formula>ISERROR(A15)</formula>
    </cfRule>
  </conditionalFormatting>
  <conditionalFormatting sqref="A48:C48 F48:XFD48">
    <cfRule type="containsErrors" dxfId="74" priority="16">
      <formula>ISERROR(A48)</formula>
    </cfRule>
  </conditionalFormatting>
  <conditionalFormatting sqref="A60:E60">
    <cfRule type="containsErrors" dxfId="73" priority="4">
      <formula>ISERROR(A60)</formula>
    </cfRule>
  </conditionalFormatting>
  <conditionalFormatting sqref="A57:XFD57 A58:B59 A61:B61">
    <cfRule type="containsErrors" dxfId="72" priority="12">
      <formula>ISERROR(A57)</formula>
    </cfRule>
  </conditionalFormatting>
  <conditionalFormatting sqref="A88:XFD88 A89:B89 H89:XFD89 A90:XFD1048576">
    <cfRule type="containsErrors" dxfId="71" priority="19">
      <formula>ISERROR(A88)</formula>
    </cfRule>
  </conditionalFormatting>
  <conditionalFormatting sqref="B3:B13">
    <cfRule type="containsErrors" dxfId="70" priority="28">
      <formula>ISERROR(B3)</formula>
    </cfRule>
  </conditionalFormatting>
  <conditionalFormatting sqref="B67">
    <cfRule type="expression" dxfId="69" priority="35">
      <formula>DistrictType="School"</formula>
    </cfRule>
  </conditionalFormatting>
  <conditionalFormatting sqref="B2:C2">
    <cfRule type="containsErrors" dxfId="68" priority="32">
      <formula>ISERROR(B2)</formula>
    </cfRule>
  </conditionalFormatting>
  <conditionalFormatting sqref="C4:G4">
    <cfRule type="containsErrors" dxfId="67" priority="30">
      <formula>ISERROR(C4)</formula>
    </cfRule>
  </conditionalFormatting>
  <conditionalFormatting sqref="C13:G13">
    <cfRule type="cellIs" dxfId="66" priority="25" operator="equal">
      <formula>0</formula>
    </cfRule>
    <cfRule type="top10" dxfId="65" priority="26" rank="1"/>
  </conditionalFormatting>
  <conditionalFormatting sqref="D77:E78">
    <cfRule type="containsErrors" dxfId="64" priority="24">
      <formula>ISERROR(D77)</formula>
    </cfRule>
  </conditionalFormatting>
  <conditionalFormatting sqref="D21:XFD27 A21:B32 D28:E32 F28:XFD33">
    <cfRule type="containsErrors" dxfId="63" priority="43">
      <formula>ISERROR(A21)</formula>
    </cfRule>
  </conditionalFormatting>
  <conditionalFormatting sqref="D49:XFD50 A49:B51 F51:XFD52 D53:XFD55 A53:B56 D58:XFD59 F60:XFD68 A62:C62 A63:B67 D66:E66 A67:C68 A82:C83">
    <cfRule type="containsErrors" dxfId="62" priority="21">
      <formula>ISERROR(A49)</formula>
    </cfRule>
  </conditionalFormatting>
  <conditionalFormatting sqref="F60:G61">
    <cfRule type="containsErrors" dxfId="61" priority="6">
      <formula>ISERROR(F60)</formula>
    </cfRule>
  </conditionalFormatting>
  <conditionalFormatting sqref="F67:H67">
    <cfRule type="containsErrors" dxfId="60" priority="1">
      <formula>ISERROR(F67)</formula>
    </cfRule>
  </conditionalFormatting>
  <conditionalFormatting sqref="F83:H83 F85:H85">
    <cfRule type="containsErrors" dxfId="59" priority="20">
      <formula>ISERROR(F83)</formula>
    </cfRule>
  </conditionalFormatting>
  <conditionalFormatting sqref="F56:XFD56">
    <cfRule type="containsErrors" dxfId="58" priority="9">
      <formula>ISERROR(F56)</formula>
    </cfRule>
  </conditionalFormatting>
  <conditionalFormatting sqref="G48">
    <cfRule type="cellIs" dxfId="57" priority="15" operator="greaterThan">
      <formula>$G$75</formula>
    </cfRule>
  </conditionalFormatting>
  <conditionalFormatting sqref="G52">
    <cfRule type="cellIs" dxfId="56" priority="322" operator="greaterThan">
      <formula>$G$75</formula>
    </cfRule>
  </conditionalFormatting>
  <conditionalFormatting sqref="G62">
    <cfRule type="cellIs" dxfId="55" priority="14" operator="greaterThan">
      <formula>$G$75</formula>
    </cfRule>
  </conditionalFormatting>
  <conditionalFormatting sqref="G68">
    <cfRule type="cellIs" dxfId="54" priority="18" operator="greaterThan">
      <formula>$G$75</formula>
    </cfRule>
  </conditionalFormatting>
  <conditionalFormatting sqref="G76">
    <cfRule type="cellIs" dxfId="53" priority="17" operator="greaterThan">
      <formula>$G$75</formula>
    </cfRule>
  </conditionalFormatting>
  <conditionalFormatting sqref="H61">
    <cfRule type="containsErrors" dxfId="52" priority="2">
      <formula>ISERROR(H61)</formula>
    </cfRule>
  </conditionalFormatting>
  <printOptions horizontalCentered="1"/>
  <pageMargins left="0.2" right="0.2" top="0.25" bottom="0.25" header="0.3" footer="0.3"/>
  <pageSetup scale="78" fitToHeight="0" orientation="landscape" r:id="rId1"/>
  <rowBreaks count="2" manualBreakCount="2">
    <brk id="14" max="16383" man="1"/>
    <brk id="51" max="16383" man="1"/>
  </rowBreaks>
  <ignoredErrors>
    <ignoredError sqref="F84 F42:F46 F18:F19 F86"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D71D-0162-184E-8FAA-223497D37D92}">
  <sheetPr codeName="Sheet9">
    <pageSetUpPr fitToPage="1"/>
  </sheetPr>
  <dimension ref="A1:Q71"/>
  <sheetViews>
    <sheetView showGridLines="0" showZeros="0" zoomScale="90" zoomScaleNormal="90" workbookViewId="0">
      <selection activeCell="B15" sqref="B15:C15"/>
    </sheetView>
  </sheetViews>
  <sheetFormatPr defaultColWidth="8.75" defaultRowHeight="16.899999999999999" customHeight="1" x14ac:dyDescent="0.25"/>
  <cols>
    <col min="1" max="1" width="2.75" style="4" customWidth="1"/>
    <col min="2" max="2" width="2.5" style="4" customWidth="1"/>
    <col min="3" max="3" width="29.375" style="4" customWidth="1"/>
    <col min="4" max="4" width="18.625" style="4" customWidth="1"/>
    <col min="5" max="5" width="21.375" style="4" customWidth="1"/>
    <col min="6" max="6" width="20.25" style="4" customWidth="1"/>
    <col min="7" max="7" width="20.875" style="4" customWidth="1"/>
    <col min="8" max="8" width="23" style="4" customWidth="1"/>
    <col min="9" max="9" width="8.75" style="4"/>
    <col min="10" max="10" width="13.5" style="4" bestFit="1" customWidth="1"/>
    <col min="11" max="11" width="11.25" style="4" bestFit="1" customWidth="1"/>
    <col min="12" max="16" width="8.75" style="4"/>
    <col min="17" max="17" width="13.75" style="4" bestFit="1" customWidth="1"/>
    <col min="18" max="16384" width="8.75" style="4"/>
  </cols>
  <sheetData>
    <row r="1" spans="1:17" ht="16.899999999999999" customHeight="1" thickBot="1" x14ac:dyDescent="0.3">
      <c r="A1" s="54"/>
    </row>
    <row r="2" spans="1:17" ht="16.899999999999999" customHeight="1" x14ac:dyDescent="0.25">
      <c r="B2" s="603" t="str">
        <f>LEFT('1. Dashboard'!$B$8,4)&amp;" Dollar Certification of Budget Request to Board of County Commissioners L-2"</f>
        <v>2026 Dollar Certification of Budget Request to Board of County Commissioners L-2</v>
      </c>
      <c r="C2" s="604"/>
      <c r="D2" s="604"/>
      <c r="E2" s="604"/>
      <c r="F2" s="604"/>
      <c r="G2" s="604"/>
      <c r="H2" s="605"/>
      <c r="Q2" s="5"/>
    </row>
    <row r="3" spans="1:17" ht="16.899999999999999" customHeight="1" thickBot="1" x14ac:dyDescent="0.3">
      <c r="B3" s="606" t="s">
        <v>59</v>
      </c>
      <c r="C3" s="607"/>
      <c r="D3" s="607"/>
      <c r="E3" s="607"/>
      <c r="F3" s="607"/>
      <c r="G3" s="607"/>
      <c r="H3" s="608"/>
    </row>
    <row r="4" spans="1:17" ht="16.899999999999999" customHeight="1" x14ac:dyDescent="0.25">
      <c r="B4" s="57" t="s">
        <v>1</v>
      </c>
      <c r="C4" s="28"/>
      <c r="D4" s="609">
        <f>'1. Dashboard'!G13</f>
        <v>0</v>
      </c>
      <c r="E4" s="609"/>
      <c r="F4" s="609"/>
      <c r="G4" s="609"/>
      <c r="H4" s="610"/>
    </row>
    <row r="5" spans="1:17" ht="16.899999999999999" customHeight="1" x14ac:dyDescent="0.25">
      <c r="B5" s="591" t="s">
        <v>37</v>
      </c>
      <c r="C5" s="592"/>
      <c r="D5" s="587" t="s">
        <v>61</v>
      </c>
      <c r="E5" s="587" t="str">
        <f>IF('1. Dashboard'!G12="School","Cash Forward Balance &amp; Other Revenue Not Shown in Columns 4 or 5","Cash Forward Balance")</f>
        <v>Cash Forward Balance</v>
      </c>
      <c r="F5" s="587" t="str">
        <f>IF('1. Dashboard'!G12="School","Revenue from School District Facilities Fund (IC§33-911)","Other revenue NOT shown in Column 5")</f>
        <v>Other revenue NOT shown in Column 5</v>
      </c>
      <c r="G5" s="587" t="s">
        <v>1370</v>
      </c>
      <c r="H5" s="589" t="s">
        <v>60</v>
      </c>
    </row>
    <row r="6" spans="1:17" ht="16.899999999999999" customHeight="1" x14ac:dyDescent="0.25">
      <c r="B6" s="593"/>
      <c r="C6" s="594"/>
      <c r="D6" s="588"/>
      <c r="E6" s="588"/>
      <c r="F6" s="588"/>
      <c r="G6" s="588"/>
      <c r="H6" s="590"/>
    </row>
    <row r="7" spans="1:17" ht="50.45" customHeight="1" x14ac:dyDescent="0.25">
      <c r="B7" s="595"/>
      <c r="C7" s="596"/>
      <c r="D7" s="588"/>
      <c r="E7" s="588"/>
      <c r="F7" s="588"/>
      <c r="G7" s="588"/>
      <c r="H7" s="590"/>
      <c r="K7" s="49"/>
    </row>
    <row r="8" spans="1:17" ht="16.899999999999999" customHeight="1" x14ac:dyDescent="0.25">
      <c r="B8" s="597">
        <v>1</v>
      </c>
      <c r="C8" s="598"/>
      <c r="D8" s="14">
        <v>2</v>
      </c>
      <c r="E8" s="14">
        <v>3</v>
      </c>
      <c r="F8" s="14">
        <v>4</v>
      </c>
      <c r="G8" s="14">
        <v>5</v>
      </c>
      <c r="H8" s="29">
        <v>6</v>
      </c>
    </row>
    <row r="9" spans="1:17" ht="16.899999999999999" customHeight="1" x14ac:dyDescent="0.25">
      <c r="B9" s="524"/>
      <c r="C9" s="525"/>
      <c r="D9" s="45"/>
      <c r="E9" s="45"/>
      <c r="F9" s="45"/>
      <c r="G9" s="45"/>
      <c r="H9" s="67">
        <f>ROUND(D9-(E9+F9+G9),0)</f>
        <v>0</v>
      </c>
    </row>
    <row r="10" spans="1:17" ht="16.899999999999999" customHeight="1" x14ac:dyDescent="0.25">
      <c r="B10" s="524"/>
      <c r="C10" s="525"/>
      <c r="D10" s="45"/>
      <c r="E10" s="45"/>
      <c r="F10" s="45"/>
      <c r="G10" s="45"/>
      <c r="H10" s="67">
        <f t="shared" ref="H10:H28" si="0">ROUND(D10-(E10+F10+G10),0)</f>
        <v>0</v>
      </c>
    </row>
    <row r="11" spans="1:17" ht="16.899999999999999" customHeight="1" x14ac:dyDescent="0.25">
      <c r="B11" s="524"/>
      <c r="C11" s="525"/>
      <c r="D11" s="45"/>
      <c r="E11" s="45"/>
      <c r="F11" s="45"/>
      <c r="G11" s="45"/>
      <c r="H11" s="67">
        <f t="shared" si="0"/>
        <v>0</v>
      </c>
    </row>
    <row r="12" spans="1:17" ht="16.899999999999999" customHeight="1" x14ac:dyDescent="0.25">
      <c r="B12" s="524"/>
      <c r="C12" s="525"/>
      <c r="D12" s="45"/>
      <c r="E12" s="45"/>
      <c r="F12" s="45"/>
      <c r="G12" s="45"/>
      <c r="H12" s="67">
        <f t="shared" si="0"/>
        <v>0</v>
      </c>
    </row>
    <row r="13" spans="1:17" ht="16.899999999999999" customHeight="1" x14ac:dyDescent="0.25">
      <c r="B13" s="524"/>
      <c r="C13" s="525"/>
      <c r="D13" s="45"/>
      <c r="E13" s="45"/>
      <c r="F13" s="45"/>
      <c r="G13" s="45"/>
      <c r="H13" s="67">
        <f t="shared" si="0"/>
        <v>0</v>
      </c>
    </row>
    <row r="14" spans="1:17" ht="16.899999999999999" customHeight="1" x14ac:dyDescent="0.25">
      <c r="B14" s="524"/>
      <c r="C14" s="525"/>
      <c r="D14" s="45"/>
      <c r="E14" s="45"/>
      <c r="F14" s="45"/>
      <c r="G14" s="45"/>
      <c r="H14" s="67">
        <f t="shared" si="0"/>
        <v>0</v>
      </c>
    </row>
    <row r="15" spans="1:17" ht="16.899999999999999" customHeight="1" x14ac:dyDescent="0.25">
      <c r="B15" s="524"/>
      <c r="C15" s="525"/>
      <c r="D15" s="45"/>
      <c r="E15" s="45"/>
      <c r="F15" s="45"/>
      <c r="G15" s="45"/>
      <c r="H15" s="67">
        <f t="shared" si="0"/>
        <v>0</v>
      </c>
    </row>
    <row r="16" spans="1:17" ht="16.899999999999999" customHeight="1" x14ac:dyDescent="0.25">
      <c r="B16" s="524"/>
      <c r="C16" s="525"/>
      <c r="D16" s="45"/>
      <c r="E16" s="45"/>
      <c r="F16" s="45"/>
      <c r="G16" s="45"/>
      <c r="H16" s="67">
        <f t="shared" si="0"/>
        <v>0</v>
      </c>
    </row>
    <row r="17" spans="2:10" ht="16.899999999999999" customHeight="1" x14ac:dyDescent="0.25">
      <c r="B17" s="524"/>
      <c r="C17" s="525"/>
      <c r="D17" s="45"/>
      <c r="E17" s="45"/>
      <c r="F17" s="45"/>
      <c r="G17" s="45"/>
      <c r="H17" s="67">
        <f t="shared" si="0"/>
        <v>0</v>
      </c>
    </row>
    <row r="18" spans="2:10" ht="16.899999999999999" customHeight="1" x14ac:dyDescent="0.25">
      <c r="B18" s="524"/>
      <c r="C18" s="525"/>
      <c r="D18" s="45"/>
      <c r="E18" s="45"/>
      <c r="F18" s="45"/>
      <c r="G18" s="45"/>
      <c r="H18" s="67">
        <f t="shared" si="0"/>
        <v>0</v>
      </c>
    </row>
    <row r="19" spans="2:10" ht="16.899999999999999" customHeight="1" x14ac:dyDescent="0.25">
      <c r="B19" s="524"/>
      <c r="C19" s="525"/>
      <c r="D19" s="45"/>
      <c r="E19" s="45"/>
      <c r="F19" s="45"/>
      <c r="G19" s="45"/>
      <c r="H19" s="67">
        <f t="shared" si="0"/>
        <v>0</v>
      </c>
    </row>
    <row r="20" spans="2:10" ht="16.899999999999999" customHeight="1" x14ac:dyDescent="0.25">
      <c r="B20" s="524"/>
      <c r="C20" s="525"/>
      <c r="D20" s="45"/>
      <c r="E20" s="45"/>
      <c r="F20" s="45"/>
      <c r="G20" s="45"/>
      <c r="H20" s="67">
        <f t="shared" si="0"/>
        <v>0</v>
      </c>
    </row>
    <row r="21" spans="2:10" ht="16.899999999999999" customHeight="1" x14ac:dyDescent="0.25">
      <c r="B21" s="524"/>
      <c r="C21" s="525"/>
      <c r="D21" s="45"/>
      <c r="E21" s="45"/>
      <c r="F21" s="45"/>
      <c r="G21" s="45"/>
      <c r="H21" s="67">
        <f t="shared" si="0"/>
        <v>0</v>
      </c>
      <c r="J21" s="71"/>
    </row>
    <row r="22" spans="2:10" ht="16.899999999999999" customHeight="1" x14ac:dyDescent="0.25">
      <c r="B22" s="524"/>
      <c r="C22" s="525"/>
      <c r="D22" s="45"/>
      <c r="E22" s="45"/>
      <c r="F22" s="45"/>
      <c r="G22" s="45"/>
      <c r="H22" s="67">
        <f t="shared" si="0"/>
        <v>0</v>
      </c>
    </row>
    <row r="23" spans="2:10" ht="16.899999999999999" customHeight="1" x14ac:dyDescent="0.25">
      <c r="B23" s="524"/>
      <c r="C23" s="525"/>
      <c r="D23" s="45"/>
      <c r="E23" s="45"/>
      <c r="F23" s="45"/>
      <c r="G23" s="45"/>
      <c r="H23" s="67">
        <f t="shared" si="0"/>
        <v>0</v>
      </c>
    </row>
    <row r="24" spans="2:10" ht="16.899999999999999" customHeight="1" x14ac:dyDescent="0.25">
      <c r="B24" s="104"/>
      <c r="C24" s="105" t="str">
        <f>IF(OR('1. Dashboard'!G12="Highway",'1. Dashboard'!G12="County w/Countywide Road and Bridge"),"^ I.C. §40-801(1)(a)","")</f>
        <v/>
      </c>
      <c r="D24" s="59"/>
      <c r="E24" s="59"/>
      <c r="F24" s="59"/>
      <c r="G24" s="59"/>
      <c r="H24" s="67">
        <f t="shared" si="0"/>
        <v>0</v>
      </c>
      <c r="J24" s="50"/>
    </row>
    <row r="25" spans="2:10" ht="16.899999999999999" customHeight="1" x14ac:dyDescent="0.25">
      <c r="B25" s="104"/>
      <c r="C25" s="105" t="str">
        <f>IF(OR('1. Dashboard'!G12="Highway",'1. Dashboard'!G12="County w/Countywide Road and Bridge"), "^^ I.C. §40-801(1)(b)", "")</f>
        <v/>
      </c>
      <c r="D25" s="59"/>
      <c r="E25" s="59"/>
      <c r="F25" s="59"/>
      <c r="G25" s="59"/>
      <c r="H25" s="67">
        <f t="shared" si="0"/>
        <v>0</v>
      </c>
      <c r="J25" s="50"/>
    </row>
    <row r="26" spans="2:10" ht="16.899999999999999" customHeight="1" x14ac:dyDescent="0.25">
      <c r="B26" s="104"/>
      <c r="C26" s="106" t="str">
        <f>IF(DistrictType="Highway","^^ Tort", IF(DistrictType="School", "Tort", ""))</f>
        <v/>
      </c>
      <c r="D26" s="59"/>
      <c r="E26" s="59"/>
      <c r="F26" s="59"/>
      <c r="G26" s="59"/>
      <c r="H26" s="67">
        <f t="shared" si="0"/>
        <v>0</v>
      </c>
      <c r="J26" s="50"/>
    </row>
    <row r="27" spans="2:10" ht="16.899999999999999" customHeight="1" x14ac:dyDescent="0.25">
      <c r="B27" s="104"/>
      <c r="C27" s="106" t="str">
        <f>IF(DistrictType="School", "School District Facility Reserves", "")</f>
        <v/>
      </c>
      <c r="D27" s="80"/>
      <c r="E27" s="80"/>
      <c r="F27" s="80"/>
      <c r="G27" s="112"/>
      <c r="H27" s="67">
        <f t="shared" si="0"/>
        <v>0</v>
      </c>
      <c r="J27" s="50"/>
    </row>
    <row r="28" spans="2:10" ht="16.899999999999999" customHeight="1" x14ac:dyDescent="0.25">
      <c r="B28" s="542" t="s">
        <v>1073</v>
      </c>
      <c r="C28" s="543"/>
      <c r="D28" s="80"/>
      <c r="E28" s="80"/>
      <c r="F28" s="80"/>
      <c r="G28" s="112"/>
      <c r="H28" s="67">
        <f t="shared" si="0"/>
        <v>0</v>
      </c>
      <c r="J28" s="50"/>
    </row>
    <row r="29" spans="2:10" ht="16.899999999999999" customHeight="1" thickBot="1" x14ac:dyDescent="0.3">
      <c r="B29" s="599" t="s">
        <v>74</v>
      </c>
      <c r="C29" s="600"/>
      <c r="D29" s="64">
        <f>ROUND(SUM(D9:D28),0)</f>
        <v>0</v>
      </c>
      <c r="E29" s="64">
        <f>ROUND(SUM(E9:E28),0)</f>
        <v>0</v>
      </c>
      <c r="F29" s="64">
        <f>ROUND(SUM(F9:F28),0)</f>
        <v>0</v>
      </c>
      <c r="G29" s="64">
        <f>ROUND(SUM(G9:G28),0)</f>
        <v>0</v>
      </c>
      <c r="H29" s="153">
        <f>SUM(H9:H26)</f>
        <v>0</v>
      </c>
      <c r="J29" s="50"/>
    </row>
    <row r="30" spans="2:10" ht="19.5" thickBot="1" x14ac:dyDescent="0.35">
      <c r="B30" s="152"/>
      <c r="C30" s="538" t="str">
        <f>IF('1. Dashboard'!G12&lt;&gt;"School","Maximum Allowable Non-Exempt Property Tax Amount to be Levied:","Maximum Amount to be Levied for the Tort Fund:")</f>
        <v>Maximum Allowable Non-Exempt Property Tax Amount to be Levied:</v>
      </c>
      <c r="D30" s="538"/>
      <c r="E30" s="538"/>
      <c r="F30" s="538"/>
      <c r="G30" s="538"/>
      <c r="H30" s="158" t="str">
        <f>IFERROR(IF('1. Dashboard'!G12&lt;&gt;"School",'2. L-2 Worksheet'!G88,'2. L-2 Worksheet'!G83),"")</f>
        <v/>
      </c>
      <c r="J30" s="50"/>
    </row>
    <row r="31" spans="2:10" ht="21.75" customHeight="1" x14ac:dyDescent="0.35">
      <c r="B31" s="532" t="s">
        <v>75</v>
      </c>
      <c r="C31" s="533"/>
      <c r="D31" s="533"/>
      <c r="E31" s="533"/>
      <c r="F31" s="533"/>
      <c r="G31" s="533"/>
      <c r="H31" s="534"/>
      <c r="J31" s="50"/>
    </row>
    <row r="32" spans="2:10" ht="16.5" thickBot="1" x14ac:dyDescent="0.3">
      <c r="B32" s="539" t="str">
        <f>IF('1. Dashboard'!G12="School",
       "(Bonds, Supplementals, Plant Facilities, COSA, Tuition, Emergency, Budget Stabilization, &amp; Judgment Funds)",
 IF('1. Dashboard'!G12="Library",
       "(Bonds, Overrides, Judgment Funds, &amp; Plant Facilities)",
       "(Bonds, Overrides, &amp; Judgment Funds)"))</f>
        <v>(Bonds, Overrides, &amp; Judgment Funds)</v>
      </c>
      <c r="C32" s="540"/>
      <c r="D32" s="540"/>
      <c r="E32" s="540"/>
      <c r="F32" s="540"/>
      <c r="G32" s="540"/>
      <c r="H32" s="541"/>
      <c r="J32" s="50"/>
    </row>
    <row r="33" spans="2:11" ht="16.899999999999999" customHeight="1" x14ac:dyDescent="0.25">
      <c r="B33" s="528"/>
      <c r="C33" s="529"/>
      <c r="D33" s="70"/>
      <c r="E33" s="70"/>
      <c r="F33" s="70"/>
      <c r="G33" s="70"/>
      <c r="H33" s="68">
        <f>ROUND(D33-(E33+F33+G33),0)</f>
        <v>0</v>
      </c>
      <c r="J33" s="50"/>
    </row>
    <row r="34" spans="2:11" ht="16.899999999999999" customHeight="1" x14ac:dyDescent="0.25">
      <c r="B34" s="524"/>
      <c r="C34" s="525"/>
      <c r="D34" s="59"/>
      <c r="E34" s="59"/>
      <c r="F34" s="59"/>
      <c r="G34" s="59"/>
      <c r="H34" s="68">
        <f t="shared" ref="H34:H39" si="1">ROUND(D34-(E34+F34+G34),0)</f>
        <v>0</v>
      </c>
      <c r="J34" s="50"/>
    </row>
    <row r="35" spans="2:11" ht="16.899999999999999" customHeight="1" x14ac:dyDescent="0.25">
      <c r="B35" s="524"/>
      <c r="C35" s="525"/>
      <c r="D35" s="59"/>
      <c r="E35" s="59"/>
      <c r="F35" s="59"/>
      <c r="G35" s="59"/>
      <c r="H35" s="68">
        <f t="shared" si="1"/>
        <v>0</v>
      </c>
      <c r="J35" s="50"/>
    </row>
    <row r="36" spans="2:11" ht="16.899999999999999" customHeight="1" x14ac:dyDescent="0.25">
      <c r="B36" s="524"/>
      <c r="C36" s="525"/>
      <c r="D36" s="80"/>
      <c r="E36" s="80"/>
      <c r="F36" s="80"/>
      <c r="G36" s="80"/>
      <c r="H36" s="68">
        <f t="shared" si="1"/>
        <v>0</v>
      </c>
      <c r="J36" s="50"/>
    </row>
    <row r="37" spans="2:11" ht="16.899999999999999" customHeight="1" x14ac:dyDescent="0.25">
      <c r="B37" s="524"/>
      <c r="C37" s="525"/>
      <c r="D37" s="80"/>
      <c r="E37" s="80"/>
      <c r="F37" s="80"/>
      <c r="G37" s="80"/>
      <c r="H37" s="68">
        <f t="shared" si="1"/>
        <v>0</v>
      </c>
      <c r="J37" s="50"/>
    </row>
    <row r="38" spans="2:11" ht="16.899999999999999" customHeight="1" x14ac:dyDescent="0.25">
      <c r="B38" s="524"/>
      <c r="C38" s="525"/>
      <c r="D38" s="80"/>
      <c r="E38" s="80"/>
      <c r="F38" s="80"/>
      <c r="G38" s="80"/>
      <c r="H38" s="68">
        <f t="shared" si="1"/>
        <v>0</v>
      </c>
      <c r="J38" s="50"/>
    </row>
    <row r="39" spans="2:11" ht="16.899999999999999" customHeight="1" x14ac:dyDescent="0.25">
      <c r="B39" s="524"/>
      <c r="C39" s="525"/>
      <c r="D39" s="80"/>
      <c r="E39" s="80"/>
      <c r="F39" s="80"/>
      <c r="G39" s="80"/>
      <c r="H39" s="68">
        <f t="shared" si="1"/>
        <v>0</v>
      </c>
      <c r="J39" s="50"/>
    </row>
    <row r="40" spans="2:11" ht="16.899999999999999" customHeight="1" thickBot="1" x14ac:dyDescent="0.3">
      <c r="B40" s="530" t="s">
        <v>74</v>
      </c>
      <c r="C40" s="531"/>
      <c r="D40" s="65">
        <f>ROUND(SUM(D33:D39),0)</f>
        <v>0</v>
      </c>
      <c r="E40" s="65">
        <f t="shared" ref="E40:G40" si="2">ROUND(SUM(E33:E39),0)</f>
        <v>0</v>
      </c>
      <c r="F40" s="65">
        <f t="shared" si="2"/>
        <v>0</v>
      </c>
      <c r="G40" s="65">
        <f t="shared" si="2"/>
        <v>0</v>
      </c>
      <c r="H40" s="151">
        <f t="shared" ref="H40" si="3">SUM(H33:H39)</f>
        <v>0</v>
      </c>
      <c r="J40" s="50"/>
    </row>
    <row r="41" spans="2:11" ht="16.899999999999999" customHeight="1" thickTop="1" thickBot="1" x14ac:dyDescent="0.3">
      <c r="B41" s="526" t="s">
        <v>30</v>
      </c>
      <c r="C41" s="527"/>
      <c r="D41" s="62">
        <f t="shared" ref="D41:F41" si="4">D29+D40</f>
        <v>0</v>
      </c>
      <c r="E41" s="62">
        <f t="shared" si="4"/>
        <v>0</v>
      </c>
      <c r="F41" s="62">
        <f t="shared" si="4"/>
        <v>0</v>
      </c>
      <c r="G41" s="62">
        <f>G29+G40</f>
        <v>0</v>
      </c>
      <c r="H41" s="63">
        <f>H29+H40</f>
        <v>0</v>
      </c>
      <c r="J41" s="50"/>
    </row>
    <row r="42" spans="2:11" ht="16.899999999999999" customHeight="1" thickBot="1" x14ac:dyDescent="0.3">
      <c r="B42" s="544" t="str">
        <f>IF('1. Dashboard'!G12&lt;&gt;"School", "Expected Totals (for balancing purposes, values from 'L-2 Worksheet')","Expected Totals (for balancing purposes)")</f>
        <v>Expected Totals (for balancing purposes, values from 'L-2 Worksheet')</v>
      </c>
      <c r="C42" s="545"/>
      <c r="D42" s="545"/>
      <c r="E42" s="545"/>
      <c r="F42" s="159" t="str">
        <f>IF('1. Dashboard'!G12="School",ROUND('1. Dashboard'!H43,0),"")</f>
        <v/>
      </c>
      <c r="G42" s="123" t="str">
        <f>IF(DistrictName&lt;&gt;0,'2. L-2 Worksheet'!G75+'2. L-2 Worksheet'!G79,"")</f>
        <v/>
      </c>
      <c r="H42" s="124"/>
      <c r="J42" s="50"/>
    </row>
    <row r="43" spans="2:11" ht="16.899999999999999" customHeight="1" x14ac:dyDescent="0.25">
      <c r="B43" s="162" t="str">
        <f>IF(DistrictType="School","",
 IF(SCOstatus="No","",
 IF(AND(SUM('2. L-2 Worksheet'!E64:E65)&lt;1,
        OR(DistrictType="Fire",DistrictType="Ambulance")),"",
    "I, the undersigned, attest that a public hearing was held and a resolution was adopted to:")))</f>
        <v>I, the undersigned, attest that a public hearing was held and a resolution was adopted to:</v>
      </c>
      <c r="C43" s="161"/>
      <c r="D43" s="161"/>
      <c r="E43" s="161"/>
      <c r="F43" s="161"/>
      <c r="G43" s="160" t="str">
        <f>IF(OR(DistrictType="School",DistrictType="Fire",DistrictType="Ambulance"),"",
    IF(SCOstatus="No","",
       "Max Reserved Forgone:"))</f>
        <v>Max Reserved Forgone:</v>
      </c>
      <c r="H43" s="46" t="str">
        <f>IFERROR(IF(DistrictType="School","",
         IF(SCOstatus="No","",ROUND(
         MIN(MIN(ThreePercentIncrease
                 +NewConstructionBudgetIncrease
                 +AnnexationBudgetIncreaseCapped,
                 MaxPercentCap)
             +URbudgetIncrease
             +AnnexationBudgetIncreaseUncapped,
             MAX((MaxNonExemptLevy-NonExemptLevy-SelectedBudgetIncrease+ThreePercentIncrease),0)),0))),"")</f>
        <v/>
      </c>
      <c r="J43" s="49"/>
      <c r="K43" s="49"/>
    </row>
    <row r="44" spans="2:11" ht="16.899999999999999" customHeight="1" x14ac:dyDescent="0.25">
      <c r="B44" s="135"/>
      <c r="C44" s="136" t="str">
        <f>IF(OR(DistrictType="School",DistrictType="Fire",DistrictType="Ambulance"),"",
    IF(SCOstatus="No","",
       "RESERVE the current year's forgone amount, OR"))</f>
        <v>RESERVE the current year's forgone amount, OR</v>
      </c>
      <c r="D44" s="10"/>
      <c r="E44" s="24"/>
      <c r="F44" s="10"/>
      <c r="G44" s="27" t="str">
        <f>IF(OR(DistrictType="School",DistrictType="Fire",DistrictType="Ambulance"),"",
    IF(SCOstatus="No","",
       "Reserved Forgone:"))</f>
        <v>Reserved Forgone:</v>
      </c>
      <c r="H44" s="138"/>
      <c r="J44" s="49"/>
    </row>
    <row r="45" spans="2:11" ht="16.899999999999999" customHeight="1" x14ac:dyDescent="0.25">
      <c r="B45" s="137"/>
      <c r="C45" s="136" t="str">
        <f>IF('1. Dashboard'!G12="School", "",
 IF(SCOstatus="No","",
 IF(AND(SUM('2. L-2 Worksheet'!E64:E65)&lt;1,
        OR(DistrictType="Fire",DistrictType="Ambulance")),"",
    "RECOVER forgone amounts (line 24 + line 25 of the 'L-2 Worksheet')")))</f>
        <v>RECOVER forgone amounts (line 24 + line 25 of the 'L-2 Worksheet')</v>
      </c>
      <c r="D45" s="136"/>
      <c r="E45" s="136"/>
      <c r="F45" s="24"/>
      <c r="G45" s="23" t="str">
        <f>IF(DistrictType="School", "",
 IF(SCOstatus="No","",
 IF(AND(SUM('2. L-2 Worksheet'!E64:E65)&lt;1,
        OR(DistrictType="Fire",DistrictType="Ambulance")),"",
   "Recovered Forgone:")))</f>
        <v>Recovered Forgone:</v>
      </c>
      <c r="H45" s="30">
        <f>IF('1. Dashboard'!G12="School", "", IFERROR(SUM('2. L-2 Worksheet'!E64:E65),0))</f>
        <v>0</v>
      </c>
    </row>
    <row r="46" spans="2:11" ht="16.899999999999999" customHeight="1" x14ac:dyDescent="0.25">
      <c r="B46" s="601"/>
      <c r="C46" s="602"/>
      <c r="D46" s="602"/>
      <c r="E46" s="602"/>
      <c r="F46" s="602"/>
      <c r="G46" s="10"/>
      <c r="H46" s="210"/>
    </row>
    <row r="47" spans="2:11" ht="16.5" customHeight="1" x14ac:dyDescent="0.25">
      <c r="B47" s="601" t="str">
        <f>IF('1. Dashboard'!G12="School","",
    IF(SCOstatus="No","",
    IF(AND(SUM('2. L-2 Worksheet'!E64:E65)&lt;1,
           OR(DistrictType="Fire",DistrictType="Ambulance")),"",
    IF(SUM('2. L-2 Worksheet'!E64:E65)&gt;0,
       "I have attached the adopted and signed resolution indicating the amount of forgone to be recovered.",
       "I intend to submit a resolution to reserve this year's forgone amount to the STC by 12/31/2026."))))</f>
        <v>I intend to submit a resolution to reserve this year's forgone amount to the STC by 12/31/2026.</v>
      </c>
      <c r="C47" s="602"/>
      <c r="D47" s="602"/>
      <c r="E47" s="602"/>
      <c r="F47" s="602"/>
      <c r="G47" s="23" t="str">
        <f>IF('1. Dashboard'!G12="School","",
 IF(SCOstatus="No","",
 IF(AND(SUM('2. L-2 Worksheet'!E64:E65)&lt;1,
        OR(DistrictType="Fire",DistrictType="Ambulance")),"",
    "Initials:")))</f>
        <v>Initials:</v>
      </c>
      <c r="H47" s="114"/>
    </row>
    <row r="48" spans="2:11" ht="16.899999999999999" customHeight="1" thickBot="1" x14ac:dyDescent="0.3">
      <c r="B48" s="549" t="str">
        <f>IF('1. Dashboard'!G12="Hospital", "HOSPITALS ONLY: If a public hearing was held pursuant to I.C. §39-1333","")</f>
        <v/>
      </c>
      <c r="C48" s="550"/>
      <c r="D48" s="550"/>
      <c r="E48" s="550"/>
      <c r="F48" s="209"/>
      <c r="G48" s="220" t="str">
        <f>IF('1. Dashboard'!G12="Hospital", "Initials:","")</f>
        <v/>
      </c>
      <c r="H48" s="31"/>
    </row>
    <row r="49" spans="2:8" ht="16.899999999999999" customHeight="1" x14ac:dyDescent="0.25">
      <c r="B49" s="500" t="s">
        <v>36</v>
      </c>
      <c r="C49" s="501"/>
      <c r="D49" s="501"/>
      <c r="E49" s="501"/>
      <c r="F49" s="501"/>
      <c r="G49" s="501"/>
      <c r="H49" s="585"/>
    </row>
    <row r="50" spans="2:8" ht="16.899999999999999" customHeight="1" x14ac:dyDescent="0.25">
      <c r="B50" s="503"/>
      <c r="C50" s="504"/>
      <c r="D50" s="504"/>
      <c r="E50" s="504"/>
      <c r="F50" s="504"/>
      <c r="G50" s="504"/>
      <c r="H50" s="586"/>
    </row>
    <row r="51" spans="2:8" ht="16.899999999999999" customHeight="1" x14ac:dyDescent="0.25">
      <c r="B51" s="577"/>
      <c r="C51" s="573"/>
      <c r="D51" s="572"/>
      <c r="E51" s="573"/>
      <c r="F51" s="572"/>
      <c r="G51" s="573"/>
      <c r="H51" s="568"/>
    </row>
    <row r="52" spans="2:8" ht="16.899999999999999" customHeight="1" x14ac:dyDescent="0.25">
      <c r="B52" s="578"/>
      <c r="C52" s="575"/>
      <c r="D52" s="574"/>
      <c r="E52" s="575"/>
      <c r="F52" s="574"/>
      <c r="G52" s="575"/>
      <c r="H52" s="569"/>
    </row>
    <row r="53" spans="2:8" ht="16.899999999999999" customHeight="1" x14ac:dyDescent="0.25">
      <c r="B53" s="576" t="s">
        <v>1126</v>
      </c>
      <c r="C53" s="571"/>
      <c r="D53" s="570" t="s">
        <v>29</v>
      </c>
      <c r="E53" s="571"/>
      <c r="F53" s="570" t="s">
        <v>28</v>
      </c>
      <c r="G53" s="571"/>
      <c r="H53" s="163" t="s">
        <v>27</v>
      </c>
    </row>
    <row r="54" spans="2:8" ht="16.899999999999999" customHeight="1" x14ac:dyDescent="0.25">
      <c r="B54" s="535"/>
      <c r="C54" s="536"/>
      <c r="D54" s="536"/>
      <c r="E54" s="537"/>
      <c r="F54" s="557"/>
      <c r="G54" s="558"/>
      <c r="H54" s="559"/>
    </row>
    <row r="55" spans="2:8" ht="16.899999999999999" customHeight="1" x14ac:dyDescent="0.25">
      <c r="B55" s="582"/>
      <c r="C55" s="583"/>
      <c r="D55" s="583"/>
      <c r="E55" s="584"/>
      <c r="F55" s="560"/>
      <c r="G55" s="561"/>
      <c r="H55" s="562"/>
    </row>
    <row r="56" spans="2:8" ht="16.899999999999999" customHeight="1" x14ac:dyDescent="0.25">
      <c r="B56" s="579"/>
      <c r="C56" s="580"/>
      <c r="D56" s="580"/>
      <c r="E56" s="581"/>
      <c r="F56" s="563"/>
      <c r="G56" s="564"/>
      <c r="H56" s="565"/>
    </row>
    <row r="57" spans="2:8" ht="16.899999999999999" customHeight="1" x14ac:dyDescent="0.25">
      <c r="B57" s="546" t="s">
        <v>32</v>
      </c>
      <c r="C57" s="547"/>
      <c r="D57" s="547"/>
      <c r="E57" s="548"/>
      <c r="F57" s="566" t="s">
        <v>33</v>
      </c>
      <c r="G57" s="547"/>
      <c r="H57" s="567"/>
    </row>
    <row r="58" spans="2:8" ht="16.899999999999999" customHeight="1" x14ac:dyDescent="0.25">
      <c r="B58" s="521"/>
      <c r="C58" s="522"/>
      <c r="D58" s="522"/>
      <c r="E58" s="523"/>
      <c r="F58" s="555"/>
      <c r="G58" s="522"/>
      <c r="H58" s="556"/>
    </row>
    <row r="59" spans="2:8" ht="16.899999999999999" customHeight="1" thickBot="1" x14ac:dyDescent="0.3">
      <c r="B59" s="526" t="s">
        <v>34</v>
      </c>
      <c r="C59" s="554"/>
      <c r="D59" s="554"/>
      <c r="E59" s="527"/>
      <c r="F59" s="551" t="s">
        <v>35</v>
      </c>
      <c r="G59" s="552"/>
      <c r="H59" s="553"/>
    </row>
    <row r="60" spans="2:8" ht="16.899999999999999" customHeight="1" x14ac:dyDescent="0.25">
      <c r="B60" s="4" t="s">
        <v>62</v>
      </c>
      <c r="H60" s="9"/>
    </row>
    <row r="61" spans="2:8" ht="16.899999999999999" customHeight="1" x14ac:dyDescent="0.25">
      <c r="B61" s="4" t="str">
        <f>IF(OR('1. Dashboard'!G12="Highway",'1. Dashboard'!G12="County Road &amp; Bridge",'1. Dashboard'!G12="County w/ Countywide Road &amp; Bridge"), "^A proportionate share of the property tax portion of this fund is shared with each city within your district.", "")</f>
        <v/>
      </c>
    </row>
    <row r="62" spans="2:8" ht="16.899999999999999" customHeight="1" x14ac:dyDescent="0.25">
      <c r="B62" s="4" t="str">
        <f>IF(OR('1. Dashboard'!G12="Highway",'1. Dashboard'!G12="County Road &amp; Bridge",'1. Dashboard'!G12="County w/ Countywide Road &amp; Bridge"), "^^This fund is not shared with the cities within your district.", "")</f>
        <v/>
      </c>
    </row>
    <row r="70" spans="2:8" ht="16.899999999999999" customHeight="1" x14ac:dyDescent="0.25">
      <c r="B70" s="7"/>
      <c r="C70" s="7"/>
      <c r="D70" s="6"/>
      <c r="E70" s="6"/>
      <c r="F70" s="6"/>
      <c r="G70" s="6"/>
      <c r="H70" s="6"/>
    </row>
    <row r="71" spans="2:8" ht="16.899999999999999" customHeight="1" x14ac:dyDescent="0.25">
      <c r="B71" s="8"/>
      <c r="C71" s="8"/>
    </row>
  </sheetData>
  <sheetProtection algorithmName="SHA-512" hashValue="CetnL5DcJNKA8wbRIzn+dkHnNumYQLlKwTCDaQ25WdyepBzhSt9zdoJ1iGmZE+2P7Wk/XCW76cSRUzfIyU5rDw==" saltValue="T0sxiDtimT2ojwk4eglVZg==" spinCount="100000" sheet="1" selectLockedCells="1"/>
  <mergeCells count="61">
    <mergeCell ref="B2:H2"/>
    <mergeCell ref="B3:H3"/>
    <mergeCell ref="D4:H4"/>
    <mergeCell ref="B11:C11"/>
    <mergeCell ref="B47:F47"/>
    <mergeCell ref="B46:F46"/>
    <mergeCell ref="B12:C12"/>
    <mergeCell ref="B13:C13"/>
    <mergeCell ref="B14:C14"/>
    <mergeCell ref="B5:C7"/>
    <mergeCell ref="B10:C10"/>
    <mergeCell ref="B9:C9"/>
    <mergeCell ref="B8:C8"/>
    <mergeCell ref="B15:C15"/>
    <mergeCell ref="G5:G7"/>
    <mergeCell ref="F5:F7"/>
    <mergeCell ref="E5:E7"/>
    <mergeCell ref="D5:D7"/>
    <mergeCell ref="H5:H7"/>
    <mergeCell ref="B48:E48"/>
    <mergeCell ref="F59:H59"/>
    <mergeCell ref="B59:E59"/>
    <mergeCell ref="F58:H58"/>
    <mergeCell ref="F54:H56"/>
    <mergeCell ref="F57:H57"/>
    <mergeCell ref="H51:H52"/>
    <mergeCell ref="F53:G53"/>
    <mergeCell ref="F51:G52"/>
    <mergeCell ref="D51:E52"/>
    <mergeCell ref="B53:C53"/>
    <mergeCell ref="B51:C52"/>
    <mergeCell ref="D53:E53"/>
    <mergeCell ref="B56:E56"/>
    <mergeCell ref="B55:E55"/>
    <mergeCell ref="B49:H50"/>
    <mergeCell ref="B16:C16"/>
    <mergeCell ref="B23:C23"/>
    <mergeCell ref="B28:C28"/>
    <mergeCell ref="B39:C39"/>
    <mergeCell ref="B42:E42"/>
    <mergeCell ref="B20:C20"/>
    <mergeCell ref="B22:C22"/>
    <mergeCell ref="B18:C18"/>
    <mergeCell ref="B17:C17"/>
    <mergeCell ref="B29:C29"/>
    <mergeCell ref="B58:E58"/>
    <mergeCell ref="B19:C19"/>
    <mergeCell ref="B41:C41"/>
    <mergeCell ref="B33:C33"/>
    <mergeCell ref="B34:C34"/>
    <mergeCell ref="B35:C35"/>
    <mergeCell ref="B40:C40"/>
    <mergeCell ref="B31:H31"/>
    <mergeCell ref="B36:C36"/>
    <mergeCell ref="B37:C37"/>
    <mergeCell ref="B38:C38"/>
    <mergeCell ref="B21:C21"/>
    <mergeCell ref="B54:E54"/>
    <mergeCell ref="C30:G30"/>
    <mergeCell ref="B32:H32"/>
    <mergeCell ref="B57:E57"/>
  </mergeCells>
  <conditionalFormatting sqref="B9:C11 B12:B14 B15:C23">
    <cfRule type="expression" dxfId="47" priority="11">
      <formula>SEARCH("Judgment",B9)</formula>
    </cfRule>
  </conditionalFormatting>
  <conditionalFormatting sqref="G41">
    <cfRule type="expression" dxfId="37" priority="30">
      <formula>AND(DistrictName&lt;&gt;0,$G$41&lt;&gt;$G$42)</formula>
    </cfRule>
  </conditionalFormatting>
  <conditionalFormatting sqref="H9:H29 H33:H39">
    <cfRule type="cellIs" dxfId="34" priority="33" operator="lessThan">
      <formula>0</formula>
    </cfRule>
  </conditionalFormatting>
  <conditionalFormatting sqref="H27:H28">
    <cfRule type="cellIs" dxfId="31" priority="34" operator="notEqual">
      <formula>0</formula>
    </cfRule>
  </conditionalFormatting>
  <conditionalFormatting sqref="H43">
    <cfRule type="expression" dxfId="30" priority="4">
      <formula>OR(DistrictType="Fire",DistrictType="Ambulance")</formula>
    </cfRule>
    <cfRule type="expression" dxfId="29" priority="8">
      <formula>SUM($B$9:$G$23,$D$24:$G$26)=0</formula>
    </cfRule>
    <cfRule type="expression" dxfId="28" priority="54">
      <formula>AND($H$43&gt;0,$H$45&gt;0,SUM($D$9:$G$26)&lt;&gt;0)</formula>
    </cfRule>
  </conditionalFormatting>
  <conditionalFormatting sqref="H43:H45 H47">
    <cfRule type="expression" dxfId="26" priority="5">
      <formula>SCOstatus="No"</formula>
    </cfRule>
  </conditionalFormatting>
  <conditionalFormatting sqref="H44">
    <cfRule type="expression" dxfId="25" priority="3">
      <formula>OR(DistrictType="Fire",DistrictType="Ambulance")</formula>
    </cfRule>
    <cfRule type="expression" dxfId="24" priority="61">
      <formula>AND($H$44-$H$43&gt;=1, $H$44&lt;&gt;0)</formula>
    </cfRule>
    <cfRule type="expression" dxfId="23" priority="9">
      <formula>AND($H$44&gt;0,$H$45&gt;0)</formula>
    </cfRule>
  </conditionalFormatting>
  <dataValidations count="1">
    <dataValidation type="whole" operator="lessThanOrEqual" allowBlank="1" showInputMessage="1" showErrorMessage="1" errorTitle="Forgone Error" error="You can't reserve more forgone than the amount calculated as the maximum in the white box above labeled &quot;Max Reserved Forgone.&quot;" sqref="H44" xr:uid="{B70A2343-7E65-4BD2-BDE8-96AFCC9A0BCC}">
      <formula1>H43</formula1>
    </dataValidation>
  </dataValidations>
  <printOptions horizontalCentered="1"/>
  <pageMargins left="0.25" right="0.25" top="0.25" bottom="0.25" header="0.5" footer="0.1"/>
  <pageSetup scale="69" orientation="portrait"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5" id="{5D2181C5-A139-4010-8983-43820C16CC66}">
            <xm:f>AND('1. Dashboard'!$G$12="School",SEARCH("COSA",B9))</xm:f>
            <x14:dxf>
              <font>
                <color rgb="FF9C0006"/>
              </font>
              <fill>
                <patternFill>
                  <bgColor rgb="FFFFC7CE"/>
                </patternFill>
              </fill>
            </x14:dxf>
          </x14:cfRule>
          <x14:cfRule type="expression" priority="16" id="{CCA6B29F-6630-409B-A615-D7561B29C38A}">
            <xm:f>AND('1. Dashboard'!$G$12="School",SEARCH("emergency",B9))</xm:f>
            <x14:dxf>
              <font>
                <color rgb="FF9C0006"/>
              </font>
              <fill>
                <patternFill>
                  <bgColor rgb="FFFFC7CE"/>
                </patternFill>
              </fill>
            </x14:dxf>
          </x14:cfRule>
          <x14:cfRule type="expression" priority="17" id="{C981B15A-9FD6-410C-9BE7-D3A3D23DAA30}">
            <xm:f>AND('1. Dashboard'!$G$12="School",SEARCH("Bond",B9))</xm:f>
            <x14:dxf>
              <font>
                <color rgb="FF9C0006"/>
              </font>
              <fill>
                <patternFill>
                  <bgColor rgb="FFFFC7CE"/>
                </patternFill>
              </fill>
            </x14:dxf>
          </x14:cfRule>
          <x14:cfRule type="expression" priority="18" id="{65D0A0B7-2014-4A8C-8FC7-CBD1F63DF701}">
            <xm:f>AND('1. Dashboard'!$G$12="School",SEARCH("supp",B9))</xm:f>
            <x14:dxf>
              <font>
                <color rgb="FF9C0006"/>
              </font>
              <fill>
                <patternFill>
                  <bgColor rgb="FFFFC7CE"/>
                </patternFill>
              </fill>
            </x14:dxf>
          </x14:cfRule>
          <x14:cfRule type="expression" priority="12" id="{098201B3-5B06-4169-865F-7D7C7BDCAC9C}">
            <xm:f>AND('1. Dashboard'!$G$12="School",SEARCH("stabilization",B9))</xm:f>
            <x14:dxf>
              <font>
                <color rgb="FF9C0006"/>
              </font>
              <fill>
                <patternFill>
                  <bgColor rgb="FFFFC7CE"/>
                </patternFill>
              </fill>
            </x14:dxf>
          </x14:cfRule>
          <x14:cfRule type="expression" priority="13" id="{6BB847CD-CCD7-4C13-942C-01B1AA2A7963}">
            <xm:f>AND('1. Dashboard'!$G$12="School",SEARCH("plant",B9))</xm:f>
            <x14:dxf>
              <font>
                <color rgb="FF9C0006"/>
              </font>
              <fill>
                <patternFill>
                  <bgColor rgb="FFFFC7CE"/>
                </patternFill>
              </fill>
            </x14:dxf>
          </x14:cfRule>
          <x14:cfRule type="expression" priority="14" id="{E596530B-517C-4AEB-8BB0-503BD01187DE}">
            <xm:f>AND('1. Dashboard'!$G$12="School",SEARCH("Tuition",B9))</xm:f>
            <x14:dxf>
              <font>
                <color rgb="FF9C0006"/>
              </font>
              <fill>
                <patternFill>
                  <bgColor rgb="FFFFC7CE"/>
                </patternFill>
              </fill>
            </x14:dxf>
          </x14:cfRule>
          <xm:sqref>B9:C11 B12:B14 B15:C23</xm:sqref>
        </x14:conditionalFormatting>
        <x14:conditionalFormatting xmlns:xm="http://schemas.microsoft.com/office/excel/2006/main">
          <x14:cfRule type="expression" priority="20" id="{1849C57B-484E-46F6-BD76-FBF3433B8B11}">
            <xm:f>AND('1. Dashboard'!$G$12="School",$D$26&lt;&gt;0,$E$26=0,$D$26&gt;ROUND('2. L-2 Worksheet'!$G$67,0))</xm:f>
            <x14:dxf>
              <font>
                <color rgb="FF9C0006"/>
              </font>
              <fill>
                <patternFill>
                  <bgColor rgb="FFFFC7CE"/>
                </patternFill>
              </fill>
            </x14:dxf>
          </x14:cfRule>
          <xm:sqref>D26:D27</xm:sqref>
        </x14:conditionalFormatting>
        <x14:conditionalFormatting xmlns:xm="http://schemas.microsoft.com/office/excel/2006/main">
          <x14:cfRule type="expression" priority="21" id="{1E846BDB-AD3F-45DE-91A6-9A96418CC02B}">
            <xm:f>AND('1. Dashboard'!$G$12="School",$F$26&lt;&gt;0)</xm:f>
            <x14:dxf>
              <font>
                <color rgb="FF9C0006"/>
              </font>
              <fill>
                <patternFill>
                  <bgColor rgb="FFFFC7CE"/>
                </patternFill>
              </fill>
            </x14:dxf>
          </x14:cfRule>
          <xm:sqref>F26:F27</xm:sqref>
        </x14:conditionalFormatting>
        <x14:conditionalFormatting xmlns:xm="http://schemas.microsoft.com/office/excel/2006/main">
          <x14:cfRule type="expression" priority="28" id="{6B1520E4-4EA2-47FD-93E9-B248B6DBB667}">
            <xm:f>AND('1. Dashboard'!$G$12="School",$F$41&lt;&gt;$F$42)</xm:f>
            <x14:dxf>
              <font>
                <color rgb="FF9C0006"/>
              </font>
              <fill>
                <patternFill>
                  <bgColor rgb="FFFFC7CE"/>
                </patternFill>
              </fill>
            </x14:dxf>
          </x14:cfRule>
          <xm:sqref>F41:F42</xm:sqref>
        </x14:conditionalFormatting>
        <x14:conditionalFormatting xmlns:xm="http://schemas.microsoft.com/office/excel/2006/main">
          <x14:cfRule type="expression" priority="320" id="{849C13D6-ED62-0F46-9F63-99A8A21E9787}">
            <xm:f>$G$29&gt;SUM('2. L-2 Worksheet'!$G$75,'2. L-2 Worksheet'!$G$79)</xm:f>
            <x14:dxf>
              <font>
                <color rgb="FF9C0006"/>
              </font>
              <fill>
                <patternFill>
                  <bgColor rgb="FFFFC7CE"/>
                </patternFill>
              </fill>
            </x14:dxf>
          </x14:cfRule>
          <xm:sqref>G9:G28 G33:G39</xm:sqref>
        </x14:conditionalFormatting>
        <x14:conditionalFormatting xmlns:xm="http://schemas.microsoft.com/office/excel/2006/main">
          <x14:cfRule type="expression" priority="386" id="{36867C0F-21D5-4196-874C-1F4ADC5B2E82}">
            <xm:f>'2. L-2 Worksheet'!$G$51&gt;'2. L-2 Worksheet'!$G$75</xm:f>
            <x14:dxf>
              <font>
                <color auto="1"/>
              </font>
              <fill>
                <patternFill>
                  <bgColor theme="0"/>
                </patternFill>
              </fill>
            </x14:dxf>
          </x14:cfRule>
          <x14:cfRule type="expression" priority="387" id="{E6FD5BDE-EA04-4DFB-A820-0CA4F526F8C6}">
            <xm:f>AND('1. Dashboard'!$G$12="School",'2. L-2 Worksheet'!$G$85&gt;0,$G$40&lt;'2. L-2 Worksheet'!$G$85,$G$40&gt;0)</xm:f>
            <x14:dxf>
              <font>
                <color rgb="FF9C0006"/>
              </font>
              <fill>
                <patternFill>
                  <bgColor rgb="FFFFC7CE"/>
                </patternFill>
              </fill>
            </x14:dxf>
          </x14:cfRule>
          <xm:sqref>G40</xm:sqref>
        </x14:conditionalFormatting>
        <x14:conditionalFormatting xmlns:xm="http://schemas.microsoft.com/office/excel/2006/main">
          <x14:cfRule type="expression" priority="322" id="{0ED5FD22-3D3A-0D42-9642-40EFFA594033}">
            <xm:f>$G$41&gt;SUM('2. L-2 Worksheet'!$G$75,'2. L-2 Worksheet'!$G$79)</xm:f>
            <x14:dxf>
              <font>
                <color rgb="FF9C0006"/>
              </font>
              <fill>
                <patternFill>
                  <bgColor rgb="FFFFC7CE"/>
                </patternFill>
              </fill>
            </x14:dxf>
          </x14:cfRule>
          <xm:sqref>G41:G42</xm:sqref>
        </x14:conditionalFormatting>
        <x14:conditionalFormatting xmlns:xm="http://schemas.microsoft.com/office/excel/2006/main">
          <x14:cfRule type="expression" priority="208" id="{A892DB62-DD1A-1148-B45F-CE964BE97987}">
            <xm:f>AND('1. Dashboard'!$F$17&lt;&gt;"YES",'1. Dashboard'!$G$13&lt;&gt;"")</xm:f>
            <x14:dxf>
              <font>
                <color auto="1"/>
              </font>
              <fill>
                <patternFill>
                  <bgColor theme="5" tint="0.79998168889431442"/>
                </patternFill>
              </fill>
            </x14:dxf>
          </x14:cfRule>
          <xm:sqref>G43</xm:sqref>
        </x14:conditionalFormatting>
        <x14:conditionalFormatting xmlns:xm="http://schemas.microsoft.com/office/excel/2006/main">
          <x14:cfRule type="expression" priority="264" id="{97F65BA3-AC26-C644-AA57-3F11D4603E1E}">
            <xm:f>IF('1. Dashboard'!$G$12&lt;&gt;"School",ROUND($H$29&gt;'2. L-2 Worksheet'!$G$88,0),ROUND($H$29&gt;'2. L-2 Worksheet'!$G$83,0))</xm:f>
            <x14:dxf>
              <font>
                <color rgb="FF9C0006"/>
              </font>
              <fill>
                <patternFill>
                  <bgColor rgb="FFFFC7CE"/>
                </patternFill>
              </fill>
            </x14:dxf>
          </x14:cfRule>
          <xm:sqref>H9:H29 H41</xm:sqref>
        </x14:conditionalFormatting>
        <x14:conditionalFormatting xmlns:xm="http://schemas.microsoft.com/office/excel/2006/main">
          <x14:cfRule type="expression" priority="31" id="{98BA8081-5E92-46C6-9113-B847B29CE65C}">
            <xm:f>AND('1. Dashboard'!$G$12="School",$H$26&gt;SUM('2. L-2 Worksheet'!$G$83:$G$84))</xm:f>
            <x14:dxf>
              <font>
                <color rgb="FF9C0006"/>
              </font>
              <fill>
                <patternFill>
                  <bgColor rgb="FFFFC7CE"/>
                </patternFill>
              </fill>
            </x14:dxf>
          </x14:cfRule>
          <xm:sqref>H26:H27</xm:sqref>
        </x14:conditionalFormatting>
        <x14:conditionalFormatting xmlns:xm="http://schemas.microsoft.com/office/excel/2006/main">
          <x14:cfRule type="expression" priority="10" id="{60455C5D-0437-A944-A3AE-11AE836D4094}">
            <xm:f>'1. Dashboard'!$G$12="School"</xm:f>
            <x14:dxf>
              <font>
                <color auto="1"/>
              </font>
              <fill>
                <patternFill>
                  <bgColor theme="5" tint="0.79998168889431442"/>
                </patternFill>
              </fill>
              <border>
                <left/>
                <bottom/>
              </border>
            </x14:dxf>
          </x14:cfRule>
          <xm:sqref>H43</xm:sqref>
        </x14:conditionalFormatting>
        <x14:conditionalFormatting xmlns:xm="http://schemas.microsoft.com/office/excel/2006/main">
          <x14:cfRule type="expression" priority="58" id="{06DBC3EA-FD15-374C-BB78-173B3F097F40}">
            <xm:f>'1. Dashboard'!$G$12="School"</xm:f>
            <x14:dxf>
              <font>
                <color auto="1"/>
              </font>
              <fill>
                <patternFill>
                  <bgColor theme="5" tint="0.79998168889431442"/>
                </patternFill>
              </fill>
              <border>
                <left/>
                <top/>
                <bottom/>
              </border>
            </x14:dxf>
          </x14:cfRule>
          <xm:sqref>H44:H45 H47</xm:sqref>
        </x14:conditionalFormatting>
        <x14:conditionalFormatting xmlns:xm="http://schemas.microsoft.com/office/excel/2006/main">
          <x14:cfRule type="expression" priority="1" id="{3695B0D1-7CAF-4718-B38E-22289D72007D}">
            <xm:f>AND(SUM('2. L-2 Worksheet'!E64:E65)&lt;1,OR(DistrictType="Fire",DistrictType="Ambulance"))</xm:f>
            <x14:dxf>
              <font>
                <color rgb="FFFF0000"/>
              </font>
              <fill>
                <patternFill>
                  <bgColor rgb="FFFCE4D6"/>
                </patternFill>
              </fill>
              <border>
                <left/>
                <top/>
                <bottom/>
                <vertical/>
                <horizontal/>
              </border>
            </x14:dxf>
          </x14:cfRule>
          <xm:sqref>H45</xm:sqref>
        </x14:conditionalFormatting>
        <x14:conditionalFormatting xmlns:xm="http://schemas.microsoft.com/office/excel/2006/main">
          <x14:cfRule type="expression" priority="2" id="{308CF801-A564-4F3C-80AF-0247D6E49E4A}">
            <xm:f>AND(SUM('2. L-2 Worksheet'!E64:E65)&lt;1,OR(DistrictType="Fire",DistrictType="Ambulance"))</xm:f>
            <x14:dxf>
              <font>
                <b val="0"/>
                <i val="0"/>
                <color rgb="FFFF0000"/>
              </font>
              <fill>
                <patternFill>
                  <bgColor rgb="FFFCE4D6"/>
                </patternFill>
              </fill>
              <border>
                <left/>
                <top/>
                <bottom/>
              </border>
            </x14:dxf>
          </x14:cfRule>
          <xm:sqref>H47</xm:sqref>
        </x14:conditionalFormatting>
        <x14:conditionalFormatting xmlns:xm="http://schemas.microsoft.com/office/excel/2006/main">
          <x14:cfRule type="expression" priority="57" id="{55ADCEC4-39B3-244F-A260-9E1D01D09E82}">
            <xm:f>'1. Dashboard'!$G$12="School"</xm:f>
            <x14:dxf>
              <font>
                <color auto="1"/>
              </font>
              <fill>
                <patternFill>
                  <bgColor theme="5" tint="0.79998168889431442"/>
                </patternFill>
              </fill>
              <border>
                <left/>
                <top/>
              </border>
            </x14:dxf>
          </x14:cfRule>
          <x14:cfRule type="expression" priority="60" id="{5ED82AE8-EE23-2A4B-A5CA-3F06CAC72F09}">
            <xm:f>'1. Dashboard'!$G$12="Hospital"</xm:f>
            <x14:dxf>
              <font>
                <color auto="1"/>
              </font>
              <fill>
                <patternFill>
                  <bgColor theme="9" tint="0.59996337778862885"/>
                </patternFill>
              </fill>
              <border>
                <left style="thin">
                  <color auto="1"/>
                </left>
              </border>
            </x14:dxf>
          </x14:cfRule>
          <xm:sqref>H48</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9F16A-8473-4D82-92AA-8D9F3E5614C5}">
  <dimension ref="A1:M29"/>
  <sheetViews>
    <sheetView zoomScaleNormal="100" workbookViewId="0">
      <selection activeCell="A28" sqref="A28"/>
    </sheetView>
  </sheetViews>
  <sheetFormatPr defaultRowHeight="15.75" x14ac:dyDescent="0.25"/>
  <cols>
    <col min="1" max="1" width="7.375" bestFit="1" customWidth="1"/>
    <col min="2" max="2" width="17.25" customWidth="1"/>
    <col min="3" max="3" width="6.75" customWidth="1"/>
    <col min="4" max="4" width="26.875" customWidth="1"/>
    <col min="5" max="5" width="18.625" bestFit="1" customWidth="1"/>
    <col min="6" max="6" width="11.375" customWidth="1"/>
    <col min="7" max="7" width="13.375" bestFit="1" customWidth="1"/>
    <col min="8" max="8" width="26.25" customWidth="1"/>
    <col min="9" max="9" width="12.375" bestFit="1" customWidth="1"/>
    <col min="10" max="10" width="15.75" customWidth="1"/>
    <col min="11" max="11" width="13.375" customWidth="1"/>
    <col min="12" max="12" width="12.125" bestFit="1" customWidth="1"/>
    <col min="13" max="13" width="8.125" style="237" bestFit="1" customWidth="1"/>
  </cols>
  <sheetData>
    <row r="1" spans="1:13" x14ac:dyDescent="0.25">
      <c r="A1" s="156" t="s">
        <v>1321</v>
      </c>
      <c r="B1" s="156" t="s">
        <v>596</v>
      </c>
      <c r="C1" s="156" t="s">
        <v>1336</v>
      </c>
      <c r="D1" s="156" t="s">
        <v>1337</v>
      </c>
      <c r="E1" s="156" t="s">
        <v>1338</v>
      </c>
      <c r="F1" s="156" t="str">
        <f>IF(DistrictType="School",
    "CashForward&amp;OtherRevenue",
    "CashForward")</f>
        <v>CashForward</v>
      </c>
      <c r="G1" s="156" t="str">
        <f>IF(DistrictType="School","SDFFreductions","OtherRevenue")</f>
        <v>OtherRevenue</v>
      </c>
      <c r="H1" s="156" t="s">
        <v>1339</v>
      </c>
      <c r="I1" s="156" t="s">
        <v>1340</v>
      </c>
      <c r="J1" s="156" t="s">
        <v>1348</v>
      </c>
      <c r="K1" s="156" t="s">
        <v>1350</v>
      </c>
      <c r="L1" s="156" t="s">
        <v>1349</v>
      </c>
      <c r="M1" s="235" t="s">
        <v>1351</v>
      </c>
    </row>
    <row r="2" spans="1:13" x14ac:dyDescent="0.25">
      <c r="A2" s="226" t="str">
        <f>IF('3. L-2 Dollar Certification'!$B9&lt;&gt;"",
    LEFT('1. Dashboard'!$B$8,4),
    "")</f>
        <v/>
      </c>
      <c r="B2" s="226" t="str">
        <f>IF('3. L-2 Dollar Certification'!$B9&lt;&gt;"",
    DistrictName,
    "")</f>
        <v/>
      </c>
      <c r="C2" s="226" t="str">
        <f>IF('3. L-2 Dollar Certification'!$B9&lt;&gt;"",
    RIGHT(Review_Extract_Data!$C$2,
          LEN(Review_Extract_Data!$C$2)-SEARCH("-",Review_Extract_Data!$C$2)),
    "")</f>
        <v/>
      </c>
      <c r="D2" t="str">
        <f>IF('3. L-2 Dollar Certification'!$B9&lt;&gt;"",
    '3. L-2 Dollar Certification'!B9,
    "")</f>
        <v/>
      </c>
      <c r="E2" s="234">
        <f>'3. L-2 Dollar Certification'!D9</f>
        <v>0</v>
      </c>
      <c r="F2" s="234">
        <f>'3. L-2 Dollar Certification'!E9</f>
        <v>0</v>
      </c>
      <c r="G2" s="234">
        <f>'3. L-2 Dollar Certification'!F9</f>
        <v>0</v>
      </c>
      <c r="H2" s="234">
        <f>'3. L-2 Dollar Certification'!G9</f>
        <v>0</v>
      </c>
      <c r="I2" s="234">
        <f>'3. L-2 Dollar Certification'!H9</f>
        <v>0</v>
      </c>
      <c r="J2" s="92" t="str">
        <f>IF($I2&lt;&gt;0,'4. Levy Rate Calculation'!$C$19,"")</f>
        <v/>
      </c>
      <c r="K2" s="92" t="str">
        <f>IF($I2&lt;&gt;0,'4. Levy Rate Calculation'!D23,"")</f>
        <v/>
      </c>
      <c r="L2" s="206" t="str">
        <f>IF($I2&lt;&gt;0,'4. Levy Rate Calculation'!F23,"")</f>
        <v/>
      </c>
      <c r="M2" s="236" t="str">
        <f>IF($I2&lt;&gt;0,'4. Levy Rate Calculation'!G23,"")</f>
        <v/>
      </c>
    </row>
    <row r="3" spans="1:13" x14ac:dyDescent="0.25">
      <c r="A3" s="226" t="str">
        <f>IF('3. L-2 Dollar Certification'!$B10&lt;&gt;"",
    LEFT('1. Dashboard'!$B$8,4),
    "")</f>
        <v/>
      </c>
      <c r="B3" s="226" t="str">
        <f>IF('3. L-2 Dollar Certification'!$B10&lt;&gt;"",
    DistrictName,
    "")</f>
        <v/>
      </c>
      <c r="C3" s="226" t="str">
        <f>IF('3. L-2 Dollar Certification'!$B10&lt;&gt;"",
    RIGHT(Review_Extract_Data!$C$2,
          LEN(Review_Extract_Data!$C$2)-SEARCH("-",Review_Extract_Data!$C$2)),
    "")</f>
        <v/>
      </c>
      <c r="D3" t="str">
        <f>IF('3. L-2 Dollar Certification'!$B10&lt;&gt;"",
    '3. L-2 Dollar Certification'!B10,
    "")</f>
        <v/>
      </c>
      <c r="E3" s="234">
        <f>'3. L-2 Dollar Certification'!D10</f>
        <v>0</v>
      </c>
      <c r="F3" s="234">
        <f>'3. L-2 Dollar Certification'!E10</f>
        <v>0</v>
      </c>
      <c r="G3" s="234">
        <f>'3. L-2 Dollar Certification'!F10</f>
        <v>0</v>
      </c>
      <c r="H3" s="234">
        <f>'3. L-2 Dollar Certification'!G10</f>
        <v>0</v>
      </c>
      <c r="I3" s="234">
        <f>'3. L-2 Dollar Certification'!H10</f>
        <v>0</v>
      </c>
      <c r="J3" s="92" t="str">
        <f>IF($I3&lt;&gt;0,'4. Levy Rate Calculation'!$C$19,"")</f>
        <v/>
      </c>
      <c r="K3" s="92" t="str">
        <f>IF($I3&lt;&gt;0,'4. Levy Rate Calculation'!D24,"")</f>
        <v/>
      </c>
      <c r="L3" s="206" t="str">
        <f>IF($I3&lt;&gt;0,'4. Levy Rate Calculation'!F24,"")</f>
        <v/>
      </c>
      <c r="M3" s="236" t="str">
        <f>IF($I3&lt;&gt;0,'4. Levy Rate Calculation'!G24,"")</f>
        <v/>
      </c>
    </row>
    <row r="4" spans="1:13" x14ac:dyDescent="0.25">
      <c r="A4" s="226" t="str">
        <f>IF('3. L-2 Dollar Certification'!$B11&lt;&gt;"",
    LEFT('1. Dashboard'!$B$8,4),
    "")</f>
        <v/>
      </c>
      <c r="B4" s="226" t="str">
        <f>IF('3. L-2 Dollar Certification'!$B11&lt;&gt;"",
    DistrictName,
    "")</f>
        <v/>
      </c>
      <c r="C4" s="226" t="str">
        <f>IF('3. L-2 Dollar Certification'!$B11&lt;&gt;"",
    RIGHT(Review_Extract_Data!$C$2,
          LEN(Review_Extract_Data!$C$2)-SEARCH("-",Review_Extract_Data!$C$2)),
    "")</f>
        <v/>
      </c>
      <c r="D4" t="str">
        <f>IF('3. L-2 Dollar Certification'!$B11&lt;&gt;"",
    '3. L-2 Dollar Certification'!B11,
    "")</f>
        <v/>
      </c>
      <c r="E4" s="234">
        <f>'3. L-2 Dollar Certification'!D11</f>
        <v>0</v>
      </c>
      <c r="F4" s="234">
        <f>'3. L-2 Dollar Certification'!E11</f>
        <v>0</v>
      </c>
      <c r="G4" s="234">
        <f>'3. L-2 Dollar Certification'!F11</f>
        <v>0</v>
      </c>
      <c r="H4" s="234">
        <f>'3. L-2 Dollar Certification'!G11</f>
        <v>0</v>
      </c>
      <c r="I4" s="234">
        <f>'3. L-2 Dollar Certification'!H11</f>
        <v>0</v>
      </c>
      <c r="J4" s="92" t="str">
        <f>IF($I4&lt;&gt;0,'4. Levy Rate Calculation'!$C$19,"")</f>
        <v/>
      </c>
      <c r="K4" s="92" t="str">
        <f>IF($I4&lt;&gt;0,'4. Levy Rate Calculation'!D25,"")</f>
        <v/>
      </c>
      <c r="L4" s="206" t="str">
        <f>IF($I4&lt;&gt;0,'4. Levy Rate Calculation'!F25,"")</f>
        <v/>
      </c>
      <c r="M4" s="236" t="str">
        <f>IF($I4&lt;&gt;0,'4. Levy Rate Calculation'!G25,"")</f>
        <v/>
      </c>
    </row>
    <row r="5" spans="1:13" x14ac:dyDescent="0.25">
      <c r="A5" s="226" t="str">
        <f>IF('3. L-2 Dollar Certification'!$B12&lt;&gt;"",
    LEFT('1. Dashboard'!$B$8,4),
    "")</f>
        <v/>
      </c>
      <c r="B5" s="226" t="str">
        <f>IF('3. L-2 Dollar Certification'!$B12&lt;&gt;"",
    DistrictName,
    "")</f>
        <v/>
      </c>
      <c r="C5" s="226" t="str">
        <f>IF('3. L-2 Dollar Certification'!$B12&lt;&gt;"",
    RIGHT(Review_Extract_Data!$C$2,
          LEN(Review_Extract_Data!$C$2)-SEARCH("-",Review_Extract_Data!$C$2)),
    "")</f>
        <v/>
      </c>
      <c r="D5" t="str">
        <f>IF('3. L-2 Dollar Certification'!$B12&lt;&gt;"",
    '3. L-2 Dollar Certification'!B12,
    "")</f>
        <v/>
      </c>
      <c r="E5" s="234">
        <f>'3. L-2 Dollar Certification'!D12</f>
        <v>0</v>
      </c>
      <c r="F5" s="234">
        <f>'3. L-2 Dollar Certification'!E12</f>
        <v>0</v>
      </c>
      <c r="G5" s="234">
        <f>'3. L-2 Dollar Certification'!F12</f>
        <v>0</v>
      </c>
      <c r="H5" s="234">
        <f>'3. L-2 Dollar Certification'!G12</f>
        <v>0</v>
      </c>
      <c r="I5" s="234">
        <f>'3. L-2 Dollar Certification'!H12</f>
        <v>0</v>
      </c>
      <c r="J5" s="92" t="str">
        <f>IF($I5&lt;&gt;0,'4. Levy Rate Calculation'!$C$19,"")</f>
        <v/>
      </c>
      <c r="K5" s="92" t="str">
        <f>IF($I5&lt;&gt;0,'4. Levy Rate Calculation'!D26,"")</f>
        <v/>
      </c>
      <c r="L5" s="206" t="str">
        <f>IF($I5&lt;&gt;0,'4. Levy Rate Calculation'!F26,"")</f>
        <v/>
      </c>
      <c r="M5" s="236" t="str">
        <f>IF($I5&lt;&gt;0,'4. Levy Rate Calculation'!G26,"")</f>
        <v/>
      </c>
    </row>
    <row r="6" spans="1:13" x14ac:dyDescent="0.25">
      <c r="A6" s="226" t="str">
        <f>IF('3. L-2 Dollar Certification'!$B13&lt;&gt;"",
    LEFT('1. Dashboard'!$B$8,4),
    "")</f>
        <v/>
      </c>
      <c r="B6" s="226" t="str">
        <f>IF('3. L-2 Dollar Certification'!$B13&lt;&gt;"",
    DistrictName,
    "")</f>
        <v/>
      </c>
      <c r="C6" s="226" t="str">
        <f>IF('3. L-2 Dollar Certification'!$B13&lt;&gt;"",
    RIGHT(Review_Extract_Data!$C$2,
          LEN(Review_Extract_Data!$C$2)-SEARCH("-",Review_Extract_Data!$C$2)),
    "")</f>
        <v/>
      </c>
      <c r="D6" t="str">
        <f>IF('3. L-2 Dollar Certification'!$B13&lt;&gt;"",
    '3. L-2 Dollar Certification'!B13,
    "")</f>
        <v/>
      </c>
      <c r="E6" s="234">
        <f>'3. L-2 Dollar Certification'!D13</f>
        <v>0</v>
      </c>
      <c r="F6" s="234">
        <f>'3. L-2 Dollar Certification'!E13</f>
        <v>0</v>
      </c>
      <c r="G6" s="234">
        <f>'3. L-2 Dollar Certification'!F13</f>
        <v>0</v>
      </c>
      <c r="H6" s="234">
        <f>'3. L-2 Dollar Certification'!G13</f>
        <v>0</v>
      </c>
      <c r="I6" s="234">
        <f>'3. L-2 Dollar Certification'!H13</f>
        <v>0</v>
      </c>
      <c r="J6" s="92" t="str">
        <f>IF($I6&lt;&gt;0,'4. Levy Rate Calculation'!$C$19,"")</f>
        <v/>
      </c>
      <c r="K6" s="92" t="str">
        <f>IF($I6&lt;&gt;0,'4. Levy Rate Calculation'!D27,"")</f>
        <v/>
      </c>
      <c r="L6" s="206" t="str">
        <f>IF($I6&lt;&gt;0,'4. Levy Rate Calculation'!F27,"")</f>
        <v/>
      </c>
      <c r="M6" s="236" t="str">
        <f>IF($I6&lt;&gt;0,'4. Levy Rate Calculation'!G27,"")</f>
        <v/>
      </c>
    </row>
    <row r="7" spans="1:13" x14ac:dyDescent="0.25">
      <c r="A7" s="226" t="str">
        <f>IF('3. L-2 Dollar Certification'!$B14&lt;&gt;"",
    LEFT('1. Dashboard'!$B$8,4),
    "")</f>
        <v/>
      </c>
      <c r="B7" s="226" t="str">
        <f>IF('3. L-2 Dollar Certification'!$B14&lt;&gt;"",
    DistrictName,
    "")</f>
        <v/>
      </c>
      <c r="C7" s="226" t="str">
        <f>IF('3. L-2 Dollar Certification'!$B14&lt;&gt;"",
    RIGHT(Review_Extract_Data!$C$2,
          LEN(Review_Extract_Data!$C$2)-SEARCH("-",Review_Extract_Data!$C$2)),
    "")</f>
        <v/>
      </c>
      <c r="D7" t="str">
        <f>IF('3. L-2 Dollar Certification'!$B14&lt;&gt;"",
    '3. L-2 Dollar Certification'!B14,
    "")</f>
        <v/>
      </c>
      <c r="E7" s="234">
        <f>'3. L-2 Dollar Certification'!D14</f>
        <v>0</v>
      </c>
      <c r="F7" s="234">
        <f>'3. L-2 Dollar Certification'!E14</f>
        <v>0</v>
      </c>
      <c r="G7" s="234">
        <f>'3. L-2 Dollar Certification'!F14</f>
        <v>0</v>
      </c>
      <c r="H7" s="234">
        <f>'3. L-2 Dollar Certification'!G14</f>
        <v>0</v>
      </c>
      <c r="I7" s="234">
        <f>'3. L-2 Dollar Certification'!H14</f>
        <v>0</v>
      </c>
      <c r="J7" s="92" t="str">
        <f>IF($I7&lt;&gt;0,'4. Levy Rate Calculation'!$C$19,"")</f>
        <v/>
      </c>
      <c r="K7" s="92" t="str">
        <f>IF($I7&lt;&gt;0,'4. Levy Rate Calculation'!D28,"")</f>
        <v/>
      </c>
      <c r="L7" s="206" t="str">
        <f>IF($I7&lt;&gt;0,'4. Levy Rate Calculation'!F28,"")</f>
        <v/>
      </c>
      <c r="M7" s="236" t="str">
        <f>IF($I7&lt;&gt;0,'4. Levy Rate Calculation'!G28,"")</f>
        <v/>
      </c>
    </row>
    <row r="8" spans="1:13" x14ac:dyDescent="0.25">
      <c r="A8" s="226" t="str">
        <f>IF('3. L-2 Dollar Certification'!$B15&lt;&gt;"",
    LEFT('1. Dashboard'!$B$8,4),
    "")</f>
        <v/>
      </c>
      <c r="B8" s="226" t="str">
        <f>IF('3. L-2 Dollar Certification'!$B15&lt;&gt;"",
    DistrictName,
    "")</f>
        <v/>
      </c>
      <c r="C8" s="226" t="str">
        <f>IF('3. L-2 Dollar Certification'!$B15&lt;&gt;"",
    RIGHT(Review_Extract_Data!$C$2,
          LEN(Review_Extract_Data!$C$2)-SEARCH("-",Review_Extract_Data!$C$2)),
    "")</f>
        <v/>
      </c>
      <c r="D8" t="str">
        <f>IF('3. L-2 Dollar Certification'!$B15&lt;&gt;"",
    '3. L-2 Dollar Certification'!B15,
    "")</f>
        <v/>
      </c>
      <c r="E8" s="234">
        <f>'3. L-2 Dollar Certification'!D15</f>
        <v>0</v>
      </c>
      <c r="F8" s="234">
        <f>'3. L-2 Dollar Certification'!E15</f>
        <v>0</v>
      </c>
      <c r="G8" s="234">
        <f>'3. L-2 Dollar Certification'!F15</f>
        <v>0</v>
      </c>
      <c r="H8" s="234">
        <f>'3. L-2 Dollar Certification'!G15</f>
        <v>0</v>
      </c>
      <c r="I8" s="234">
        <f>'3. L-2 Dollar Certification'!H15</f>
        <v>0</v>
      </c>
      <c r="J8" s="92" t="str">
        <f>IF($I8&lt;&gt;0,'4. Levy Rate Calculation'!$C$19,"")</f>
        <v/>
      </c>
      <c r="K8" s="92" t="str">
        <f>IF($I8&lt;&gt;0,'4. Levy Rate Calculation'!D29,"")</f>
        <v/>
      </c>
      <c r="L8" s="206" t="str">
        <f>IF($I8&lt;&gt;0,'4. Levy Rate Calculation'!F29,"")</f>
        <v/>
      </c>
      <c r="M8" s="236" t="str">
        <f>IF($I8&lt;&gt;0,'4. Levy Rate Calculation'!G29,"")</f>
        <v/>
      </c>
    </row>
    <row r="9" spans="1:13" x14ac:dyDescent="0.25">
      <c r="A9" s="226" t="str">
        <f>IF('3. L-2 Dollar Certification'!$B16&lt;&gt;"",
    LEFT('1. Dashboard'!$B$8,4),
    "")</f>
        <v/>
      </c>
      <c r="B9" s="226" t="str">
        <f>IF('3. L-2 Dollar Certification'!$B16&lt;&gt;"",
    DistrictName,
    "")</f>
        <v/>
      </c>
      <c r="C9" s="226" t="str">
        <f>IF('3. L-2 Dollar Certification'!$B16&lt;&gt;"",
    RIGHT(Review_Extract_Data!$C$2,
          LEN(Review_Extract_Data!$C$2)-SEARCH("-",Review_Extract_Data!$C$2)),
    "")</f>
        <v/>
      </c>
      <c r="D9" t="str">
        <f>IF('3. L-2 Dollar Certification'!$B16&lt;&gt;"",
    '3. L-2 Dollar Certification'!B16,
    "")</f>
        <v/>
      </c>
      <c r="E9" s="234">
        <f>'3. L-2 Dollar Certification'!D16</f>
        <v>0</v>
      </c>
      <c r="F9" s="234">
        <f>'3. L-2 Dollar Certification'!E16</f>
        <v>0</v>
      </c>
      <c r="G9" s="234">
        <f>'3. L-2 Dollar Certification'!F16</f>
        <v>0</v>
      </c>
      <c r="H9" s="234">
        <f>'3. L-2 Dollar Certification'!G16</f>
        <v>0</v>
      </c>
      <c r="I9" s="234">
        <f>'3. L-2 Dollar Certification'!H16</f>
        <v>0</v>
      </c>
      <c r="J9" s="92" t="str">
        <f>IF($I9&lt;&gt;0,'4. Levy Rate Calculation'!$C$19,"")</f>
        <v/>
      </c>
      <c r="K9" s="92" t="str">
        <f>IF($I9&lt;&gt;0,'4. Levy Rate Calculation'!D30,"")</f>
        <v/>
      </c>
      <c r="L9" s="206" t="str">
        <f>IF($I9&lt;&gt;0,'4. Levy Rate Calculation'!F30,"")</f>
        <v/>
      </c>
      <c r="M9" s="236" t="str">
        <f>IF($I9&lt;&gt;0,'4. Levy Rate Calculation'!G30,"")</f>
        <v/>
      </c>
    </row>
    <row r="10" spans="1:13" x14ac:dyDescent="0.25">
      <c r="A10" s="226" t="str">
        <f>IF('3. L-2 Dollar Certification'!$B17&lt;&gt;"",
    LEFT('1. Dashboard'!$B$8,4),
    "")</f>
        <v/>
      </c>
      <c r="B10" s="226" t="str">
        <f>IF('3. L-2 Dollar Certification'!$B17&lt;&gt;"",
    DistrictName,
    "")</f>
        <v/>
      </c>
      <c r="C10" s="226" t="str">
        <f>IF('3. L-2 Dollar Certification'!$B17&lt;&gt;"",
    RIGHT(Review_Extract_Data!$C$2,
          LEN(Review_Extract_Data!$C$2)-SEARCH("-",Review_Extract_Data!$C$2)),
    "")</f>
        <v/>
      </c>
      <c r="D10" t="str">
        <f>IF('3. L-2 Dollar Certification'!$B17&lt;&gt;"",
    '3. L-2 Dollar Certification'!B17,
    "")</f>
        <v/>
      </c>
      <c r="E10" s="234">
        <f>'3. L-2 Dollar Certification'!D17</f>
        <v>0</v>
      </c>
      <c r="F10" s="234">
        <f>'3. L-2 Dollar Certification'!E17</f>
        <v>0</v>
      </c>
      <c r="G10" s="234">
        <f>'3. L-2 Dollar Certification'!F17</f>
        <v>0</v>
      </c>
      <c r="H10" s="234">
        <f>'3. L-2 Dollar Certification'!G17</f>
        <v>0</v>
      </c>
      <c r="I10" s="234">
        <f>'3. L-2 Dollar Certification'!H17</f>
        <v>0</v>
      </c>
      <c r="J10" s="92" t="str">
        <f>IF($I10&lt;&gt;0,'4. Levy Rate Calculation'!$C$19,"")</f>
        <v/>
      </c>
      <c r="K10" s="92" t="str">
        <f>IF($I10&lt;&gt;0,'4. Levy Rate Calculation'!D31,"")</f>
        <v/>
      </c>
      <c r="L10" s="206" t="str">
        <f>IF($I10&lt;&gt;0,'4. Levy Rate Calculation'!F31,"")</f>
        <v/>
      </c>
      <c r="M10" s="236" t="str">
        <f>IF($I10&lt;&gt;0,'4. Levy Rate Calculation'!G31,"")</f>
        <v/>
      </c>
    </row>
    <row r="11" spans="1:13" x14ac:dyDescent="0.25">
      <c r="A11" s="226" t="str">
        <f>IF('3. L-2 Dollar Certification'!$B18&lt;&gt;"",
    LEFT('1. Dashboard'!$B$8,4),
    "")</f>
        <v/>
      </c>
      <c r="B11" s="226" t="str">
        <f>IF('3. L-2 Dollar Certification'!$B18&lt;&gt;"",
    DistrictName,
    "")</f>
        <v/>
      </c>
      <c r="C11" s="226" t="str">
        <f>IF('3. L-2 Dollar Certification'!$B18&lt;&gt;"",
    RIGHT(Review_Extract_Data!$C$2,
          LEN(Review_Extract_Data!$C$2)-SEARCH("-",Review_Extract_Data!$C$2)),
    "")</f>
        <v/>
      </c>
      <c r="D11" t="str">
        <f>IF('3. L-2 Dollar Certification'!$B18&lt;&gt;"",
    '3. L-2 Dollar Certification'!B18,
    "")</f>
        <v/>
      </c>
      <c r="E11" s="234">
        <f>'3. L-2 Dollar Certification'!D18</f>
        <v>0</v>
      </c>
      <c r="F11" s="234">
        <f>'3. L-2 Dollar Certification'!E18</f>
        <v>0</v>
      </c>
      <c r="G11" s="234">
        <f>'3. L-2 Dollar Certification'!F18</f>
        <v>0</v>
      </c>
      <c r="H11" s="234">
        <f>'3. L-2 Dollar Certification'!G18</f>
        <v>0</v>
      </c>
      <c r="I11" s="234">
        <f>'3. L-2 Dollar Certification'!H18</f>
        <v>0</v>
      </c>
      <c r="J11" s="92" t="str">
        <f>IF($I11&lt;&gt;0,'4. Levy Rate Calculation'!$C$19,"")</f>
        <v/>
      </c>
      <c r="K11" s="92" t="str">
        <f>IF($I11&lt;&gt;0,'4. Levy Rate Calculation'!D32,"")</f>
        <v/>
      </c>
      <c r="L11" s="206" t="str">
        <f>IF($I11&lt;&gt;0,'4. Levy Rate Calculation'!F32,"")</f>
        <v/>
      </c>
      <c r="M11" s="236" t="str">
        <f>IF($I11&lt;&gt;0,'4. Levy Rate Calculation'!G32,"")</f>
        <v/>
      </c>
    </row>
    <row r="12" spans="1:13" x14ac:dyDescent="0.25">
      <c r="A12" s="226" t="str">
        <f>IF('3. L-2 Dollar Certification'!$B19&lt;&gt;"",
    LEFT('1. Dashboard'!$B$8,4),
    "")</f>
        <v/>
      </c>
      <c r="B12" s="226" t="str">
        <f>IF('3. L-2 Dollar Certification'!$B19&lt;&gt;"",
    DistrictName,
    "")</f>
        <v/>
      </c>
      <c r="C12" s="226" t="str">
        <f>IF('3. L-2 Dollar Certification'!$B19&lt;&gt;"",
    RIGHT(Review_Extract_Data!$C$2,
          LEN(Review_Extract_Data!$C$2)-SEARCH("-",Review_Extract_Data!$C$2)),
    "")</f>
        <v/>
      </c>
      <c r="D12" t="str">
        <f>IF('3. L-2 Dollar Certification'!$B19&lt;&gt;"",
    '3. L-2 Dollar Certification'!B19,
    "")</f>
        <v/>
      </c>
      <c r="E12" s="234">
        <f>'3. L-2 Dollar Certification'!D19</f>
        <v>0</v>
      </c>
      <c r="F12" s="234">
        <f>'3. L-2 Dollar Certification'!E19</f>
        <v>0</v>
      </c>
      <c r="G12" s="234">
        <f>'3. L-2 Dollar Certification'!F19</f>
        <v>0</v>
      </c>
      <c r="H12" s="234">
        <f>'3. L-2 Dollar Certification'!G19</f>
        <v>0</v>
      </c>
      <c r="I12" s="234">
        <f>'3. L-2 Dollar Certification'!H19</f>
        <v>0</v>
      </c>
      <c r="J12" s="92" t="str">
        <f>IF($I12&lt;&gt;0,'4. Levy Rate Calculation'!$C$19,"")</f>
        <v/>
      </c>
      <c r="K12" s="92" t="str">
        <f>IF($I12&lt;&gt;0,'4. Levy Rate Calculation'!D33,"")</f>
        <v/>
      </c>
      <c r="L12" s="206" t="str">
        <f>IF($I12&lt;&gt;0,'4. Levy Rate Calculation'!F33,"")</f>
        <v/>
      </c>
      <c r="M12" s="236" t="str">
        <f>IF($I12&lt;&gt;0,'4. Levy Rate Calculation'!G33,"")</f>
        <v/>
      </c>
    </row>
    <row r="13" spans="1:13" x14ac:dyDescent="0.25">
      <c r="A13" s="226" t="str">
        <f>IF('3. L-2 Dollar Certification'!$B20&lt;&gt;"",
    LEFT('1. Dashboard'!$B$8,4),
    "")</f>
        <v/>
      </c>
      <c r="B13" s="226" t="str">
        <f>IF('3. L-2 Dollar Certification'!$B20&lt;&gt;"",
    DistrictName,
    "")</f>
        <v/>
      </c>
      <c r="C13" s="226" t="str">
        <f>IF('3. L-2 Dollar Certification'!$B20&lt;&gt;"",
    RIGHT(Review_Extract_Data!$C$2,
          LEN(Review_Extract_Data!$C$2)-SEARCH("-",Review_Extract_Data!$C$2)),
    "")</f>
        <v/>
      </c>
      <c r="D13" t="str">
        <f>IF('3. L-2 Dollar Certification'!$B20&lt;&gt;"",
    '3. L-2 Dollar Certification'!B20,
    "")</f>
        <v/>
      </c>
      <c r="E13" s="234">
        <f>'3. L-2 Dollar Certification'!D20</f>
        <v>0</v>
      </c>
      <c r="F13" s="234">
        <f>'3. L-2 Dollar Certification'!E20</f>
        <v>0</v>
      </c>
      <c r="G13" s="234">
        <f>'3. L-2 Dollar Certification'!F20</f>
        <v>0</v>
      </c>
      <c r="H13" s="234">
        <f>'3. L-2 Dollar Certification'!G20</f>
        <v>0</v>
      </c>
      <c r="I13" s="234">
        <f>'3. L-2 Dollar Certification'!H20</f>
        <v>0</v>
      </c>
      <c r="J13" s="92" t="str">
        <f>IF($I13&lt;&gt;0,'4. Levy Rate Calculation'!$C$19,"")</f>
        <v/>
      </c>
      <c r="K13" s="92" t="str">
        <f>IF($I13&lt;&gt;0,'4. Levy Rate Calculation'!D34,"")</f>
        <v/>
      </c>
      <c r="L13" s="206" t="str">
        <f>IF($I13&lt;&gt;0,'4. Levy Rate Calculation'!F34,"")</f>
        <v/>
      </c>
      <c r="M13" s="236" t="str">
        <f>IF($I13&lt;&gt;0,'4. Levy Rate Calculation'!G34,"")</f>
        <v/>
      </c>
    </row>
    <row r="14" spans="1:13" x14ac:dyDescent="0.25">
      <c r="A14" s="226" t="str">
        <f>IF('3. L-2 Dollar Certification'!$B21&lt;&gt;"",
    LEFT('1. Dashboard'!$B$8,4),
    "")</f>
        <v/>
      </c>
      <c r="B14" s="226" t="str">
        <f>IF('3. L-2 Dollar Certification'!$B21&lt;&gt;"",
    DistrictName,
    "")</f>
        <v/>
      </c>
      <c r="C14" s="226" t="str">
        <f>IF('3. L-2 Dollar Certification'!$B21&lt;&gt;"",
    RIGHT(Review_Extract_Data!$C$2,
          LEN(Review_Extract_Data!$C$2)-SEARCH("-",Review_Extract_Data!$C$2)),
    "")</f>
        <v/>
      </c>
      <c r="D14" t="str">
        <f>IF('3. L-2 Dollar Certification'!$B21&lt;&gt;"",
    '3. L-2 Dollar Certification'!B21,
    "")</f>
        <v/>
      </c>
      <c r="E14" s="234">
        <f>'3. L-2 Dollar Certification'!D21</f>
        <v>0</v>
      </c>
      <c r="F14" s="234">
        <f>'3. L-2 Dollar Certification'!E21</f>
        <v>0</v>
      </c>
      <c r="G14" s="234">
        <f>'3. L-2 Dollar Certification'!F21</f>
        <v>0</v>
      </c>
      <c r="H14" s="234">
        <f>'3. L-2 Dollar Certification'!G21</f>
        <v>0</v>
      </c>
      <c r="I14" s="234">
        <f>'3. L-2 Dollar Certification'!H21</f>
        <v>0</v>
      </c>
      <c r="J14" s="92" t="str">
        <f>IF($I14&lt;&gt;0,'4. Levy Rate Calculation'!$C$19,"")</f>
        <v/>
      </c>
      <c r="K14" s="92" t="str">
        <f>IF($I14&lt;&gt;0,'4. Levy Rate Calculation'!D35,"")</f>
        <v/>
      </c>
      <c r="L14" s="206" t="str">
        <f>IF($I14&lt;&gt;0,'4. Levy Rate Calculation'!F35,"")</f>
        <v/>
      </c>
      <c r="M14" s="236" t="str">
        <f>IF($I14&lt;&gt;0,'4. Levy Rate Calculation'!G35,"")</f>
        <v/>
      </c>
    </row>
    <row r="15" spans="1:13" x14ac:dyDescent="0.25">
      <c r="A15" s="226" t="str">
        <f>IF('3. L-2 Dollar Certification'!$B22&lt;&gt;"",
    LEFT('1. Dashboard'!$B$8,4),
    "")</f>
        <v/>
      </c>
      <c r="B15" s="226" t="str">
        <f>IF('3. L-2 Dollar Certification'!$B22&lt;&gt;"",
    DistrictName,
    "")</f>
        <v/>
      </c>
      <c r="C15" s="226" t="str">
        <f>IF('3. L-2 Dollar Certification'!$B22&lt;&gt;"",
    RIGHT(Review_Extract_Data!$C$2,
          LEN(Review_Extract_Data!$C$2)-SEARCH("-",Review_Extract_Data!$C$2)),
    "")</f>
        <v/>
      </c>
      <c r="D15" t="str">
        <f>IF('3. L-2 Dollar Certification'!$B22&lt;&gt;"",
    '3. L-2 Dollar Certification'!B22,
    "")</f>
        <v/>
      </c>
      <c r="E15" s="234">
        <f>'3. L-2 Dollar Certification'!D22</f>
        <v>0</v>
      </c>
      <c r="F15" s="234">
        <f>'3. L-2 Dollar Certification'!E22</f>
        <v>0</v>
      </c>
      <c r="G15" s="234">
        <f>'3. L-2 Dollar Certification'!F22</f>
        <v>0</v>
      </c>
      <c r="H15" s="234">
        <f>'3. L-2 Dollar Certification'!G22</f>
        <v>0</v>
      </c>
      <c r="I15" s="234">
        <f>'3. L-2 Dollar Certification'!H22</f>
        <v>0</v>
      </c>
      <c r="J15" s="92" t="str">
        <f>IF($I15&lt;&gt;0,'4. Levy Rate Calculation'!$C$19,"")</f>
        <v/>
      </c>
      <c r="K15" s="92" t="str">
        <f>IF($I15&lt;&gt;0,'4. Levy Rate Calculation'!D36,"")</f>
        <v/>
      </c>
      <c r="L15" s="206" t="str">
        <f>IF($I15&lt;&gt;0,'4. Levy Rate Calculation'!F36,"")</f>
        <v/>
      </c>
      <c r="M15" s="236" t="str">
        <f>IF($I15&lt;&gt;0,'4. Levy Rate Calculation'!G36,"")</f>
        <v/>
      </c>
    </row>
    <row r="16" spans="1:13" x14ac:dyDescent="0.25">
      <c r="A16" s="226" t="str">
        <f>IF('3. L-2 Dollar Certification'!$B23&lt;&gt;"",
    LEFT('1. Dashboard'!$B$8,4),
    "")</f>
        <v/>
      </c>
      <c r="B16" s="226" t="str">
        <f>IF('3. L-2 Dollar Certification'!$B23&lt;&gt;"",
    DistrictName,
    "")</f>
        <v/>
      </c>
      <c r="C16" s="226" t="str">
        <f>IF('3. L-2 Dollar Certification'!$B23&lt;&gt;"",
    RIGHT(Review_Extract_Data!$C$2,
          LEN(Review_Extract_Data!$C$2)-SEARCH("-",Review_Extract_Data!$C$2)),
    "")</f>
        <v/>
      </c>
      <c r="D16" t="str">
        <f>IF('3. L-2 Dollar Certification'!$B23&lt;&gt;"",
    '3. L-2 Dollar Certification'!B23,
    "")</f>
        <v/>
      </c>
      <c r="E16" s="234">
        <f>'3. L-2 Dollar Certification'!D23</f>
        <v>0</v>
      </c>
      <c r="F16" s="234">
        <f>'3. L-2 Dollar Certification'!E23</f>
        <v>0</v>
      </c>
      <c r="G16" s="234">
        <f>'3. L-2 Dollar Certification'!F23</f>
        <v>0</v>
      </c>
      <c r="H16" s="234">
        <f>'3. L-2 Dollar Certification'!G23</f>
        <v>0</v>
      </c>
      <c r="I16" s="234">
        <f>'3. L-2 Dollar Certification'!H23</f>
        <v>0</v>
      </c>
      <c r="J16" s="92" t="str">
        <f>IF($I16&lt;&gt;0,'4. Levy Rate Calculation'!$C$19,"")</f>
        <v/>
      </c>
      <c r="K16" s="92" t="str">
        <f>IF($I16&lt;&gt;0,'4. Levy Rate Calculation'!D37,"")</f>
        <v/>
      </c>
      <c r="L16" s="206" t="str">
        <f>IF($I16&lt;&gt;0,'4. Levy Rate Calculation'!F37,"")</f>
        <v/>
      </c>
      <c r="M16" s="236" t="str">
        <f>IF($I16&lt;&gt;0,'4. Levy Rate Calculation'!G37,"")</f>
        <v/>
      </c>
    </row>
    <row r="17" spans="1:13" x14ac:dyDescent="0.25">
      <c r="A17" s="226" t="str">
        <f>IF(OR(DistrictType="County w/Countywide Road and Bridge",DistrictType="Highway"),
    LEFT('1. Dashboard'!$B$8,4),
    "")</f>
        <v/>
      </c>
      <c r="B17" s="226" t="str">
        <f>IF(OR(DistrictType="County w/Countywide Road and Bridge",DistrictType="Highway"),
    DistrictName,
    "")</f>
        <v/>
      </c>
      <c r="C17" s="226" t="str">
        <f>IF(OR(DistrictType="County w/Countywide Road and Bridge",DistrictType="Highway"),
    RIGHT(Review_Extract_Data!$C$2,
          LEN(Review_Extract_Data!$C$2)-SEARCH("-",Review_Extract_Data!$C$2)),
    "")</f>
        <v/>
      </c>
      <c r="D17" t="str">
        <f>IF(OR(DistrictType="County w/Countywide Road and Bridge",DistrictType="Highway"),
    RIGHT('3. L-2 Dollar Certification'!C24,19),
    "")</f>
        <v/>
      </c>
      <c r="E17" s="234">
        <f>'3. L-2 Dollar Certification'!D24</f>
        <v>0</v>
      </c>
      <c r="F17" s="234">
        <f>'3. L-2 Dollar Certification'!E24</f>
        <v>0</v>
      </c>
      <c r="G17" s="234">
        <f>'3. L-2 Dollar Certification'!F24</f>
        <v>0</v>
      </c>
      <c r="H17" s="234">
        <f>'3. L-2 Dollar Certification'!G24</f>
        <v>0</v>
      </c>
      <c r="I17" s="234">
        <f>'3. L-2 Dollar Certification'!H24</f>
        <v>0</v>
      </c>
      <c r="J17" s="92" t="str">
        <f>IF($I17&lt;&gt;0,'4. Levy Rate Calculation'!$C$19,"")</f>
        <v/>
      </c>
      <c r="K17" s="92" t="str">
        <f>IF($I17&lt;&gt;0,'4. Levy Rate Calculation'!D38,"")</f>
        <v/>
      </c>
      <c r="L17" s="206" t="str">
        <f>IF($I17&lt;&gt;0,'4. Levy Rate Calculation'!F38,"")</f>
        <v/>
      </c>
      <c r="M17" s="236" t="str">
        <f>IF($I17&lt;&gt;0,'4. Levy Rate Calculation'!G38,"")</f>
        <v/>
      </c>
    </row>
    <row r="18" spans="1:13" x14ac:dyDescent="0.25">
      <c r="A18" s="226" t="str">
        <f>IF(OR(DistrictType="County w/Countywide Road and Bridge",DistrictType="Highway"),
    LEFT('1. Dashboard'!$B$8,4),
    "")</f>
        <v/>
      </c>
      <c r="B18" s="226" t="str">
        <f>IF(OR(DistrictType="County w/Countywide Road and Bridge",DistrictType="Highway"),
    DistrictName,
    "")</f>
        <v/>
      </c>
      <c r="C18" s="226" t="str">
        <f>IF(OR(DistrictType="County w/Countywide Road and Bridge",DistrictType="Highway"),
    RIGHT(Review_Extract_Data!$C$2,
          LEN(Review_Extract_Data!$C$2)-SEARCH("-",Review_Extract_Data!$C$2)),
    "")</f>
        <v/>
      </c>
      <c r="D18" t="str">
        <f>IF(OR(DistrictType="County w/Countywide Road and Bridge",DistrictType="Highway"),
    RIGHT('3. L-2 Dollar Certification'!C25,19),
    "")</f>
        <v/>
      </c>
      <c r="E18" s="234">
        <f>'3. L-2 Dollar Certification'!D25</f>
        <v>0</v>
      </c>
      <c r="F18" s="234">
        <f>'3. L-2 Dollar Certification'!E25</f>
        <v>0</v>
      </c>
      <c r="G18" s="234">
        <f>'3. L-2 Dollar Certification'!F25</f>
        <v>0</v>
      </c>
      <c r="H18" s="234">
        <f>'3. L-2 Dollar Certification'!G25</f>
        <v>0</v>
      </c>
      <c r="I18" s="234">
        <f>'3. L-2 Dollar Certification'!H25</f>
        <v>0</v>
      </c>
      <c r="J18" s="92" t="str">
        <f>IF($I18&lt;&gt;0,'4. Levy Rate Calculation'!$C$19,"")</f>
        <v/>
      </c>
      <c r="K18" s="92" t="str">
        <f>IF($I18&lt;&gt;0,'4. Levy Rate Calculation'!D39,"")</f>
        <v/>
      </c>
      <c r="L18" s="206" t="str">
        <f>IF($I18&lt;&gt;0,'4. Levy Rate Calculation'!F39,"")</f>
        <v/>
      </c>
      <c r="M18" s="236" t="str">
        <f>IF($I18&lt;&gt;0,'4. Levy Rate Calculation'!G39,"")</f>
        <v/>
      </c>
    </row>
    <row r="19" spans="1:13" x14ac:dyDescent="0.25">
      <c r="A19" s="226" t="str">
        <f>IF(OR(DistrictType="School",DistrictType="Highway"),
    LEFT('1. Dashboard'!$B$8,4),
    "")</f>
        <v/>
      </c>
      <c r="B19" s="226" t="str">
        <f>IF(OR(DistrictType="School",DistrictType="Highway"),
    DistrictName,
    "")</f>
        <v/>
      </c>
      <c r="C19" s="226" t="str">
        <f>IF(OR(DistrictType="School",DistrictType="Highway"),
    RIGHT(Review_Extract_Data!$C$2,
          LEN(Review_Extract_Data!$C$2)-SEARCH("-",Review_Extract_Data!$C$2)),
    "")</f>
        <v/>
      </c>
      <c r="D19" t="str">
        <f>IF(OR(DistrictType="School",DistrictType="Highway"),
    RIGHT('3. L-2 Dollar Certification'!C26,19),
    "")</f>
        <v/>
      </c>
      <c r="E19" s="234">
        <f>'3. L-2 Dollar Certification'!D26</f>
        <v>0</v>
      </c>
      <c r="F19" s="234">
        <f>'3. L-2 Dollar Certification'!E26</f>
        <v>0</v>
      </c>
      <c r="G19" s="234">
        <f>'3. L-2 Dollar Certification'!F26</f>
        <v>0</v>
      </c>
      <c r="H19" s="234">
        <f>'3. L-2 Dollar Certification'!G26</f>
        <v>0</v>
      </c>
      <c r="I19" s="234">
        <f>'3. L-2 Dollar Certification'!H26</f>
        <v>0</v>
      </c>
      <c r="J19" s="92" t="str">
        <f>IF($I19&lt;&gt;0,'4. Levy Rate Calculation'!$C$19,"")</f>
        <v/>
      </c>
      <c r="K19" s="92" t="str">
        <f>IF($I19&lt;&gt;0,'4. Levy Rate Calculation'!D40,"")</f>
        <v/>
      </c>
      <c r="L19" s="206" t="str">
        <f>IF($I19&lt;&gt;0,'4. Levy Rate Calculation'!F40,"")</f>
        <v/>
      </c>
      <c r="M19" s="236" t="str">
        <f>IF($I19&lt;&gt;0,'4. Levy Rate Calculation'!G40,"")</f>
        <v/>
      </c>
    </row>
    <row r="20" spans="1:13" x14ac:dyDescent="0.25">
      <c r="A20" s="226" t="str">
        <f>IF('3. L-2 Dollar Certification'!$C27&lt;&gt;"",
    LEFT('1. Dashboard'!$B$8,4),
    "")</f>
        <v/>
      </c>
      <c r="B20" s="226" t="str">
        <f>IF('3. L-2 Dollar Certification'!$C27&lt;&gt;"",
    DistrictName,
    "")</f>
        <v/>
      </c>
      <c r="C20" s="226" t="str">
        <f>IF('3. L-2 Dollar Certification'!$C27&lt;&gt;"",
    RIGHT(Review_Extract_Data!$C$2,
          LEN(Review_Extract_Data!$C$2)-SEARCH("-",Review_Extract_Data!$C$2)),
    "")</f>
        <v/>
      </c>
      <c r="D20" t="str">
        <f>IF('3. L-2 Dollar Certification'!$C27&lt;&gt;"",
    '3. L-2 Dollar Certification'!C27,
    "")</f>
        <v/>
      </c>
      <c r="E20" s="234">
        <f>'3. L-2 Dollar Certification'!D27</f>
        <v>0</v>
      </c>
      <c r="F20" s="234">
        <f>'3. L-2 Dollar Certification'!E27</f>
        <v>0</v>
      </c>
      <c r="G20" s="234">
        <f>'3. L-2 Dollar Certification'!F27</f>
        <v>0</v>
      </c>
      <c r="H20" s="234">
        <f>'3. L-2 Dollar Certification'!G27</f>
        <v>0</v>
      </c>
      <c r="I20" s="234">
        <f>'3. L-2 Dollar Certification'!H27</f>
        <v>0</v>
      </c>
      <c r="J20" s="92"/>
      <c r="K20" s="92"/>
      <c r="L20" s="206"/>
      <c r="M20" s="236"/>
    </row>
    <row r="21" spans="1:13" x14ac:dyDescent="0.25">
      <c r="A21" s="226" t="str">
        <f>IF('3. L-2 Dollar Certification'!$B28&lt;&gt;"",
    LEFT('1. Dashboard'!$B$8,4),
    "")</f>
        <v>2026</v>
      </c>
      <c r="B21" s="226">
        <f>IF('3. L-2 Dollar Certification'!$B28&lt;&gt;"",
    DistrictName,
    "")</f>
        <v>0</v>
      </c>
      <c r="C21" s="226" t="e">
        <f>IF('3. L-2 Dollar Certification'!$B28&lt;&gt;"",
    RIGHT(Review_Extract_Data!$C$2,
          LEN(Review_Extract_Data!$C$2)-SEARCH("-",Review_Extract_Data!$C$2)),
    "")</f>
        <v>#VALUE!</v>
      </c>
      <c r="D21" t="str">
        <f>IF('3. L-2 Dollar Certification'!$B28&lt;&gt;"",
    '3. L-2 Dollar Certification'!B28,
    "")</f>
        <v>NON-LEVIED FUNDS (must net zero)</v>
      </c>
      <c r="E21" s="234">
        <f>'3. L-2 Dollar Certification'!D28</f>
        <v>0</v>
      </c>
      <c r="F21" s="234">
        <f>'3. L-2 Dollar Certification'!E28</f>
        <v>0</v>
      </c>
      <c r="G21" s="234">
        <f>'3. L-2 Dollar Certification'!F28</f>
        <v>0</v>
      </c>
      <c r="H21" s="234">
        <f>'3. L-2 Dollar Certification'!G28</f>
        <v>0</v>
      </c>
      <c r="I21" s="234">
        <f>'3. L-2 Dollar Certification'!H28</f>
        <v>0</v>
      </c>
      <c r="J21" s="92"/>
      <c r="K21" s="92"/>
      <c r="L21" s="206"/>
      <c r="M21" s="236"/>
    </row>
    <row r="22" spans="1:13" x14ac:dyDescent="0.25">
      <c r="A22" s="239" t="str">
        <f>IF('3. L-2 Dollar Certification'!$B33&lt;&gt;"",
    LEFT('1. Dashboard'!$B$8,4),
    "")</f>
        <v/>
      </c>
      <c r="B22" s="239" t="str">
        <f>IF('3. L-2 Dollar Certification'!$B33&lt;&gt;"",
    DistrictName,
    "")</f>
        <v/>
      </c>
      <c r="C22" s="239" t="str">
        <f>IF('3. L-2 Dollar Certification'!$B33&lt;&gt;"",
    RIGHT(Review_Extract_Data!$C$2,
          LEN(Review_Extract_Data!$C$2)-SEARCH("-",Review_Extract_Data!$C$2)),
    "")</f>
        <v/>
      </c>
      <c r="D22" s="240" t="str">
        <f>IF('3. L-2 Dollar Certification'!$B33&lt;&gt;"",
    '3. L-2 Dollar Certification'!B33,
    "")</f>
        <v/>
      </c>
      <c r="E22" s="241">
        <f>'3. L-2 Dollar Certification'!D33</f>
        <v>0</v>
      </c>
      <c r="F22" s="241">
        <f>'3. L-2 Dollar Certification'!E33</f>
        <v>0</v>
      </c>
      <c r="G22" s="241">
        <f>'3. L-2 Dollar Certification'!F33</f>
        <v>0</v>
      </c>
      <c r="H22" s="241">
        <f>'3. L-2 Dollar Certification'!G33</f>
        <v>0</v>
      </c>
      <c r="I22" s="241">
        <f>'3. L-2 Dollar Certification'!H33</f>
        <v>0</v>
      </c>
      <c r="J22" s="242" t="str">
        <f>IF($I22&lt;&gt;0,'4. Levy Rate Calculation'!$C$19,"")</f>
        <v/>
      </c>
      <c r="K22" s="242" t="str">
        <f>IF($I22&lt;&gt;0,'4. Levy Rate Calculation'!D43,"")</f>
        <v/>
      </c>
      <c r="L22" s="243" t="str">
        <f>IF($I22&lt;&gt;0,'4. Levy Rate Calculation'!F43,"")</f>
        <v/>
      </c>
      <c r="M22" s="244" t="str">
        <f>IF($I22&lt;&gt;0,'4. Levy Rate Calculation'!G43,"")</f>
        <v/>
      </c>
    </row>
    <row r="23" spans="1:13" x14ac:dyDescent="0.25">
      <c r="A23" s="226" t="str">
        <f>IF('3. L-2 Dollar Certification'!$B34&lt;&gt;"",
    LEFT('1. Dashboard'!$B$8,4),
    "")</f>
        <v/>
      </c>
      <c r="B23" s="226" t="str">
        <f>IF('3. L-2 Dollar Certification'!$B34&lt;&gt;"",
    DistrictName,
    "")</f>
        <v/>
      </c>
      <c r="C23" s="226" t="str">
        <f>IF('3. L-2 Dollar Certification'!$B34&lt;&gt;"",
    RIGHT(Review_Extract_Data!$C$2,
          LEN(Review_Extract_Data!$C$2)-SEARCH("-",Review_Extract_Data!$C$2)),
    "")</f>
        <v/>
      </c>
      <c r="D23" t="str">
        <f>IF('3. L-2 Dollar Certification'!$B34&lt;&gt;"",
    '3. L-2 Dollar Certification'!B34,
    "")</f>
        <v/>
      </c>
      <c r="E23" s="234">
        <f>'3. L-2 Dollar Certification'!D34</f>
        <v>0</v>
      </c>
      <c r="F23" s="234">
        <f>'3. L-2 Dollar Certification'!E34</f>
        <v>0</v>
      </c>
      <c r="G23" s="234">
        <f>'3. L-2 Dollar Certification'!F34</f>
        <v>0</v>
      </c>
      <c r="H23" s="234">
        <f>'3. L-2 Dollar Certification'!G34</f>
        <v>0</v>
      </c>
      <c r="I23" s="234">
        <f>'3. L-2 Dollar Certification'!H34</f>
        <v>0</v>
      </c>
      <c r="J23" s="92" t="str">
        <f>IF($I23&lt;&gt;0,'4. Levy Rate Calculation'!$C$19,"")</f>
        <v/>
      </c>
      <c r="K23" s="92" t="str">
        <f>IF($I23&lt;&gt;0,'4. Levy Rate Calculation'!D44,"")</f>
        <v/>
      </c>
      <c r="L23" s="206" t="str">
        <f>IF($I23&lt;&gt;0,'4. Levy Rate Calculation'!F44,"")</f>
        <v/>
      </c>
      <c r="M23" s="236" t="str">
        <f>IF($I23&lt;&gt;0,'4. Levy Rate Calculation'!G44,"")</f>
        <v/>
      </c>
    </row>
    <row r="24" spans="1:13" x14ac:dyDescent="0.25">
      <c r="A24" s="226" t="str">
        <f>IF('3. L-2 Dollar Certification'!$B35&lt;&gt;"",
    LEFT('1. Dashboard'!$B$8,4),
    "")</f>
        <v/>
      </c>
      <c r="B24" s="226" t="str">
        <f>IF('3. L-2 Dollar Certification'!$B35&lt;&gt;"",
    DistrictName,
    "")</f>
        <v/>
      </c>
      <c r="C24" s="226" t="str">
        <f>IF('3. L-2 Dollar Certification'!$B35&lt;&gt;"",
    RIGHT(Review_Extract_Data!$C$2,
          LEN(Review_Extract_Data!$C$2)-SEARCH("-",Review_Extract_Data!$C$2)),
    "")</f>
        <v/>
      </c>
      <c r="D24" t="str">
        <f>IF('3. L-2 Dollar Certification'!$B35&lt;&gt;"",
    '3. L-2 Dollar Certification'!B35,
    "")</f>
        <v/>
      </c>
      <c r="E24" s="234">
        <f>'3. L-2 Dollar Certification'!D35</f>
        <v>0</v>
      </c>
      <c r="F24" s="234">
        <f>'3. L-2 Dollar Certification'!E35</f>
        <v>0</v>
      </c>
      <c r="G24" s="234">
        <f>'3. L-2 Dollar Certification'!F35</f>
        <v>0</v>
      </c>
      <c r="H24" s="234">
        <f>'3. L-2 Dollar Certification'!G35</f>
        <v>0</v>
      </c>
      <c r="I24" s="234">
        <f>'3. L-2 Dollar Certification'!H35</f>
        <v>0</v>
      </c>
      <c r="J24" s="92" t="str">
        <f>IF($I24&lt;&gt;0,'4. Levy Rate Calculation'!$C$19,"")</f>
        <v/>
      </c>
      <c r="K24" s="92" t="str">
        <f>IF($I24&lt;&gt;0,'4. Levy Rate Calculation'!D45,"")</f>
        <v/>
      </c>
      <c r="L24" s="206" t="str">
        <f>IF($I24&lt;&gt;0,'4. Levy Rate Calculation'!F45,"")</f>
        <v/>
      </c>
      <c r="M24" s="236" t="str">
        <f>IF($I24&lt;&gt;0,'4. Levy Rate Calculation'!G45,"")</f>
        <v/>
      </c>
    </row>
    <row r="25" spans="1:13" x14ac:dyDescent="0.25">
      <c r="A25" s="226" t="str">
        <f>IF('3. L-2 Dollar Certification'!$B36&lt;&gt;"",
    LEFT('1. Dashboard'!$B$8,4),
    "")</f>
        <v/>
      </c>
      <c r="B25" s="226" t="str">
        <f>IF('3. L-2 Dollar Certification'!$B36&lt;&gt;"",
    DistrictName,
    "")</f>
        <v/>
      </c>
      <c r="C25" s="226" t="str">
        <f>IF('3. L-2 Dollar Certification'!$B36&lt;&gt;"",
    RIGHT(Review_Extract_Data!$C$2,
          LEN(Review_Extract_Data!$C$2)-SEARCH("-",Review_Extract_Data!$C$2)),
    "")</f>
        <v/>
      </c>
      <c r="D25" t="str">
        <f>IF('3. L-2 Dollar Certification'!$B36&lt;&gt;"",
    '3. L-2 Dollar Certification'!B36,
    "")</f>
        <v/>
      </c>
      <c r="E25" s="234">
        <f>'3. L-2 Dollar Certification'!D36</f>
        <v>0</v>
      </c>
      <c r="F25" s="234">
        <f>'3. L-2 Dollar Certification'!E36</f>
        <v>0</v>
      </c>
      <c r="G25" s="234">
        <f>'3. L-2 Dollar Certification'!F36</f>
        <v>0</v>
      </c>
      <c r="H25" s="234">
        <f>'3. L-2 Dollar Certification'!G36</f>
        <v>0</v>
      </c>
      <c r="I25" s="234">
        <f>'3. L-2 Dollar Certification'!H36</f>
        <v>0</v>
      </c>
      <c r="J25" s="92" t="str">
        <f>IF($I25&lt;&gt;0,'4. Levy Rate Calculation'!$C$19,"")</f>
        <v/>
      </c>
      <c r="K25" s="92" t="str">
        <f>IF($I25&lt;&gt;0,'4. Levy Rate Calculation'!D46,"")</f>
        <v/>
      </c>
      <c r="L25" s="206" t="str">
        <f>IF($I25&lt;&gt;0,'4. Levy Rate Calculation'!F46,"")</f>
        <v/>
      </c>
      <c r="M25" s="236" t="str">
        <f>IF($I25&lt;&gt;0,'4. Levy Rate Calculation'!G46,"")</f>
        <v/>
      </c>
    </row>
    <row r="26" spans="1:13" x14ac:dyDescent="0.25">
      <c r="A26" s="226" t="str">
        <f>IF('3. L-2 Dollar Certification'!$B37&lt;&gt;"",
    LEFT('1. Dashboard'!$B$8,4),
    "")</f>
        <v/>
      </c>
      <c r="B26" s="226" t="str">
        <f>IF('3. L-2 Dollar Certification'!$B37&lt;&gt;"",
    DistrictName,
    "")</f>
        <v/>
      </c>
      <c r="C26" s="226" t="str">
        <f>IF('3. L-2 Dollar Certification'!$B37&lt;&gt;"",
    RIGHT(Review_Extract_Data!$C$2,
          LEN(Review_Extract_Data!$C$2)-SEARCH("-",Review_Extract_Data!$C$2)),
    "")</f>
        <v/>
      </c>
      <c r="D26" t="str">
        <f>IF('3. L-2 Dollar Certification'!$B37&lt;&gt;"",
    '3. L-2 Dollar Certification'!B37,
    "")</f>
        <v/>
      </c>
      <c r="E26" s="234">
        <f>'3. L-2 Dollar Certification'!D37</f>
        <v>0</v>
      </c>
      <c r="F26" s="234">
        <f>'3. L-2 Dollar Certification'!E37</f>
        <v>0</v>
      </c>
      <c r="G26" s="234">
        <f>'3. L-2 Dollar Certification'!F37</f>
        <v>0</v>
      </c>
      <c r="H26" s="234">
        <f>'3. L-2 Dollar Certification'!G37</f>
        <v>0</v>
      </c>
      <c r="I26" s="234">
        <f>'3. L-2 Dollar Certification'!H37</f>
        <v>0</v>
      </c>
      <c r="J26" s="92" t="str">
        <f>IF($I26&lt;&gt;0,'4. Levy Rate Calculation'!$C$19,"")</f>
        <v/>
      </c>
      <c r="K26" s="92" t="str">
        <f>IF($I26&lt;&gt;0,'4. Levy Rate Calculation'!D47,"")</f>
        <v/>
      </c>
      <c r="L26" s="206" t="str">
        <f>IF($I26&lt;&gt;0,'4. Levy Rate Calculation'!F47,"")</f>
        <v/>
      </c>
      <c r="M26" s="236" t="str">
        <f>IF($I26&lt;&gt;0,'4. Levy Rate Calculation'!G47,"")</f>
        <v/>
      </c>
    </row>
    <row r="27" spans="1:13" x14ac:dyDescent="0.25">
      <c r="A27" s="226" t="str">
        <f>IF('3. L-2 Dollar Certification'!$B38&lt;&gt;"",
    LEFT('1. Dashboard'!$B$8,4),
    "")</f>
        <v/>
      </c>
      <c r="B27" s="226" t="str">
        <f>IF('3. L-2 Dollar Certification'!$B38&lt;&gt;"",
    DistrictName,
    "")</f>
        <v/>
      </c>
      <c r="C27" s="226" t="str">
        <f>IF('3. L-2 Dollar Certification'!$B38&lt;&gt;"",
    RIGHT(Review_Extract_Data!$C$2,
          LEN(Review_Extract_Data!$C$2)-SEARCH("-",Review_Extract_Data!$C$2)),
    "")</f>
        <v/>
      </c>
      <c r="D27" t="str">
        <f>IF('3. L-2 Dollar Certification'!$B38&lt;&gt;"",
    '3. L-2 Dollar Certification'!B38,
    "")</f>
        <v/>
      </c>
      <c r="E27" s="234">
        <f>'3. L-2 Dollar Certification'!D38</f>
        <v>0</v>
      </c>
      <c r="F27" s="234">
        <f>'3. L-2 Dollar Certification'!E38</f>
        <v>0</v>
      </c>
      <c r="G27" s="234">
        <f>'3. L-2 Dollar Certification'!F38</f>
        <v>0</v>
      </c>
      <c r="H27" s="234">
        <f>'3. L-2 Dollar Certification'!G38</f>
        <v>0</v>
      </c>
      <c r="I27" s="234">
        <f>'3. L-2 Dollar Certification'!H38</f>
        <v>0</v>
      </c>
      <c r="J27" s="92" t="str">
        <f>IF($I27&lt;&gt;0,'4. Levy Rate Calculation'!$C$19,"")</f>
        <v/>
      </c>
      <c r="K27" s="92" t="str">
        <f>IF($I27&lt;&gt;0,'4. Levy Rate Calculation'!D48,"")</f>
        <v/>
      </c>
      <c r="L27" s="206" t="str">
        <f>IF($I27&lt;&gt;0,'4. Levy Rate Calculation'!F48,"")</f>
        <v/>
      </c>
      <c r="M27" s="236" t="str">
        <f>IF($I27&lt;&gt;0,'4. Levy Rate Calculation'!G48,"")</f>
        <v/>
      </c>
    </row>
    <row r="28" spans="1:13" x14ac:dyDescent="0.25">
      <c r="A28" s="226" t="str">
        <f>IF('3. L-2 Dollar Certification'!$B39&lt;&gt;"",
    LEFT('1. Dashboard'!$B$8,4),
    "")</f>
        <v/>
      </c>
      <c r="B28" s="226" t="str">
        <f>IF('3. L-2 Dollar Certification'!$B39&lt;&gt;"",
    DistrictName,
    "")</f>
        <v/>
      </c>
      <c r="C28" s="226" t="str">
        <f>IF('3. L-2 Dollar Certification'!$B39&lt;&gt;"",
    RIGHT(Review_Extract_Data!$C$2,
          LEN(Review_Extract_Data!$C$2)-SEARCH("-",Review_Extract_Data!$C$2)),
    "")</f>
        <v/>
      </c>
      <c r="D28" t="str">
        <f>IF('3. L-2 Dollar Certification'!$B39&lt;&gt;"",
    '3. L-2 Dollar Certification'!B39,
    "")</f>
        <v/>
      </c>
      <c r="E28" s="234">
        <f>'3. L-2 Dollar Certification'!D39</f>
        <v>0</v>
      </c>
      <c r="F28" s="234">
        <f>'3. L-2 Dollar Certification'!E39</f>
        <v>0</v>
      </c>
      <c r="G28" s="234">
        <f>'3. L-2 Dollar Certification'!F39</f>
        <v>0</v>
      </c>
      <c r="H28" s="234">
        <f>'3. L-2 Dollar Certification'!G39</f>
        <v>0</v>
      </c>
      <c r="I28" s="234">
        <f>'3. L-2 Dollar Certification'!H39</f>
        <v>0</v>
      </c>
      <c r="J28" s="92" t="str">
        <f>IF($I28&lt;&gt;0,'4. Levy Rate Calculation'!$C$19,"")</f>
        <v/>
      </c>
      <c r="K28" s="92" t="str">
        <f>IF($I28&lt;&gt;0,'4. Levy Rate Calculation'!D49,"")</f>
        <v/>
      </c>
      <c r="L28" s="206" t="str">
        <f>IF($I28&lt;&gt;0,'4. Levy Rate Calculation'!F49,"")</f>
        <v/>
      </c>
      <c r="M28" s="236" t="str">
        <f>IF($I28&lt;&gt;0,'4. Levy Rate Calculation'!G49,"")</f>
        <v/>
      </c>
    </row>
    <row r="29" spans="1:13" x14ac:dyDescent="0.25">
      <c r="A29" s="232" t="str">
        <f>IF('3. L-2 Dollar Certification'!$B34&lt;&gt;"",
    LEFT('1. Dashboard'!$B$8,4),
    "")</f>
        <v/>
      </c>
      <c r="B29" s="233"/>
      <c r="C29" s="233"/>
      <c r="D29" s="233"/>
      <c r="E29" s="233"/>
      <c r="F29" s="233"/>
      <c r="G29" s="233"/>
      <c r="H29" s="233"/>
      <c r="I29" s="233"/>
      <c r="J29" s="233"/>
      <c r="K29" s="233"/>
      <c r="L29" s="233"/>
      <c r="M29" s="238"/>
    </row>
  </sheetData>
  <sheetProtection algorithmName="SHA-512" hashValue="+kkDs0bDJQwLcFj2Cg7rzJnJjrn5LmC9DZrnXwqHu1m5o8PHK5kpgWkqro2I6EkBktq9IbYzxeF3wj4e9ii9gA==" saltValue="kb9RvPAeUuhTnR3lMwnP3w=="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3 V 7 G 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3 V 7 G 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1 e x l o o i k e 4 D g A A A B E A A A A T A B w A R m 9 y b X V s Y X M v U 2 V j d G l v b j E u b S C i G A A o o B Q A A A A A A A A A A A A A A A A A A A A A A A A A A A A r T k 0 u y c z P U w i G 0 I b W A F B L A Q I t A B Q A A g A I A N 1 e x l r u L 5 y p p A A A A P Y A A A A S A A A A A A A A A A A A A A A A A A A A A A B D b 2 5 m a W c v U G F j a 2 F n Z S 5 4 b W x Q S w E C L Q A U A A I A C A D d X s Z a D 8 r p q 6 Q A A A D p A A A A E w A A A A A A A A A A A A A A A A D w A A A A W 0 N v b n R l b n R f V H l w Z X N d L n h t b F B L A Q I t A B Q A A g A I A N 1 e x 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e f 5 E f N I f d R J A M X k n + c D Z V A A A A A A I A A A A A A A N m A A D A A A A A E A A A A O 5 n v E e b L L y b Z g X k Y t 8 t F + k A A A A A B I A A A K A A A A A Q A A A A n y b 4 7 Q c e c s 1 + Y F T 9 j 8 3 l N l A A A A A q 9 A 9 C 6 2 C G i Y 7 L / + H O e z o j + h a T 5 c z T M I 2 + H X I 1 z 0 a j 5 H c E 6 d P 9 d C a y 3 r i V V l o p 2 i G 2 9 e J w t 1 m 2 4 T + W m I z M T l R Y w f r g W 2 0 Y N o U j 9 d z 7 R G F X w h Q A A A C 0 C Y v 1 G 7 Z A k v 3 l H M L + 9 A v l 3 T T q 8 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03E2EA373DFBD498FB42C39A405DE83" ma:contentTypeVersion="10" ma:contentTypeDescription="Create a new document." ma:contentTypeScope="" ma:versionID="03d0dfa26eedd4aef57194e9c5f2645d">
  <xsd:schema xmlns:xsd="http://www.w3.org/2001/XMLSchema" xmlns:xs="http://www.w3.org/2001/XMLSchema" xmlns:p="http://schemas.microsoft.com/office/2006/metadata/properties" xmlns:ns3="26719e3b-3542-432b-a32e-972ad665fc82" xmlns:ns4="56ffe2c2-d06f-4c70-aafd-f032b72c4846" targetNamespace="http://schemas.microsoft.com/office/2006/metadata/properties" ma:root="true" ma:fieldsID="7e5022328c539b0fdb0a8b156f0435e8" ns3:_="" ns4:_="">
    <xsd:import namespace="26719e3b-3542-432b-a32e-972ad665fc82"/>
    <xsd:import namespace="56ffe2c2-d06f-4c70-aafd-f032b72c484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19e3b-3542-432b-a32e-972ad665fc8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ffe2c2-d06f-4c70-aafd-f032b72c48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350921-0382-4792-91BE-5113F89AB909}">
  <ds:schemaRefs>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56ffe2c2-d06f-4c70-aafd-f032b72c4846"/>
    <ds:schemaRef ds:uri="26719e3b-3542-432b-a32e-972ad665fc82"/>
    <ds:schemaRef ds:uri="http://www.w3.org/XML/1998/namespace"/>
  </ds:schemaRefs>
</ds:datastoreItem>
</file>

<file path=customXml/itemProps2.xml><?xml version="1.0" encoding="utf-8"?>
<ds:datastoreItem xmlns:ds="http://schemas.openxmlformats.org/officeDocument/2006/customXml" ds:itemID="{425C01C7-4944-482A-A604-FB2AABFE76B4}">
  <ds:schemaRefs>
    <ds:schemaRef ds:uri="http://schemas.microsoft.com/sharepoint/v3/contenttype/forms"/>
  </ds:schemaRefs>
</ds:datastoreItem>
</file>

<file path=customXml/itemProps3.xml><?xml version="1.0" encoding="utf-8"?>
<ds:datastoreItem xmlns:ds="http://schemas.openxmlformats.org/officeDocument/2006/customXml" ds:itemID="{2116BD40-A8AB-4FFC-B314-EC33E697B421}">
  <ds:schemaRefs>
    <ds:schemaRef ds:uri="http://schemas.microsoft.com/DataMashup"/>
  </ds:schemaRefs>
</ds:datastoreItem>
</file>

<file path=customXml/itemProps4.xml><?xml version="1.0" encoding="utf-8"?>
<ds:datastoreItem xmlns:ds="http://schemas.openxmlformats.org/officeDocument/2006/customXml" ds:itemID="{F65A20B7-034C-47BD-B3EC-ADE7E84D2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719e3b-3542-432b-a32e-972ad665fc82"/>
    <ds:schemaRef ds:uri="56ffe2c2-d06f-4c70-aafd-f032b72c4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432</vt:i4>
      </vt:variant>
    </vt:vector>
  </HeadingPairs>
  <TitlesOfParts>
    <vt:vector size="443" baseType="lpstr">
      <vt:lpstr>Review_Extract_Data</vt:lpstr>
      <vt:lpstr>DataDump</vt:lpstr>
      <vt:lpstr>DistrictList</vt:lpstr>
      <vt:lpstr>ExtraInfo</vt:lpstr>
      <vt:lpstr>Instructions</vt:lpstr>
      <vt:lpstr>1. Dashboard</vt:lpstr>
      <vt:lpstr>2. L-2 Worksheet</vt:lpstr>
      <vt:lpstr>3. L-2 Dollar Certification</vt:lpstr>
      <vt:lpstr>FundLevelDataExtract</vt:lpstr>
      <vt:lpstr>4. Levy Rate Calculation</vt:lpstr>
      <vt:lpstr>5. Voter Tracker</vt:lpstr>
      <vt:lpstr>AdaAmbulance</vt:lpstr>
      <vt:lpstr>AdaCemetery</vt:lpstr>
      <vt:lpstr>AdaCity</vt:lpstr>
      <vt:lpstr>AdaCommunityInfrastructure</vt:lpstr>
      <vt:lpstr>AdaCounty</vt:lpstr>
      <vt:lpstr>AdaExtermination</vt:lpstr>
      <vt:lpstr>AdaFire</vt:lpstr>
      <vt:lpstr>AdaFloodControl</vt:lpstr>
      <vt:lpstr>AdaHighway</vt:lpstr>
      <vt:lpstr>AdaJuniorCollege</vt:lpstr>
      <vt:lpstr>AdaLibrary</vt:lpstr>
      <vt:lpstr>AdaMosquitoAbatement</vt:lpstr>
      <vt:lpstr>AdamsAmbulance</vt:lpstr>
      <vt:lpstr>AdamsCemetery</vt:lpstr>
      <vt:lpstr>AdamsCity</vt:lpstr>
      <vt:lpstr>AdamsCounty</vt:lpstr>
      <vt:lpstr>AdamsFire</vt:lpstr>
      <vt:lpstr>AdamsFloodControl</vt:lpstr>
      <vt:lpstr>AdamsLibrary</vt:lpstr>
      <vt:lpstr>AdamsSchool</vt:lpstr>
      <vt:lpstr>AdaRecreation</vt:lpstr>
      <vt:lpstr>AdaSchool</vt:lpstr>
      <vt:lpstr>AdaSewerandWater</vt:lpstr>
      <vt:lpstr>AmbulanceNoURFunds</vt:lpstr>
      <vt:lpstr>AnnexationBudgetIncreaseCapped</vt:lpstr>
      <vt:lpstr>AnnexationBudgetIncreaseUncapped</vt:lpstr>
      <vt:lpstr>BannockAmbulance</vt:lpstr>
      <vt:lpstr>BannockCemetery</vt:lpstr>
      <vt:lpstr>BannockCity</vt:lpstr>
      <vt:lpstr>BannockFire</vt:lpstr>
      <vt:lpstr>BannockHighway</vt:lpstr>
      <vt:lpstr>BannockLibrary</vt:lpstr>
      <vt:lpstr>BannockMosquitoAbatement</vt:lpstr>
      <vt:lpstr>BannockSchool</vt:lpstr>
      <vt:lpstr>BearLakeCemetery</vt:lpstr>
      <vt:lpstr>BearLakeCity</vt:lpstr>
      <vt:lpstr>BearLakeCountyandCountywideRoadandBridge</vt:lpstr>
      <vt:lpstr>BearLakeFire</vt:lpstr>
      <vt:lpstr>BearLakeLibrary</vt:lpstr>
      <vt:lpstr>BearLakeMosquitoAbatement</vt:lpstr>
      <vt:lpstr>BearLakeRecreation</vt:lpstr>
      <vt:lpstr>BearLakeSchool</vt:lpstr>
      <vt:lpstr>BearLakeSewerinclRecSewer</vt:lpstr>
      <vt:lpstr>BenewahCity</vt:lpstr>
      <vt:lpstr>BenewahFire</vt:lpstr>
      <vt:lpstr>BenewahHighway</vt:lpstr>
      <vt:lpstr>BenewahLibrary</vt:lpstr>
      <vt:lpstr>BenewahSchool</vt:lpstr>
      <vt:lpstr>BenewahSewerandWater</vt:lpstr>
      <vt:lpstr>BinghamAmbulance</vt:lpstr>
      <vt:lpstr>BinghamCemetery</vt:lpstr>
      <vt:lpstr>BinghamCity</vt:lpstr>
      <vt:lpstr>BinghamCountyandCountywideRoadandBridge</vt:lpstr>
      <vt:lpstr>BinghamFire</vt:lpstr>
      <vt:lpstr>BinghamFloodControl</vt:lpstr>
      <vt:lpstr>BinghamLibrary</vt:lpstr>
      <vt:lpstr>BinghamMosquitoAbatement</vt:lpstr>
      <vt:lpstr>BinghamRecreation</vt:lpstr>
      <vt:lpstr>BinghamSchool</vt:lpstr>
      <vt:lpstr>BinghamSewerandWater</vt:lpstr>
      <vt:lpstr>BlaineAmbulance</vt:lpstr>
      <vt:lpstr>BlaineCemetery</vt:lpstr>
      <vt:lpstr>BlaineCity</vt:lpstr>
      <vt:lpstr>BlaineCountyandCountywideRoadandBridge</vt:lpstr>
      <vt:lpstr>BlaineFire</vt:lpstr>
      <vt:lpstr>BlaineFloodControl</vt:lpstr>
      <vt:lpstr>BlaineLibrary</vt:lpstr>
      <vt:lpstr>BlaineRecreation</vt:lpstr>
      <vt:lpstr>BlaineSchool</vt:lpstr>
      <vt:lpstr>BlaineSewerandWater</vt:lpstr>
      <vt:lpstr>BoiseAmbulance</vt:lpstr>
      <vt:lpstr>BoiseCemetery</vt:lpstr>
      <vt:lpstr>BoiseCity</vt:lpstr>
      <vt:lpstr>BoiseCommunityInfrastructure</vt:lpstr>
      <vt:lpstr>BoiseCountyandCountywideRoadandBridge</vt:lpstr>
      <vt:lpstr>BoiseFire</vt:lpstr>
      <vt:lpstr>BoiseHospital</vt:lpstr>
      <vt:lpstr>BoiseLibrary</vt:lpstr>
      <vt:lpstr>BoiseSchool</vt:lpstr>
      <vt:lpstr>BonnerAmbulance</vt:lpstr>
      <vt:lpstr>BonnerCemetery</vt:lpstr>
      <vt:lpstr>BonnerCity</vt:lpstr>
      <vt:lpstr>BonnerFire</vt:lpstr>
      <vt:lpstr>BonnerHighway</vt:lpstr>
      <vt:lpstr>BonnerHospital</vt:lpstr>
      <vt:lpstr>BonnerLibrary</vt:lpstr>
      <vt:lpstr>BonnerRecreation</vt:lpstr>
      <vt:lpstr>BonnerSchool</vt:lpstr>
      <vt:lpstr>BonnerSewerandWater</vt:lpstr>
      <vt:lpstr>BonnevilleAmbulance</vt:lpstr>
      <vt:lpstr>BonnevilleCemetery</vt:lpstr>
      <vt:lpstr>BonnevilleCity</vt:lpstr>
      <vt:lpstr>BonnevilleCountyandCountywideRoadandBridge</vt:lpstr>
      <vt:lpstr>BonnevilleFire</vt:lpstr>
      <vt:lpstr>BonnevilleFloodControl</vt:lpstr>
      <vt:lpstr>BonnevilleJuniorCollege</vt:lpstr>
      <vt:lpstr>BonnevilleMosquitoAbatement</vt:lpstr>
      <vt:lpstr>BonnevilleSchool</vt:lpstr>
      <vt:lpstr>BoundaryAmbulance</vt:lpstr>
      <vt:lpstr>BoundaryCity</vt:lpstr>
      <vt:lpstr>BoundaryCountyandCountywideRoadandBridge</vt:lpstr>
      <vt:lpstr>BoundaryFire</vt:lpstr>
      <vt:lpstr>BoundaryLibrary</vt:lpstr>
      <vt:lpstr>BoundarySchool</vt:lpstr>
      <vt:lpstr>ButteCemetery</vt:lpstr>
      <vt:lpstr>ButteCity</vt:lpstr>
      <vt:lpstr>ButteCounty</vt:lpstr>
      <vt:lpstr>ButteFire</vt:lpstr>
      <vt:lpstr>ButteHospital</vt:lpstr>
      <vt:lpstr>ButteLibrary</vt:lpstr>
      <vt:lpstr>ButteSchool</vt:lpstr>
      <vt:lpstr>ButteWatershed</vt:lpstr>
      <vt:lpstr>CamasCemetery</vt:lpstr>
      <vt:lpstr>CamasCity</vt:lpstr>
      <vt:lpstr>CamasCounty</vt:lpstr>
      <vt:lpstr>CamasFire</vt:lpstr>
      <vt:lpstr>CamasLibrary</vt:lpstr>
      <vt:lpstr>CamasMosquitoAbatement</vt:lpstr>
      <vt:lpstr>CamasSchool</vt:lpstr>
      <vt:lpstr>CanyonAmbulance</vt:lpstr>
      <vt:lpstr>CanyonCemetery</vt:lpstr>
      <vt:lpstr>CanyonCity</vt:lpstr>
      <vt:lpstr>CanyonCounty</vt:lpstr>
      <vt:lpstr>CanyonExtermination</vt:lpstr>
      <vt:lpstr>CanyonFire</vt:lpstr>
      <vt:lpstr>CanyonFloodControl</vt:lpstr>
      <vt:lpstr>CanyonHighway</vt:lpstr>
      <vt:lpstr>CanyonJuniorCollege</vt:lpstr>
      <vt:lpstr>CanyonLibrary</vt:lpstr>
      <vt:lpstr>CanyonMosquitoAbatement</vt:lpstr>
      <vt:lpstr>CanyonRecreation</vt:lpstr>
      <vt:lpstr>CanyonSchool</vt:lpstr>
      <vt:lpstr>CanyonSewerandWater</vt:lpstr>
      <vt:lpstr>CaribouCemetery</vt:lpstr>
      <vt:lpstr>CaribouCity</vt:lpstr>
      <vt:lpstr>CaribouCountyandCountywideRoadandBridge</vt:lpstr>
      <vt:lpstr>CaribouFire</vt:lpstr>
      <vt:lpstr>CaribouLibrary</vt:lpstr>
      <vt:lpstr>CaribouSchool</vt:lpstr>
      <vt:lpstr>CassiaCemetery</vt:lpstr>
      <vt:lpstr>CassiaCity</vt:lpstr>
      <vt:lpstr>CassiaFire</vt:lpstr>
      <vt:lpstr>CassiaFloodControl</vt:lpstr>
      <vt:lpstr>CassiaHighway</vt:lpstr>
      <vt:lpstr>CassiaLibrary</vt:lpstr>
      <vt:lpstr>CassiaRecreation</vt:lpstr>
      <vt:lpstr>CassiaSchool</vt:lpstr>
      <vt:lpstr>Category</vt:lpstr>
      <vt:lpstr>ClarkCemetery</vt:lpstr>
      <vt:lpstr>ClarkCity</vt:lpstr>
      <vt:lpstr>ClarkCounty</vt:lpstr>
      <vt:lpstr>ClarkLibrary</vt:lpstr>
      <vt:lpstr>ClarkSchool</vt:lpstr>
      <vt:lpstr>ClearwaterAmbulance</vt:lpstr>
      <vt:lpstr>ClearwaterAuditorium</vt:lpstr>
      <vt:lpstr>ClearwaterCemetery</vt:lpstr>
      <vt:lpstr>ClearwaterCity</vt:lpstr>
      <vt:lpstr>ClearwaterCounty</vt:lpstr>
      <vt:lpstr>ClearwaterFire</vt:lpstr>
      <vt:lpstr>ClearwaterHighway</vt:lpstr>
      <vt:lpstr>ClearwaterLibrary</vt:lpstr>
      <vt:lpstr>ClearwaterRecreation</vt:lpstr>
      <vt:lpstr>ClearwaterSchool</vt:lpstr>
      <vt:lpstr>ClearwaterSewerandWater</vt:lpstr>
      <vt:lpstr>COUNTY1</vt:lpstr>
      <vt:lpstr>COUNTY2</vt:lpstr>
      <vt:lpstr>COUNTY3</vt:lpstr>
      <vt:lpstr>COUNTY4</vt:lpstr>
      <vt:lpstr>CountyList</vt:lpstr>
      <vt:lpstr>CusterAmbulance</vt:lpstr>
      <vt:lpstr>CusterCemetery</vt:lpstr>
      <vt:lpstr>CusterCity</vt:lpstr>
      <vt:lpstr>CusterCounty</vt:lpstr>
      <vt:lpstr>CusterFire</vt:lpstr>
      <vt:lpstr>CusterHighway</vt:lpstr>
      <vt:lpstr>CusterHospital</vt:lpstr>
      <vt:lpstr>CusterLibrary</vt:lpstr>
      <vt:lpstr>CusterMosquitoAbatement</vt:lpstr>
      <vt:lpstr>CusterSchool</vt:lpstr>
      <vt:lpstr>DistrictName</vt:lpstr>
      <vt:lpstr>DistrictType</vt:lpstr>
      <vt:lpstr>ElmoreAmbulance</vt:lpstr>
      <vt:lpstr>ElmoreCity</vt:lpstr>
      <vt:lpstr>ElmoreCounty</vt:lpstr>
      <vt:lpstr>ElmoreFire</vt:lpstr>
      <vt:lpstr>ElmoreHighway</vt:lpstr>
      <vt:lpstr>ElmoreHospital</vt:lpstr>
      <vt:lpstr>ElmoreLibrary</vt:lpstr>
      <vt:lpstr>ElmoreMosquitoAbatement</vt:lpstr>
      <vt:lpstr>ElmoreRecreation</vt:lpstr>
      <vt:lpstr>ElmoreSchool</vt:lpstr>
      <vt:lpstr>FranklinCemetery</vt:lpstr>
      <vt:lpstr>FranklinCity</vt:lpstr>
      <vt:lpstr>FranklinFire</vt:lpstr>
      <vt:lpstr>FranklinHighway</vt:lpstr>
      <vt:lpstr>FranklinLibrary</vt:lpstr>
      <vt:lpstr>FranklinMosquitoAbatement</vt:lpstr>
      <vt:lpstr>FranklinSchool</vt:lpstr>
      <vt:lpstr>FremontAmbulance</vt:lpstr>
      <vt:lpstr>FremontCemetery</vt:lpstr>
      <vt:lpstr>FremontCity</vt:lpstr>
      <vt:lpstr>FremontCountyandCountywideRoadandBridge</vt:lpstr>
      <vt:lpstr>FremontFire</vt:lpstr>
      <vt:lpstr>FremontHospital</vt:lpstr>
      <vt:lpstr>FremontLibrary</vt:lpstr>
      <vt:lpstr>FremontMosquitoAbatement</vt:lpstr>
      <vt:lpstr>FremontSchool</vt:lpstr>
      <vt:lpstr>GemCemetery</vt:lpstr>
      <vt:lpstr>GemCity</vt:lpstr>
      <vt:lpstr>GemCommunityInfrastructure</vt:lpstr>
      <vt:lpstr>GemCountyandCountywideRoadandBridge</vt:lpstr>
      <vt:lpstr>GemFire</vt:lpstr>
      <vt:lpstr>GemLibrary</vt:lpstr>
      <vt:lpstr>GemMosquitoAbatement</vt:lpstr>
      <vt:lpstr>GemSchool</vt:lpstr>
      <vt:lpstr>GoodingAmbulance</vt:lpstr>
      <vt:lpstr>GoodingCemetery</vt:lpstr>
      <vt:lpstr>GoodingCity</vt:lpstr>
      <vt:lpstr>GoodingCounty</vt:lpstr>
      <vt:lpstr>GoodingFire</vt:lpstr>
      <vt:lpstr>GoodingHighway</vt:lpstr>
      <vt:lpstr>GoodingLibrary</vt:lpstr>
      <vt:lpstr>GoodingRecreation</vt:lpstr>
      <vt:lpstr>GoodingSchool</vt:lpstr>
      <vt:lpstr>HighestofLast3yrs</vt:lpstr>
      <vt:lpstr>IdahoAmbulance</vt:lpstr>
      <vt:lpstr>IdahoCemetery</vt:lpstr>
      <vt:lpstr>IdahoCity</vt:lpstr>
      <vt:lpstr>IdahoFire</vt:lpstr>
      <vt:lpstr>IdahoFloodControl</vt:lpstr>
      <vt:lpstr>IdahoHighway</vt:lpstr>
      <vt:lpstr>IdahoHospital</vt:lpstr>
      <vt:lpstr>IdahoLibrary</vt:lpstr>
      <vt:lpstr>IdahoRecreation</vt:lpstr>
      <vt:lpstr>IdahoSchool</vt:lpstr>
      <vt:lpstr>JeffersonAmbulance</vt:lpstr>
      <vt:lpstr>JeffersonCemetery</vt:lpstr>
      <vt:lpstr>JeffersonCity</vt:lpstr>
      <vt:lpstr>JeffersonCountyandCountywideRoadandBridge</vt:lpstr>
      <vt:lpstr>JeffersonFire</vt:lpstr>
      <vt:lpstr>JeffersonFloodControl</vt:lpstr>
      <vt:lpstr>JeffersonLibrary</vt:lpstr>
      <vt:lpstr>JeffersonMosquitoAbatement</vt:lpstr>
      <vt:lpstr>JeffersonSchool</vt:lpstr>
      <vt:lpstr>JeromeAmbulance</vt:lpstr>
      <vt:lpstr>JeromeCemetery</vt:lpstr>
      <vt:lpstr>JeromeCity</vt:lpstr>
      <vt:lpstr>JeromeCounty</vt:lpstr>
      <vt:lpstr>JeromeFire</vt:lpstr>
      <vt:lpstr>JeromeHighway</vt:lpstr>
      <vt:lpstr>JeromeJuniorCollege</vt:lpstr>
      <vt:lpstr>JeromeRecreation</vt:lpstr>
      <vt:lpstr>JeromeSchool</vt:lpstr>
      <vt:lpstr>JointCounties</vt:lpstr>
      <vt:lpstr>JointDistricts</vt:lpstr>
      <vt:lpstr>KootenaiAmbulance</vt:lpstr>
      <vt:lpstr>KootenaiCity</vt:lpstr>
      <vt:lpstr>KootenaiCounty</vt:lpstr>
      <vt:lpstr>KootenaiFire</vt:lpstr>
      <vt:lpstr>KootenaiFloodControl</vt:lpstr>
      <vt:lpstr>KootenaiHighway</vt:lpstr>
      <vt:lpstr>KootenaiJuniorCollege</vt:lpstr>
      <vt:lpstr>KootenaiLibrary</vt:lpstr>
      <vt:lpstr>KootenaiSchool</vt:lpstr>
      <vt:lpstr>KootenaiSewerandWater</vt:lpstr>
      <vt:lpstr>KootenaiSewerinclRecSewer</vt:lpstr>
      <vt:lpstr>KootenaiWater</vt:lpstr>
      <vt:lpstr>KootenaiWatershed</vt:lpstr>
      <vt:lpstr>LatahCemetery</vt:lpstr>
      <vt:lpstr>LatahCity</vt:lpstr>
      <vt:lpstr>LatahCounty</vt:lpstr>
      <vt:lpstr>LatahFire</vt:lpstr>
      <vt:lpstr>LatahHighway</vt:lpstr>
      <vt:lpstr>LatahLibrary</vt:lpstr>
      <vt:lpstr>LatahRecreation</vt:lpstr>
      <vt:lpstr>LatahSchool</vt:lpstr>
      <vt:lpstr>LemhiCity</vt:lpstr>
      <vt:lpstr>LemhiCounty</vt:lpstr>
      <vt:lpstr>LemhiFire</vt:lpstr>
      <vt:lpstr>LemhiLibrary</vt:lpstr>
      <vt:lpstr>LemhiSchool</vt:lpstr>
      <vt:lpstr>LemhiSewerandWater</vt:lpstr>
      <vt:lpstr>LemhiSewerinclRecSewer</vt:lpstr>
      <vt:lpstr>LemhiWater</vt:lpstr>
      <vt:lpstr>LewisAuditorium</vt:lpstr>
      <vt:lpstr>LewisCemetery</vt:lpstr>
      <vt:lpstr>LewisCity</vt:lpstr>
      <vt:lpstr>LewisCounty</vt:lpstr>
      <vt:lpstr>LewisFire</vt:lpstr>
      <vt:lpstr>LewisHighway</vt:lpstr>
      <vt:lpstr>LewisLibrary</vt:lpstr>
      <vt:lpstr>LewisSchool</vt:lpstr>
      <vt:lpstr>LincolnAmbulance</vt:lpstr>
      <vt:lpstr>LincolnCemetery</vt:lpstr>
      <vt:lpstr>LincolnCity</vt:lpstr>
      <vt:lpstr>LincolnCounty</vt:lpstr>
      <vt:lpstr>LincolnFire</vt:lpstr>
      <vt:lpstr>LincolnHighway</vt:lpstr>
      <vt:lpstr>LincolnLibrary</vt:lpstr>
      <vt:lpstr>LincolnRecreation</vt:lpstr>
      <vt:lpstr>LincolnSchool</vt:lpstr>
      <vt:lpstr>MadisonAmbulance</vt:lpstr>
      <vt:lpstr>MadisonCemetery</vt:lpstr>
      <vt:lpstr>MadisonCity</vt:lpstr>
      <vt:lpstr>MadisonCountyandCountywideRoadandBridge</vt:lpstr>
      <vt:lpstr>MadisonFire</vt:lpstr>
      <vt:lpstr>MadisonFloodControl</vt:lpstr>
      <vt:lpstr>MadisonLibrary</vt:lpstr>
      <vt:lpstr>MadisonMosquitoAbatement</vt:lpstr>
      <vt:lpstr>MadisonSchool</vt:lpstr>
      <vt:lpstr>MaxNonExemptLevy</vt:lpstr>
      <vt:lpstr>MaxPercentCap</vt:lpstr>
      <vt:lpstr>MinidokaCemetery</vt:lpstr>
      <vt:lpstr>MinidokaCity</vt:lpstr>
      <vt:lpstr>MinidokaCounty</vt:lpstr>
      <vt:lpstr>MinidokaFire</vt:lpstr>
      <vt:lpstr>MinidokaHighway</vt:lpstr>
      <vt:lpstr>MinidokaSchool</vt:lpstr>
      <vt:lpstr>NewConstructionBudgetIncrease</vt:lpstr>
      <vt:lpstr>NezPerceAuditorium</vt:lpstr>
      <vt:lpstr>NezPerceCemetery</vt:lpstr>
      <vt:lpstr>NezPerceCity</vt:lpstr>
      <vt:lpstr>NezPerceFire</vt:lpstr>
      <vt:lpstr>NezPerceHighway</vt:lpstr>
      <vt:lpstr>NezPerceLibrary</vt:lpstr>
      <vt:lpstr>NezPercePort</vt:lpstr>
      <vt:lpstr>NezPerceRecreation</vt:lpstr>
      <vt:lpstr>NezPerceSchool</vt:lpstr>
      <vt:lpstr>NezPerceSewerinclRecSewer</vt:lpstr>
      <vt:lpstr>NonExemptLevy</vt:lpstr>
      <vt:lpstr>OneidaCemetery</vt:lpstr>
      <vt:lpstr>OneidaCity</vt:lpstr>
      <vt:lpstr>OneidaCounty</vt:lpstr>
      <vt:lpstr>OneidaFire</vt:lpstr>
      <vt:lpstr>OneidaLibrary</vt:lpstr>
      <vt:lpstr>OneidaRecreation</vt:lpstr>
      <vt:lpstr>OneidaSchool</vt:lpstr>
      <vt:lpstr>OwyheeAmbulance</vt:lpstr>
      <vt:lpstr>OwyheeCemetery</vt:lpstr>
      <vt:lpstr>OwyheeCity</vt:lpstr>
      <vt:lpstr>OwyheeFire</vt:lpstr>
      <vt:lpstr>OwyheeHighway</vt:lpstr>
      <vt:lpstr>OwyheeLibrary</vt:lpstr>
      <vt:lpstr>OwyheeSchool</vt:lpstr>
      <vt:lpstr>PayetteAmbulance</vt:lpstr>
      <vt:lpstr>PayetteCemetery</vt:lpstr>
      <vt:lpstr>PayetteCity</vt:lpstr>
      <vt:lpstr>PayetteExtermination</vt:lpstr>
      <vt:lpstr>PayetteFire</vt:lpstr>
      <vt:lpstr>PayetteHighway</vt:lpstr>
      <vt:lpstr>PayetteMosquitoAbatement</vt:lpstr>
      <vt:lpstr>PayetteRecreation</vt:lpstr>
      <vt:lpstr>PayetteSchool</vt:lpstr>
      <vt:lpstr>PowerAmbulance</vt:lpstr>
      <vt:lpstr>PowerCemetery</vt:lpstr>
      <vt:lpstr>PowerCity</vt:lpstr>
      <vt:lpstr>PowerCounty</vt:lpstr>
      <vt:lpstr>PowerFire</vt:lpstr>
      <vt:lpstr>PowerHighway</vt:lpstr>
      <vt:lpstr>PowerHospital</vt:lpstr>
      <vt:lpstr>PowerLibrary</vt:lpstr>
      <vt:lpstr>PowerMosquitoAbatement</vt:lpstr>
      <vt:lpstr>PowerSchool</vt:lpstr>
      <vt:lpstr>'1. Dashboard'!Print_Area</vt:lpstr>
      <vt:lpstr>'2. L-2 Worksheet'!Print_Area</vt:lpstr>
      <vt:lpstr>'3. L-2 Dollar Certification'!Print_Area</vt:lpstr>
      <vt:lpstr>'4. Levy Rate Calculation'!Print_Area</vt:lpstr>
      <vt:lpstr>'5. Voter Tracker'!Print_Area</vt:lpstr>
      <vt:lpstr>Instructions!Print_Area</vt:lpstr>
      <vt:lpstr>'2. L-2 Worksheet'!Print_Titles</vt:lpstr>
      <vt:lpstr>RAAquestion</vt:lpstr>
      <vt:lpstr>Recreation</vt:lpstr>
      <vt:lpstr>ReductionByPercentCap</vt:lpstr>
      <vt:lpstr>SCOstatus</vt:lpstr>
      <vt:lpstr>SelectedBudgetIncrease</vt:lpstr>
      <vt:lpstr>SelectedCounty</vt:lpstr>
      <vt:lpstr>ShoshoneAmbulance</vt:lpstr>
      <vt:lpstr>ShoshoneCity</vt:lpstr>
      <vt:lpstr>ShoshoneFire</vt:lpstr>
      <vt:lpstr>ShoshoneHighway</vt:lpstr>
      <vt:lpstr>ShoshoneHospital</vt:lpstr>
      <vt:lpstr>ShoshoneLibrary</vt:lpstr>
      <vt:lpstr>ShoshoneSchool</vt:lpstr>
      <vt:lpstr>ShoshoneSewerandWater</vt:lpstr>
      <vt:lpstr>ShoshoneSewerinclRecSewer</vt:lpstr>
      <vt:lpstr>ShoshoneWater</vt:lpstr>
      <vt:lpstr>TetonCemetery</vt:lpstr>
      <vt:lpstr>TetonCity</vt:lpstr>
      <vt:lpstr>TetonCountyandCountywideRoadandBridge</vt:lpstr>
      <vt:lpstr>TetonFire</vt:lpstr>
      <vt:lpstr>TetonFloodControl</vt:lpstr>
      <vt:lpstr>TetonLibrary</vt:lpstr>
      <vt:lpstr>TetonMosquitoAbatement</vt:lpstr>
      <vt:lpstr>TetonRecreation</vt:lpstr>
      <vt:lpstr>TetonSchool</vt:lpstr>
      <vt:lpstr>ThreePercentIncrease</vt:lpstr>
      <vt:lpstr>TwinFallsAmbulance</vt:lpstr>
      <vt:lpstr>TwinFallsCemetery</vt:lpstr>
      <vt:lpstr>TwinFallsCity</vt:lpstr>
      <vt:lpstr>TwinFallsCounty</vt:lpstr>
      <vt:lpstr>TwinFallsFire</vt:lpstr>
      <vt:lpstr>TwinFallsHighway</vt:lpstr>
      <vt:lpstr>TwinFallsJuniorCollege</vt:lpstr>
      <vt:lpstr>TwinFallsLibrary</vt:lpstr>
      <vt:lpstr>TwinFallsMosquitoAbatement</vt:lpstr>
      <vt:lpstr>TwinFallsRecreation</vt:lpstr>
      <vt:lpstr>TwinFallsSchool</vt:lpstr>
      <vt:lpstr>URbudgetIncrease</vt:lpstr>
      <vt:lpstr>UserQuestion</vt:lpstr>
      <vt:lpstr>UserType</vt:lpstr>
      <vt:lpstr>ValleyAmbulance</vt:lpstr>
      <vt:lpstr>ValleyCemetery</vt:lpstr>
      <vt:lpstr>ValleyCity</vt:lpstr>
      <vt:lpstr>ValleyCountyandCountywideRoadandBridge</vt:lpstr>
      <vt:lpstr>ValleyFire</vt:lpstr>
      <vt:lpstr>ValleyHospital</vt:lpstr>
      <vt:lpstr>ValleyLibrary</vt:lpstr>
      <vt:lpstr>ValleyMosquitoAbatement</vt:lpstr>
      <vt:lpstr>ValleySchool</vt:lpstr>
      <vt:lpstr>ValleySewerandWater</vt:lpstr>
      <vt:lpstr>ValleyWater</vt:lpstr>
      <vt:lpstr>WashingtonAmbulance</vt:lpstr>
      <vt:lpstr>WashingtonCemetery</vt:lpstr>
      <vt:lpstr>WashingtonCity</vt:lpstr>
      <vt:lpstr>WashingtonExtermination</vt:lpstr>
      <vt:lpstr>WashingtonFire</vt:lpstr>
      <vt:lpstr>WashingtonFloodControl</vt:lpstr>
      <vt:lpstr>WashingtonHighway</vt:lpstr>
      <vt:lpstr>WashingtonHospital</vt:lpstr>
      <vt:lpstr>WashingtonLibrary</vt:lpstr>
      <vt:lpstr>WashingtonSchool</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Allison Dodge</cp:lastModifiedBy>
  <cp:lastPrinted>2026-04-22T22:18:06Z</cp:lastPrinted>
  <dcterms:created xsi:type="dcterms:W3CDTF">2021-03-02T15:46:05Z</dcterms:created>
  <dcterms:modified xsi:type="dcterms:W3CDTF">2026-08-31T23:00:09Z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0x010100A03E2EA373DFBD498FB42C39A405DE83</vt:lpwstr>
  </property>
</Properties>
</file>