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autoCompressPictures="0" defaultThemeVersion="166925"/>
  <mc:AlternateContent xmlns:mc="http://schemas.openxmlformats.org/markup-compatibility/2006">
    <mc:Choice Requires="x15">
      <x15ac:absPath xmlns:x15ac="http://schemas.microsoft.com/office/spreadsheetml/2010/11/ac" url="O:\AllisonD\Website Updates Documents\Policy\"/>
    </mc:Choice>
  </mc:AlternateContent>
  <xr:revisionPtr revIDLastSave="0" documentId="8_{9B08CDF8-29BF-4ABC-A396-8D1DBDCB8472}" xr6:coauthVersionLast="47" xr6:coauthVersionMax="47" xr10:uidLastSave="{00000000-0000-0000-0000-000000000000}"/>
  <bookViews>
    <workbookView xWindow="-120" yWindow="-120" windowWidth="29040" windowHeight="15840" tabRatio="831" firstSheet="3" activeTab="3" xr2:uid="{00000000-000D-0000-FFFF-FFFF00000000}"/>
  </bookViews>
  <sheets>
    <sheet name="Review_Extract_Data" sheetId="17" state="hidden" r:id="rId1"/>
    <sheet name="DataDump" sheetId="13" state="hidden" r:id="rId2"/>
    <sheet name="DistrictList" sheetId="12" state="hidden" r:id="rId3"/>
    <sheet name="Instructions" sheetId="16" r:id="rId4"/>
    <sheet name="1. Dashboard" sheetId="14" r:id="rId5"/>
    <sheet name="Hidden" sheetId="2" state="hidden" r:id="rId6"/>
    <sheet name="2. L-2 Worksheet" sheetId="4" r:id="rId7"/>
    <sheet name="3. L-2 Dollar Certification" sheetId="7" r:id="rId8"/>
    <sheet name="4. Levy Rate Calculation" sheetId="10" r:id="rId9"/>
    <sheet name="5. Voter Tracker" sheetId="9" r:id="rId10"/>
    <sheet name="6. Capital Project" sheetId="5" r:id="rId11"/>
  </sheets>
  <definedNames>
    <definedName name="_xlnm._FilterDatabase" localSheetId="1" hidden="1">DataDump!$C$1:$R$1138</definedName>
    <definedName name="Ada">DistrictList!$C$2:$C$43</definedName>
    <definedName name="Adams">DistrictList!$D$2:$D$22</definedName>
    <definedName name="Bannock">DistrictList!$E$2:$E$33</definedName>
    <definedName name="BearLake">DistrictList!$F$2:$F$27</definedName>
    <definedName name="Benewah">DistrictList!$G$2:$G$17</definedName>
    <definedName name="Bingham">DistrictList!$H$2:$H$37</definedName>
    <definedName name="Blaine">DistrictList!$I$2:$I$26</definedName>
    <definedName name="Boise">DistrictList!$J$2:$J$26</definedName>
    <definedName name="Bonner">DistrictList!$K$2:$K$41</definedName>
    <definedName name="Bonneville">DistrictList!$L$2:$L$35</definedName>
    <definedName name="Boundary">DistrictList!$M$2:$M$10</definedName>
    <definedName name="Butte">DistrictList!$N$2:$N$12</definedName>
    <definedName name="Camas">DistrictList!$O$2:$O$9</definedName>
    <definedName name="Canyon">DistrictList!$P$2:$P$63</definedName>
    <definedName name="Caribou">DistrictList!$Q$2:$Q$23</definedName>
    <definedName name="Cassia">DistrictList!$R$2:$R$36</definedName>
    <definedName name="Category">DistrictList!$A$2:$A$24</definedName>
    <definedName name="Clark">DistrictList!$S$2:$S$8</definedName>
    <definedName name="Clearwater">DistrictList!$T$2:$T$42</definedName>
    <definedName name="CountyList">DistrictList!$B$2:$B$46</definedName>
    <definedName name="Custer">DistrictList!$U$2:$U$23</definedName>
    <definedName name="Elmore">DistrictList!$V$2:$V$23</definedName>
    <definedName name="Franklin">DistrictList!$W$2:$W$29</definedName>
    <definedName name="Fremont">DistrictList!$X$2:$X$27</definedName>
    <definedName name="Gem">DistrictList!$Y$2:$Y$15</definedName>
    <definedName name="Gooding">DistrictList!$Z$2:$Z$29</definedName>
    <definedName name="Idaho">DistrictList!$AA$2:$AA$43</definedName>
    <definedName name="Jefferson">DistrictList!$AB$2:$AB$30</definedName>
    <definedName name="Jerome">DistrictList!$AC$2:$AC$21</definedName>
    <definedName name="JointCounties">DistrictList!$AV$3:$AV$276</definedName>
    <definedName name="JointDistricts">DistrictList!$AU$3:$AU$276</definedName>
    <definedName name="Kootenai">DistrictList!$AD$2:$AD$49</definedName>
    <definedName name="Latah">DistrictList!$AE$2:$AE$41</definedName>
    <definedName name="Lemhi">DistrictList!$AF$2:$AF$16</definedName>
    <definedName name="Lewis">DistrictList!$AG$2:$AG$27</definedName>
    <definedName name="Lincoln">DistrictList!$AH$2:$AH$25</definedName>
    <definedName name="Madison">DistrictList!$AI$2:$AI$22</definedName>
    <definedName name="Minidoka">DistrictList!$AJ$2:$AJ$16</definedName>
    <definedName name="NezPerce">DistrictList!$AK$2:$AK$33</definedName>
    <definedName name="Oneida">DistrictList!$AL$2:$AL$14</definedName>
    <definedName name="Owyhee">DistrictList!$AM$2:$AM$31</definedName>
    <definedName name="Payette">DistrictList!$AN$2:$AN$19</definedName>
    <definedName name="Power">DistrictList!$AO$2:$AO$20</definedName>
    <definedName name="_xlnm.Print_Area" localSheetId="4">'1. Dashboard'!$B$2:$I$68</definedName>
    <definedName name="_xlnm.Print_Area" localSheetId="6">'2. L-2 Worksheet'!$B$2:$F$67</definedName>
    <definedName name="_xlnm.Print_Area" localSheetId="7">'3. L-2 Dollar Certification'!$B$2:$H$59</definedName>
    <definedName name="_xlnm.Print_Area" localSheetId="8">'4. Levy Rate Calculation'!$B$2:$I$51</definedName>
    <definedName name="_xlnm.Print_Area" localSheetId="9">'5. Voter Tracker'!$B$2:$I$45</definedName>
    <definedName name="Shoshone">DistrictList!$AP$2:$AP$29</definedName>
    <definedName name="Teton">DistrictList!$AQ$2:$AQ$16</definedName>
    <definedName name="TwinFalls">DistrictList!$AR$2:$AR$42</definedName>
    <definedName name="UserType">Hidden!$G$4:$G$5</definedName>
    <definedName name="Valley">DistrictList!$AS$2:$AS$23</definedName>
    <definedName name="Washington">DistrictList!$AT$2:$AT$23</definedName>
    <definedName name="YesNo">Hidden!$E$3:$E$5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7" l="1"/>
  <c r="B37" i="14"/>
  <c r="D30" i="4"/>
  <c r="B60" i="14"/>
  <c r="B65" i="14"/>
  <c r="I62" i="14"/>
  <c r="B62" i="14"/>
  <c r="B63" i="14"/>
  <c r="P1070" i="13"/>
  <c r="P1063" i="13"/>
  <c r="P1044" i="13"/>
  <c r="P1043" i="13"/>
  <c r="P814" i="13"/>
  <c r="P489" i="13"/>
  <c r="P259" i="13"/>
  <c r="P101" i="13"/>
  <c r="P598" i="13"/>
  <c r="P597" i="13"/>
  <c r="P509" i="13" l="1"/>
  <c r="P508" i="13"/>
  <c r="Q587" i="13" l="1"/>
  <c r="P587" i="13"/>
  <c r="O587" i="13"/>
  <c r="Q588" i="13"/>
  <c r="O588" i="13"/>
  <c r="Q497" i="13"/>
  <c r="P497" i="13"/>
  <c r="O497" i="13"/>
  <c r="C44" i="7" l="1"/>
  <c r="G39" i="7"/>
  <c r="F41" i="7"/>
  <c r="B31" i="7" l="1"/>
  <c r="B5" i="4" l="1"/>
  <c r="E5" i="7" l="1"/>
  <c r="J41" i="10"/>
  <c r="A966" i="13"/>
  <c r="B60" i="4" l="1"/>
  <c r="B59" i="4"/>
  <c r="B58" i="4"/>
  <c r="B57" i="4"/>
  <c r="B39" i="4"/>
  <c r="D3" i="4"/>
  <c r="P99" i="13" l="1"/>
  <c r="O99" i="13"/>
  <c r="O1061" i="13"/>
  <c r="P1028" i="13"/>
  <c r="O1028" i="13"/>
  <c r="P703" i="13"/>
  <c r="O703" i="13"/>
  <c r="P606" i="13"/>
  <c r="O606" i="13"/>
  <c r="P503" i="13"/>
  <c r="O503" i="13"/>
  <c r="P492" i="13"/>
  <c r="O492" i="13"/>
  <c r="P138" i="13"/>
  <c r="O138" i="13"/>
  <c r="P92" i="13"/>
  <c r="O92" i="13"/>
  <c r="O83" i="13"/>
  <c r="P66" i="13"/>
  <c r="O66" i="13"/>
  <c r="P49" i="13"/>
  <c r="O49" i="13"/>
  <c r="A789" i="13" l="1"/>
  <c r="A545" i="13"/>
  <c r="A940" i="13"/>
  <c r="A581" i="13" l="1"/>
  <c r="A580" i="13"/>
  <c r="A810"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588"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2" i="13"/>
  <c r="A583" i="13"/>
  <c r="A584" i="13"/>
  <c r="A585" i="13"/>
  <c r="A586" i="13"/>
  <c r="A587"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90" i="13"/>
  <c r="A791" i="13"/>
  <c r="A792" i="13"/>
  <c r="A793" i="13"/>
  <c r="A794" i="13"/>
  <c r="A795" i="13"/>
  <c r="A796" i="13"/>
  <c r="A797" i="13"/>
  <c r="A798" i="13"/>
  <c r="A799" i="13"/>
  <c r="A800" i="13"/>
  <c r="A801" i="13"/>
  <c r="A802" i="13"/>
  <c r="A803" i="13"/>
  <c r="A804" i="13"/>
  <c r="A805" i="13"/>
  <c r="A806" i="13"/>
  <c r="A807" i="13"/>
  <c r="A808" i="13"/>
  <c r="A809"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1125" i="13"/>
  <c r="A1126" i="13"/>
  <c r="A1127" i="13"/>
  <c r="A1128" i="13"/>
  <c r="A1129" i="13"/>
  <c r="A1130" i="13"/>
  <c r="A1131" i="13"/>
  <c r="A1132" i="13"/>
  <c r="A1133" i="13"/>
  <c r="A1134" i="13"/>
  <c r="A1135" i="13"/>
  <c r="A1136" i="13"/>
  <c r="A1137" i="13"/>
  <c r="A1138" i="13"/>
  <c r="A2" i="13"/>
  <c r="B67" i="4" l="1"/>
  <c r="F53" i="4"/>
  <c r="I63" i="14" s="1"/>
  <c r="H58" i="14"/>
  <c r="D58" i="4"/>
  <c r="I66" i="14" s="1"/>
  <c r="B64" i="4"/>
  <c r="B62" i="4"/>
  <c r="C29" i="7"/>
  <c r="B42" i="4"/>
  <c r="AE2" i="17"/>
  <c r="AD2" i="17"/>
  <c r="AC2" i="17"/>
  <c r="B41" i="7" l="1"/>
  <c r="D4" i="7"/>
  <c r="F55" i="4"/>
  <c r="I65" i="14" s="1"/>
  <c r="B55" i="4"/>
  <c r="B54" i="4"/>
  <c r="B3" i="4"/>
  <c r="B36" i="14" l="1"/>
  <c r="C4" i="10" l="1"/>
  <c r="C4" i="9"/>
  <c r="B47" i="14"/>
  <c r="AB2" i="17"/>
  <c r="C25" i="7"/>
  <c r="C24" i="7"/>
  <c r="I2" i="17"/>
  <c r="H2" i="17"/>
  <c r="G2" i="17"/>
  <c r="F2" i="17"/>
  <c r="E2" i="17"/>
  <c r="S2" i="17"/>
  <c r="N2" i="17"/>
  <c r="K2" i="17"/>
  <c r="C2" i="17"/>
  <c r="B2" i="17"/>
  <c r="D16" i="4" l="1"/>
  <c r="D17" i="4"/>
  <c r="D18" i="4"/>
  <c r="D15" i="4"/>
  <c r="D19" i="4" l="1"/>
  <c r="C4" i="5"/>
  <c r="B22" i="9"/>
  <c r="B21" i="9"/>
  <c r="B20" i="9"/>
  <c r="B19" i="9"/>
  <c r="B18" i="9"/>
  <c r="B17" i="9"/>
  <c r="B14" i="9"/>
  <c r="B12" i="9"/>
  <c r="B11" i="9"/>
  <c r="B10" i="9"/>
  <c r="B9" i="9"/>
  <c r="F46" i="7"/>
  <c r="G44" i="7"/>
  <c r="G43" i="7"/>
  <c r="G42" i="7"/>
  <c r="B26" i="7"/>
  <c r="B25" i="7"/>
  <c r="B24" i="7"/>
  <c r="B61" i="7"/>
  <c r="B60" i="7"/>
  <c r="B47" i="7"/>
  <c r="F47" i="7"/>
  <c r="B46" i="7"/>
  <c r="B45" i="7"/>
  <c r="C43" i="7"/>
  <c r="B42" i="7"/>
  <c r="C26" i="7"/>
  <c r="B68" i="4"/>
  <c r="C7" i="2"/>
  <c r="C9" i="2"/>
  <c r="C10" i="2"/>
  <c r="C24" i="2"/>
  <c r="C25" i="2"/>
  <c r="C26" i="2"/>
  <c r="C27" i="2"/>
  <c r="C29" i="2"/>
  <c r="C31" i="2"/>
  <c r="C48" i="2"/>
  <c r="C44" i="2"/>
  <c r="C45" i="2"/>
  <c r="C50" i="2"/>
  <c r="D49" i="4"/>
  <c r="D48" i="4"/>
  <c r="D36" i="4"/>
  <c r="D26" i="4"/>
  <c r="D25" i="4"/>
  <c r="D24" i="4"/>
  <c r="D23" i="4"/>
  <c r="D27" i="4" l="1"/>
  <c r="I64" i="14"/>
  <c r="C46" i="2"/>
  <c r="E39" i="7"/>
  <c r="F39" i="7"/>
  <c r="D39" i="7"/>
  <c r="E28" i="7"/>
  <c r="F28" i="7"/>
  <c r="G28" i="7"/>
  <c r="D28" i="7"/>
  <c r="H33" i="7"/>
  <c r="H34" i="7"/>
  <c r="H35" i="7"/>
  <c r="H36" i="7"/>
  <c r="H37" i="7"/>
  <c r="H38" i="7"/>
  <c r="H32" i="7"/>
  <c r="H24" i="7"/>
  <c r="H25" i="7"/>
  <c r="H26" i="7"/>
  <c r="H27" i="7"/>
  <c r="H10" i="7"/>
  <c r="H11" i="7"/>
  <c r="H12" i="7"/>
  <c r="H13" i="7"/>
  <c r="H14" i="7"/>
  <c r="H15" i="7"/>
  <c r="H16" i="7"/>
  <c r="H17" i="7"/>
  <c r="H18" i="7"/>
  <c r="H19" i="7"/>
  <c r="H20" i="7"/>
  <c r="H21" i="7"/>
  <c r="H22" i="7"/>
  <c r="H23" i="7"/>
  <c r="H9" i="7"/>
  <c r="F40" i="7" l="1"/>
  <c r="X2" i="17" s="1"/>
  <c r="H28" i="7"/>
  <c r="V2" i="17" s="1"/>
  <c r="G40" i="7"/>
  <c r="Y2" i="17" s="1"/>
  <c r="D40" i="7"/>
  <c r="E40" i="7"/>
  <c r="H39" i="7"/>
  <c r="H40" i="7" l="1"/>
  <c r="W2" i="17"/>
  <c r="B49" i="14"/>
  <c r="C5" i="10" l="1"/>
  <c r="C33" i="2" l="1"/>
  <c r="F18" i="14" l="1"/>
  <c r="F17" i="14"/>
  <c r="F16" i="14"/>
  <c r="D10" i="4" l="1" a="1"/>
  <c r="D10" i="4" s="1"/>
  <c r="C13" i="2" s="1"/>
  <c r="D11" i="4" a="1"/>
  <c r="D11" i="4" s="1"/>
  <c r="C14" i="2" s="1"/>
  <c r="D5" i="17"/>
  <c r="D12" i="4" a="1"/>
  <c r="D12" i="4" s="1"/>
  <c r="C15" i="2" s="1"/>
  <c r="S3" i="17"/>
  <c r="S5" i="17"/>
  <c r="AI5" i="17"/>
  <c r="S4" i="17"/>
  <c r="AC3" i="17"/>
  <c r="AD3" i="17"/>
  <c r="AE3" i="17"/>
  <c r="AC4" i="17"/>
  <c r="AE4" i="17"/>
  <c r="AD4" i="17"/>
  <c r="AE5" i="17"/>
  <c r="AF5" i="17"/>
  <c r="AD5" i="17"/>
  <c r="AC5" i="17"/>
  <c r="K3" i="17"/>
  <c r="K4" i="17"/>
  <c r="K5" i="17"/>
  <c r="I5" i="17"/>
  <c r="W5" i="17"/>
  <c r="AB5" i="17"/>
  <c r="X5" i="17"/>
  <c r="Y5" i="17"/>
  <c r="V5" i="17"/>
  <c r="H5" i="17"/>
  <c r="I3" i="17"/>
  <c r="V3" i="17"/>
  <c r="AB3" i="17"/>
  <c r="H3" i="17"/>
  <c r="W3" i="17"/>
  <c r="X3" i="17"/>
  <c r="Y3" i="17"/>
  <c r="Y4" i="17"/>
  <c r="X4" i="17"/>
  <c r="H4" i="17"/>
  <c r="V4" i="17"/>
  <c r="I4" i="17"/>
  <c r="W4" i="17"/>
  <c r="AB4" i="17"/>
  <c r="G3" i="17"/>
  <c r="B3" i="17"/>
  <c r="E3" i="17"/>
  <c r="F3" i="17"/>
  <c r="N3" i="17"/>
  <c r="C3" i="17"/>
  <c r="C5" i="17"/>
  <c r="G5" i="17"/>
  <c r="N5" i="17"/>
  <c r="B5" i="17"/>
  <c r="F5" i="17"/>
  <c r="E5" i="17"/>
  <c r="B4" i="17"/>
  <c r="G4" i="17"/>
  <c r="E4" i="17"/>
  <c r="N4" i="17"/>
  <c r="C4" i="17"/>
  <c r="F4" i="17"/>
  <c r="B13" i="2" a="1"/>
  <c r="B13" i="2" s="1"/>
  <c r="B12" i="2"/>
  <c r="B14" i="2" a="1"/>
  <c r="B14" i="2" s="1"/>
  <c r="B15" i="2" a="1"/>
  <c r="B15" i="2" s="1"/>
  <c r="D37" i="4"/>
  <c r="G15" i="14"/>
  <c r="G31" i="14" a="1"/>
  <c r="G31" i="14" s="1"/>
  <c r="G22" i="14" a="1"/>
  <c r="G22" i="14" s="1"/>
  <c r="A3" i="17" s="1"/>
  <c r="G30" i="14"/>
  <c r="G21" i="14"/>
  <c r="G26" i="14" a="1"/>
  <c r="G26" i="14" s="1"/>
  <c r="G25" i="14"/>
  <c r="G17" i="14" a="1"/>
  <c r="G17" i="14" s="1"/>
  <c r="G32" i="14" a="1"/>
  <c r="G32" i="14" s="1"/>
  <c r="G23" i="14" a="1"/>
  <c r="G23" i="14" s="1"/>
  <c r="A4" i="17" s="1"/>
  <c r="G27" i="14" a="1"/>
  <c r="G27" i="14" s="1"/>
  <c r="G18" i="14" a="1"/>
  <c r="G18" i="14" s="1"/>
  <c r="B16" i="10" s="1"/>
  <c r="G28" i="14" a="1"/>
  <c r="G28" i="14" s="1"/>
  <c r="G33" i="14" a="1"/>
  <c r="G33" i="14" s="1"/>
  <c r="G24" i="14" a="1"/>
  <c r="G24" i="14" s="1"/>
  <c r="A5" i="17" s="1"/>
  <c r="G16" i="14" a="1"/>
  <c r="G16" i="14" s="1"/>
  <c r="C42" i="2" l="1" a="1"/>
  <c r="C42" i="2" s="1"/>
  <c r="D9" i="4" a="1"/>
  <c r="D9" i="4" s="1"/>
  <c r="C12" i="2" s="1"/>
  <c r="A2" i="17"/>
  <c r="C54" i="2" a="1"/>
  <c r="C54" i="2" s="1"/>
  <c r="B18" i="4"/>
  <c r="B12" i="4"/>
  <c r="B26" i="4"/>
  <c r="B15" i="4"/>
  <c r="B9" i="4"/>
  <c r="B23" i="4"/>
  <c r="F5" i="4" s="1" a="1"/>
  <c r="F5" i="4" s="1"/>
  <c r="C6" i="2" a="1"/>
  <c r="C6" i="2" s="1"/>
  <c r="C8" i="2" s="1"/>
  <c r="C40" i="2" a="1"/>
  <c r="C40" i="2" s="1"/>
  <c r="C41" i="2" a="1"/>
  <c r="C41" i="2" s="1"/>
  <c r="B10" i="4"/>
  <c r="B16" i="4"/>
  <c r="B24" i="4"/>
  <c r="B17" i="4"/>
  <c r="B11" i="4"/>
  <c r="B25" i="4"/>
  <c r="C18" i="14"/>
  <c r="B15" i="10"/>
  <c r="C17" i="14"/>
  <c r="B14" i="10"/>
  <c r="C16" i="14"/>
  <c r="B13" i="10"/>
  <c r="D13" i="4" l="1"/>
  <c r="D32" i="4" s="1"/>
  <c r="D46" i="4" a="1"/>
  <c r="D46" i="4" s="1"/>
  <c r="F52" i="4" a="1"/>
  <c r="F52" i="4" s="1"/>
  <c r="D4" i="17" s="1"/>
  <c r="H48" i="14"/>
  <c r="D57" i="4" s="1"/>
  <c r="C43" i="2"/>
  <c r="C11" i="2"/>
  <c r="C19" i="2" s="1"/>
  <c r="E25" i="5"/>
  <c r="D45" i="4" a="1"/>
  <c r="D45" i="4" s="1"/>
  <c r="D44" i="4" a="1"/>
  <c r="D44" i="4" s="1"/>
  <c r="H64" i="14"/>
  <c r="B38" i="10"/>
  <c r="B37" i="10"/>
  <c r="B39" i="10"/>
  <c r="C1" i="12" a="1"/>
  <c r="C1" i="12" s="1"/>
  <c r="D2" i="17" l="1"/>
  <c r="D3" i="17"/>
  <c r="H63" i="14"/>
  <c r="C47" i="2"/>
  <c r="C49" i="2" s="1"/>
  <c r="H65" i="14"/>
  <c r="F50" i="4"/>
  <c r="G41" i="7" s="1"/>
  <c r="F6" i="4"/>
  <c r="D33" i="4" s="1"/>
  <c r="I58" i="14" l="1"/>
  <c r="D21" i="4"/>
  <c r="J2" i="17"/>
  <c r="J3" i="17" s="1"/>
  <c r="J5" i="17"/>
  <c r="K14" i="14"/>
  <c r="K13" i="14"/>
  <c r="B45" i="10"/>
  <c r="B46" i="10"/>
  <c r="B47" i="10"/>
  <c r="B48" i="10"/>
  <c r="C45" i="10"/>
  <c r="C46" i="10"/>
  <c r="C47" i="10"/>
  <c r="C48" i="10"/>
  <c r="J4" i="17" l="1"/>
  <c r="B43" i="10"/>
  <c r="B44" i="10"/>
  <c r="B42" i="10"/>
  <c r="C44" i="10" l="1"/>
  <c r="C43" i="10"/>
  <c r="B29" i="10" l="1"/>
  <c r="B30" i="10"/>
  <c r="B31" i="10"/>
  <c r="B32" i="10"/>
  <c r="B33" i="10"/>
  <c r="B34" i="10"/>
  <c r="B35" i="10"/>
  <c r="B36" i="10"/>
  <c r="C17" i="5" l="1"/>
  <c r="C18" i="5"/>
  <c r="C19" i="5"/>
  <c r="C20" i="5"/>
  <c r="C16" i="5"/>
  <c r="E17" i="5" l="1"/>
  <c r="B17" i="5"/>
  <c r="B18" i="5"/>
  <c r="B19" i="5"/>
  <c r="B20" i="5"/>
  <c r="B16" i="5"/>
  <c r="E16" i="5" l="1"/>
  <c r="E19" i="5"/>
  <c r="F19" i="5" s="1"/>
  <c r="E20" i="5"/>
  <c r="F20" i="5" s="1"/>
  <c r="E18" i="5"/>
  <c r="F18" i="5" s="1"/>
  <c r="B23" i="10" l="1"/>
  <c r="B24" i="10"/>
  <c r="B25" i="10"/>
  <c r="B26" i="10"/>
  <c r="B27" i="10"/>
  <c r="B28" i="10"/>
  <c r="B22" i="10" l="1"/>
  <c r="H28" i="9" l="1"/>
  <c r="I28" i="9" s="1"/>
  <c r="H29" i="9"/>
  <c r="I29" i="9" s="1"/>
  <c r="H30" i="9"/>
  <c r="I30" i="9" s="1"/>
  <c r="H31" i="9"/>
  <c r="I31" i="9" s="1"/>
  <c r="H32" i="9"/>
  <c r="I32" i="9" s="1"/>
  <c r="F17" i="10"/>
  <c r="E17" i="10"/>
  <c r="D17" i="10"/>
  <c r="C17" i="10"/>
  <c r="I16" i="10"/>
  <c r="H16" i="10"/>
  <c r="G16" i="10"/>
  <c r="I15" i="10"/>
  <c r="H15" i="10"/>
  <c r="G15" i="10"/>
  <c r="I14" i="10"/>
  <c r="H14" i="10"/>
  <c r="G14" i="10"/>
  <c r="I13" i="10"/>
  <c r="H13" i="10"/>
  <c r="G13" i="10"/>
  <c r="G35" i="9"/>
  <c r="H34" i="9"/>
  <c r="I34" i="9" s="1"/>
  <c r="H33" i="9"/>
  <c r="I33" i="9" s="1"/>
  <c r="J48" i="10" l="1"/>
  <c r="J46" i="10"/>
  <c r="J45" i="10"/>
  <c r="J47" i="10"/>
  <c r="J43" i="10"/>
  <c r="J44" i="10"/>
  <c r="F47" i="10"/>
  <c r="H47" i="10" s="1"/>
  <c r="F46" i="10"/>
  <c r="H46" i="10" s="1"/>
  <c r="F48" i="10"/>
  <c r="H48" i="10" s="1"/>
  <c r="G17" i="10"/>
  <c r="I17" i="10"/>
  <c r="H17" i="10"/>
  <c r="F43" i="10" l="1"/>
  <c r="H43" i="10" s="1"/>
  <c r="F44" i="10"/>
  <c r="H44" i="10" s="1"/>
  <c r="F45" i="10"/>
  <c r="H45" i="10" s="1"/>
  <c r="E21" i="5" l="1"/>
  <c r="C37" i="10" l="1"/>
  <c r="F37" i="10" s="1"/>
  <c r="H37" i="10" s="1"/>
  <c r="C38" i="10" l="1"/>
  <c r="F38" i="10" s="1"/>
  <c r="H38" i="10" s="1"/>
  <c r="C23" i="10"/>
  <c r="F23" i="10" s="1"/>
  <c r="H23" i="10" s="1"/>
  <c r="C22" i="10"/>
  <c r="C39" i="10" l="1"/>
  <c r="F39" i="10" s="1"/>
  <c r="H39" i="10" s="1"/>
  <c r="C24" i="10"/>
  <c r="F24" i="10" s="1"/>
  <c r="H24" i="10" s="1"/>
  <c r="F22" i="10"/>
  <c r="D31" i="4"/>
  <c r="H22" i="10" l="1"/>
  <c r="C26" i="10" l="1"/>
  <c r="F26" i="10" s="1"/>
  <c r="H26" i="10" s="1"/>
  <c r="C25" i="10"/>
  <c r="F25" i="10" l="1"/>
  <c r="C28" i="10" l="1"/>
  <c r="F28" i="10" s="1"/>
  <c r="H28" i="10" s="1"/>
  <c r="H25" i="10"/>
  <c r="C27" i="10"/>
  <c r="F27" i="10" l="1"/>
  <c r="C42" i="10"/>
  <c r="J42" i="10" s="1"/>
  <c r="C29" i="10" l="1"/>
  <c r="C30" i="10"/>
  <c r="F30" i="10" s="1"/>
  <c r="H27" i="10"/>
  <c r="C49" i="10"/>
  <c r="J49" i="10" s="1"/>
  <c r="F42" i="10"/>
  <c r="C23" i="2"/>
  <c r="C31" i="10" l="1"/>
  <c r="F31" i="10" s="1"/>
  <c r="H31" i="10" s="1"/>
  <c r="F29" i="10"/>
  <c r="H42" i="10"/>
  <c r="F49" i="10"/>
  <c r="AG2" i="17" s="1"/>
  <c r="AG3" i="17" l="1"/>
  <c r="AG4" i="17"/>
  <c r="AG5" i="17"/>
  <c r="H29" i="10"/>
  <c r="C32" i="10"/>
  <c r="C33" i="10" l="1"/>
  <c r="F33" i="10" s="1"/>
  <c r="H33" i="10" s="1"/>
  <c r="F32" i="10"/>
  <c r="H32" i="10" l="1"/>
  <c r="C34" i="10"/>
  <c r="C16" i="2"/>
  <c r="C17" i="2" s="1"/>
  <c r="C21" i="2" s="1"/>
  <c r="C18" i="2"/>
  <c r="C20" i="2" l="1"/>
  <c r="C30" i="2"/>
  <c r="F34" i="10"/>
  <c r="C32" i="2"/>
  <c r="C36" i="2" s="1"/>
  <c r="C28" i="2"/>
  <c r="F38" i="4"/>
  <c r="H62" i="14" l="1"/>
  <c r="L2" i="17"/>
  <c r="H34" i="10"/>
  <c r="F28" i="4"/>
  <c r="I59" i="14" l="1"/>
  <c r="H59" i="14" s="1"/>
  <c r="T2" i="17"/>
  <c r="T3" i="17" s="1"/>
  <c r="D41" i="4"/>
  <c r="L3" i="17"/>
  <c r="L4" i="17"/>
  <c r="L5" i="17"/>
  <c r="F34" i="4"/>
  <c r="I60" i="14" s="1"/>
  <c r="H60" i="14" s="1"/>
  <c r="O2" i="17"/>
  <c r="T4" i="17"/>
  <c r="T5" i="17"/>
  <c r="M2" i="17"/>
  <c r="C34" i="2"/>
  <c r="D40" i="4" l="1"/>
  <c r="C38" i="2"/>
  <c r="C52" i="2" s="1"/>
  <c r="C37" i="2"/>
  <c r="P2" i="17"/>
  <c r="P4" i="17" s="1"/>
  <c r="P5" i="17"/>
  <c r="O3" i="17"/>
  <c r="O4" i="17"/>
  <c r="O5" i="17"/>
  <c r="M3" i="17"/>
  <c r="M5" i="17"/>
  <c r="M4" i="17"/>
  <c r="C35" i="2"/>
  <c r="P3" i="17" l="1"/>
  <c r="I61" i="14"/>
  <c r="H61" i="14" s="1"/>
  <c r="C51" i="2"/>
  <c r="C59" i="2"/>
  <c r="C55" i="2"/>
  <c r="C56" i="2" s="1"/>
  <c r="C57" i="2" s="1"/>
  <c r="B25" i="5"/>
  <c r="F42" i="4"/>
  <c r="H66" i="14" s="1"/>
  <c r="Q2" i="17"/>
  <c r="Q5" i="17" s="1"/>
  <c r="C35" i="10"/>
  <c r="F35" i="10" s="1"/>
  <c r="H35" i="10" s="1"/>
  <c r="F16" i="5"/>
  <c r="G16" i="5" s="1"/>
  <c r="F62" i="4" l="1"/>
  <c r="F64" i="4"/>
  <c r="D59" i="4"/>
  <c r="C58" i="2"/>
  <c r="H52" i="14"/>
  <c r="H50" i="14"/>
  <c r="C60" i="2"/>
  <c r="C62" i="2" s="1"/>
  <c r="B1" i="5"/>
  <c r="C61" i="2"/>
  <c r="Q3" i="17"/>
  <c r="R2" i="17"/>
  <c r="R3" i="17" s="1"/>
  <c r="Q4" i="17"/>
  <c r="R5" i="17"/>
  <c r="F21" i="5"/>
  <c r="F17" i="5" s="1"/>
  <c r="F60" i="4" l="1"/>
  <c r="H44" i="7" s="1"/>
  <c r="I67" i="14"/>
  <c r="H67" i="14" s="1"/>
  <c r="C63" i="2"/>
  <c r="C64" i="2"/>
  <c r="H42" i="7" s="1"/>
  <c r="AA2" i="17" s="1"/>
  <c r="R4" i="17"/>
  <c r="C36" i="10"/>
  <c r="G17" i="5"/>
  <c r="F67" i="4" l="1"/>
  <c r="H29" i="7" s="1"/>
  <c r="I68" i="14"/>
  <c r="H68" i="14" s="1"/>
  <c r="Z2" i="17"/>
  <c r="AA3" i="17"/>
  <c r="AA4" i="17"/>
  <c r="AA5" i="17"/>
  <c r="Z3" i="17"/>
  <c r="Z5" i="17"/>
  <c r="Z4" i="17"/>
  <c r="F36" i="10"/>
  <c r="C40" i="10"/>
  <c r="C50" i="10" s="1"/>
  <c r="J50" i="10" s="1"/>
  <c r="AI2" i="17" s="1"/>
  <c r="G18" i="5"/>
  <c r="G19" i="5"/>
  <c r="AI3" i="17" l="1"/>
  <c r="AI4" i="17"/>
  <c r="U2" i="17"/>
  <c r="H36" i="10"/>
  <c r="F40" i="10"/>
  <c r="G20" i="5"/>
  <c r="G21" i="5" s="1"/>
  <c r="E22" i="5" s="1"/>
  <c r="F50" i="10" l="1"/>
  <c r="AH2" i="17" s="1"/>
  <c r="AF2" i="17"/>
  <c r="U3" i="17"/>
  <c r="U4" i="17"/>
  <c r="U5" i="17"/>
  <c r="AF3" i="17" l="1"/>
  <c r="AF4" i="17"/>
  <c r="AH3" i="17"/>
  <c r="AH5" i="17"/>
  <c r="AH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tc={3E94F99E-BBF6-4BBB-8D7F-A9385964CBF8}</author>
    <author>tc={4B3CFCC2-5D43-42FC-8231-6DFCF7FEB07E}</author>
    <author>tc={887874F3-6649-4294-83E8-26D277E7E1B8}</author>
    <author>tc={5DCE5089-F8CF-4D3B-A705-DF6872294F2C}</author>
    <author>tc={76AE3756-0E04-4C3B-975F-BACAE633783C}</author>
    <author>tc={3BADC231-5B49-4916-8691-0528ED11FDF1}</author>
    <author>tc={E014D4E8-CB9C-4858-9321-10EC44C13153}</author>
    <author>tc={D6DBD0EF-E84E-43DC-9C70-90CF12F43951}</author>
    <author>tc={DD73BD38-593E-4A01-B2AF-83509AB92AEA}</author>
    <author>tc={FD1A43F5-CE21-4708-B31B-7296A1CDE0FB}</author>
    <author>tc={CA122BF3-EB67-411E-A7F6-71D7F28D6A5E}</author>
    <author>Ben Seloske</author>
    <author>tc={EE76200F-5F65-4D3F-BA4F-473EA90042FE}</author>
    <author>tc={68D0F1CE-55D5-4BF9-91CE-E8FCEA15194D}</author>
    <author>tc={068FCDC1-21C3-4975-9F81-9A161E4450CB}</author>
    <author>tc={47586830-3C4B-4D63-94AE-20D458AF0243}</author>
    <author>tc={AB9E3240-34D9-468B-86D8-CB47056F242F}</author>
    <author>tc={8F7D9713-7D87-402A-9C3B-580243BC5AAE}</author>
    <author>tc={8AB046E5-1182-4A55-B89F-9DD73470A012}</author>
    <author>tc={9C5AF2AB-4E45-4768-A970-A396EE12CCD3}</author>
    <author>tc={15126004-63D7-4096-9E82-32DC46E2A7D2}</author>
  </authors>
  <commentList>
    <comment ref="C1" authorId="0" shapeId="0" xr:uid="{3E94F99E-BBF6-4BBB-8D7F-A9385964CBF8}">
      <text>
        <t>[Threaded comment]
Your version of Excel allows you to read this threaded comment; however, any edits to it will get removed if the file is opened in a newer version of Excel. Learn more: https://go.microsoft.com/fwlink/?linkid=870924
Comment:
    For the formulas to match values correctly, BearLake, NezPerce, and TwinFalls counties cannot have spaces in their names.</t>
      </text>
    </comment>
    <comment ref="F1" authorId="1" shapeId="0" xr:uid="{4B3CFCC2-5D43-42FC-8231-6DFCF7FEB07E}">
      <text>
        <t>[Threaded comment]
Your version of Excel allows you to read this threaded comment; however, any edits to it will get removed if the file is opened in a newer version of Excel. Learn more: https://go.microsoft.com/fwlink/?linkid=870924
Comment:
    DistNums have been reviewed and fixed to match datasource file - 2/21/24</t>
      </text>
    </comment>
    <comment ref="G1" authorId="2" shapeId="0" xr:uid="{887874F3-6649-4294-83E8-26D277E7E1B8}">
      <text>
        <t>[Threaded comment]
Your version of Excel allows you to read this threaded comment; however, any edits to it will get removed if the file is opened in a newer version of Excel. Learn more: https://go.microsoft.com/fwlink/?linkid=870924
Comment:
    For the L-2 to fill data correctly, this tab must remain sorted alphabetically by DistName.</t>
      </text>
    </comment>
    <comment ref="H1" authorId="3" shapeId="0" xr:uid="{5DCE5089-F8CF-4D3B-A705-DF6872294F2C}">
      <text>
        <t>[Threaded comment]
Your version of Excel allows you to read this threaded comment; however, any edits to it will get removed if the file is opened in a newer version of Excel. Learn more: https://go.microsoft.com/fwlink/?linkid=870924
Comment:
    Forgone amounts updated - 2/21/2024
Reply:
    Some districts' numbers were wrong and values had to be updated after fixing the DistNums.</t>
      </text>
    </comment>
    <comment ref="I1" authorId="4" shapeId="0" xr:uid="{76AE3756-0E04-4C3B-975F-BACAE633783C}">
      <text>
        <t>[Threaded comment]
Your version of Excel allows you to read this threaded comment; however, any edits to it will get removed if the file is opened in a newer version of Excel. Learn more: https://go.microsoft.com/fwlink/?linkid=870924
Comment:
    Updated to 2023 OP values on 1/21/24.
Reply:
    Values should be fixed after the DistNum corrections.</t>
      </text>
    </comment>
    <comment ref="K1" authorId="5" shapeId="0" xr:uid="{3BADC231-5B49-4916-8691-0528ED11FDF1}">
      <text>
        <t>[Threaded comment]
Your version of Excel allows you to read this threaded comment; however, any edits to it will get removed if the file is opened in a newer version of Excel. Learn more: https://go.microsoft.com/fwlink/?linkid=870924
Comment:
    All replacements updated 1/21/24 after DistNum corrections</t>
      </text>
    </comment>
    <comment ref="N1" authorId="6" shapeId="0" xr:uid="{E014D4E8-CB9C-4858-9321-10EC44C13153}">
      <text>
        <t>[Threaded comment]
Your version of Excel allows you to read this threaded comment; however, any edits to it will get removed if the file is opened in a newer version of Excel. Learn more: https://go.microsoft.com/fwlink/?linkid=870924
Comment:
    Updated on 2/21/24</t>
      </text>
    </comment>
    <comment ref="Q1" authorId="7" shapeId="0" xr:uid="{D6DBD0EF-E84E-43DC-9C70-90CF12F43951}">
      <text>
        <t>[Threaded comment]
Your version of Excel allows you to read this threaded comment; however, any edits to it will get removed if the file is opened in a newer version of Excel. Learn more: https://go.microsoft.com/fwlink/?linkid=870924
Comment:
    All budget figures updated 1/24/24
Reply:
    All budget figures include replacements for that year to simplify formula here (formula in data source file).</t>
      </text>
    </comment>
    <comment ref="R1" authorId="8" shapeId="0" xr:uid="{DD73BD38-593E-4A01-B2AF-83509AB92AEA}">
      <text>
        <t>[Threaded comment]
Your version of Excel allows you to read this threaded comment; however, any edits to it will get removed if the file is opened in a newer version of Excel. Learn more: https://go.microsoft.com/fwlink/?linkid=870924
Comment:
    Need to review after Max Budget &amp; Forgone is published.
Reply:
    All values filled from the Max Budget &amp; Forgone Excel worksheet on 1/24/24
Reply:
    All values reviewed and correctly reflect Max Budget &amp; Forgone Excel worksheet after 2/21/2024 corrections.</t>
      </text>
    </comment>
    <comment ref="G40" authorId="9" shapeId="0" xr:uid="{FD1A43F5-CE21-4708-B31B-7296A1CDE0FB}">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55" authorId="10" shapeId="0" xr:uid="{CA122BF3-EB67-411E-A7F6-71D7F28D6A5E}">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M84" authorId="11" shapeId="0" xr:uid="{D4CBB050-3E40-4B76-B8BC-64331DF60126}">
      <text>
        <r>
          <rPr>
            <b/>
            <sz val="9"/>
            <color indexed="81"/>
            <rFont val="Tahoma"/>
            <family val="2"/>
          </rPr>
          <t>Ben Seloske:</t>
        </r>
        <r>
          <rPr>
            <sz val="9"/>
            <color indexed="81"/>
            <rFont val="Tahoma"/>
            <family val="2"/>
          </rPr>
          <t xml:space="preserve">
Total amount paid to district annually is $225,491, but most of that is paid for the M&amp;O which is reduced by the exempt property. The proper annual reduction is for the amount paid for other funds ($51,943).</t>
        </r>
      </text>
    </comment>
    <comment ref="M85" authorId="11" shapeId="0" xr:uid="{0E8258D3-9DE1-4F85-8A82-53666832B04D}">
      <text>
        <r>
          <rPr>
            <b/>
            <sz val="9"/>
            <color indexed="81"/>
            <rFont val="Tahoma"/>
            <family val="2"/>
          </rPr>
          <t>Ben Seloske:</t>
        </r>
        <r>
          <rPr>
            <sz val="9"/>
            <color indexed="81"/>
            <rFont val="Tahoma"/>
            <family val="2"/>
          </rPr>
          <t xml:space="preserve">
Total amount paid to district annually is $225,491, but most of that is paid for the M&amp;O which is reduced by the exempt property. The proper annual reduction is for the amount paid for other funds ($51,943).</t>
        </r>
      </text>
    </comment>
    <comment ref="G87" authorId="12" shapeId="0" xr:uid="{EE76200F-5F65-4D3F-BA4F-473EA90042FE}">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142" authorId="13" shapeId="0" xr:uid="{68D0F1CE-55D5-4BF9-91CE-E8FCEA15194D}">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483" authorId="14" shapeId="0" xr:uid="{068FCDC1-21C3-4975-9F81-9A161E4450CB}">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590" authorId="15" shapeId="0" xr:uid="{47586830-3C4B-4D63-94AE-20D458AF0243}">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798" authorId="16" shapeId="0" xr:uid="{AB9E3240-34D9-468B-86D8-CB47056F242F}">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840" authorId="17" shapeId="0" xr:uid="{8F7D9713-7D87-402A-9C3B-580243BC5AAE}">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853" authorId="18" shapeId="0" xr:uid="{8AB046E5-1182-4A55-B89F-9DD73470A012}">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963" authorId="19" shapeId="0" xr:uid="{9C5AF2AB-4E45-4768-A970-A396EE12CCD3}">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1082" authorId="20" shapeId="0" xr:uid="{15126004-63D7-4096-9E82-32DC46E2A7D2}">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tc={A4FD59C1-2187-4B16-9053-4383C7A8A331}</author>
    <author>tc={6DFD9BE5-835D-41E1-AD7B-BEE19DA72B8C}</author>
    <author>tc={BD0E45B3-77FD-40A9-9EF8-2F579CAA2EDB}</author>
  </authors>
  <commentList>
    <comment ref="H20" authorId="0" shapeId="0" xr:uid="{A4FD59C1-2187-4B16-9053-4383C7A8A331}">
      <text>
        <t>[Threaded comment]
Your version of Excel allows you to read this threaded comment; however, any edits to it will get removed if the file is opened in a newer version of Excel. Learn more: https://go.microsoft.com/fwlink/?linkid=870924
Comment:
    Change this value if you would like to calculate a maximum using less than 3% base budget growth.
The default is set to 3% because that is the maximum value and the purpose of the form is to calculate the legal maximum.</t>
      </text>
    </comment>
    <comment ref="B49" authorId="1" shapeId="0" xr:uid="{6DFD9BE5-835D-41E1-AD7B-BEE19DA72B8C}">
      <text>
        <t>[Threaded comment]
Your version of Excel allows you to read this threaded comment; however, any edits to it will get removed if the file is opened in a newer version of Excel. Learn more: https://go.microsoft.com/fwlink/?linkid=870924
Comment:
    Once all the above boxes are completed, you can look at the L-2 Worksheet tab to review what the maximum property tax budget would be without using forgone amounts. This information can be used to guide your decision in this box.</t>
      </text>
    </comment>
    <comment ref="H68" authorId="2" shapeId="0" xr:uid="{BD0E45B3-77FD-40A9-9EF8-2F579CAA2EDB}">
      <text>
        <t>[Threaded comment]
Your version of Excel allows you to read this threaded comment; however, any edits to it will get removed if the file is opened in a newer version of Excel. Learn more: https://go.microsoft.com/fwlink/?linkid=870924
Comment:
    If forgone amounts have been recovered into the budget, then this figure will not equal the sum of the above percentages because forgone recovery percentages (1% &amp; 3%) are based on the budget after the initial increases have been allowed.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tc={690176EA-5F06-4F30-B8A6-206AB8A10730}</author>
    <author>tc={A4425859-192B-478C-A2AA-BFB58207FFC6}</author>
  </authors>
  <commentList>
    <comment ref="H42" authorId="0" shapeId="0" xr:uid="{690176EA-5F06-4F30-B8A6-206AB8A10730}">
      <text>
        <t>[Threaded comment]
Your version of Excel allows you to read this threaded comment; however, any edits to it will get removed if the file is opened in a newer version of Excel. Learn more: https://go.microsoft.com/fwlink/?linkid=870924
Comment:
    This amount should be the sum of the 3% base growth, new construction, annexations, and expiring urban renewal growth minus the amount of growth being taken.</t>
      </text>
    </comment>
    <comment ref="H43" authorId="1" shapeId="0" xr:uid="{A4425859-192B-478C-A2AA-BFB58207FFC6}">
      <text>
        <t>[Threaded comment]
Your version of Excel allows you to read this threaded comment; however, any edits to it will get removed if the file is opened in a newer version of Excel. Learn more: https://go.microsoft.com/fwlink/?linkid=870924
Comment:
    If there is an amount in the box below, this box should be blank (the box below expands your budget growth this year and this amount reserves excess growth for the future; there should not be excess growth to reserve for the future if extra budget growth is needed via recovering forgone).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tc={B35BE7D1-5967-46F7-BA21-1948AD263E39}</author>
    <author>tc={7ECD08EC-5B00-4401-8244-6968C636105A}</author>
  </authors>
  <commentList>
    <comment ref="C11" authorId="0" shapeId="0" xr:uid="{B35BE7D1-5967-46F7-BA21-1948AD263E39}">
      <text>
        <t>[Threaded comment]
Your version of Excel allows you to read this threaded comment; however, any edits to it will get removed if the file is opened in a newer version of Excel. Learn more: https://go.microsoft.com/fwlink/?linkid=870924
Comment:
    This is supposed to include Operating Property Value from current year.
In 2022, this also must include the amount of newly exempted personal property (&gt;$100,000) so that the levy rate is not inflated by this exemption and the replacement monies are properly paid.</t>
      </text>
    </comment>
    <comment ref="E11" authorId="1" shapeId="0" xr:uid="{7ECD08EC-5B00-4401-8244-6968C636105A}">
      <text>
        <t>[Threaded comment]
Your version of Excel allows you to read this threaded comment; however, any edits to it will get removed if the file is opened in a newer version of Excel. Learn more: https://go.microsoft.com/fwlink/?linkid=870924
Comment:
    Increment Value for RAAs established after 2007</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684995A-F0CD-4944-908C-FF22C5D90C52}" keepAlive="1" name="Query - 2021" description="Connection to the '2021' query in the workbook." type="5" refreshedVersion="6" background="1">
    <dbPr connection="Provider=Microsoft.Mashup.OleDb.1;Data Source=$Workbook$;Location=2021;Extended Properties=&quot;&quot;" command="SELECT * FROM [202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<sst xmlns="http://schemas.openxmlformats.org/spreadsheetml/2006/main" count="6374" uniqueCount="1419">
  <si>
    <t>Final New Construction for Budget</t>
  </si>
  <si>
    <t>Budget Formula</t>
  </si>
  <si>
    <t>8% + Prelim - Tax Formula</t>
  </si>
  <si>
    <t>Net Taxable Annexation Value (not including operating property)</t>
  </si>
  <si>
    <t>Highest of Prior Three Year Property Tax Budget + P-tax Replacement</t>
  </si>
  <si>
    <t>Estimated Required Budget Growth</t>
  </si>
  <si>
    <t>Percent of Taxable Value that is Annexation</t>
  </si>
  <si>
    <t>Net Taxable Value (not including operating property)</t>
  </si>
  <si>
    <t>Estimated Prior Year Operating Property Value (Annexation)</t>
  </si>
  <si>
    <t>Prior Year Operating Property Value</t>
  </si>
  <si>
    <t>Estimated Budget After Growth Rate Applied</t>
  </si>
  <si>
    <t>Value Used for Annexation Preliminary Levy Rate</t>
  </si>
  <si>
    <t>Value</t>
  </si>
  <si>
    <t>Maximum Allowable Base Budget Growth</t>
  </si>
  <si>
    <t>Value Used for New Construction Preliminary Levy Rate</t>
  </si>
  <si>
    <t>90% Full Annexation</t>
  </si>
  <si>
    <t>80% Expiring Urban Renewal Value (from Assessor)</t>
  </si>
  <si>
    <t>Maximum Non-exempt P-tax Budget (before subtracting replacement)</t>
  </si>
  <si>
    <t>County 1 90% New Construction Value (from Assessor)</t>
  </si>
  <si>
    <t>County 2 90% New Construction Value (from Assessor)</t>
  </si>
  <si>
    <t>County 3 90% New Construction Value (from Assessor)</t>
  </si>
  <si>
    <t>County 4 90% New Construction Value (from Assessor)</t>
  </si>
  <si>
    <t>Sum of 90% New Construction Value</t>
  </si>
  <si>
    <t>District Name:</t>
  </si>
  <si>
    <t>(21)</t>
  </si>
  <si>
    <t>(20)</t>
  </si>
  <si>
    <t>(19)</t>
  </si>
  <si>
    <t>(18)</t>
  </si>
  <si>
    <t>(17)</t>
  </si>
  <si>
    <t>(16)</t>
  </si>
  <si>
    <t>(15)</t>
  </si>
  <si>
    <t>(14)</t>
  </si>
  <si>
    <t>(13)</t>
  </si>
  <si>
    <t>(12)</t>
  </si>
  <si>
    <t>(11)</t>
  </si>
  <si>
    <t>(10)</t>
  </si>
  <si>
    <t>(9)</t>
  </si>
  <si>
    <t>(8)</t>
  </si>
  <si>
    <t>(7)</t>
  </si>
  <si>
    <t>(6)</t>
  </si>
  <si>
    <t>(5)</t>
  </si>
  <si>
    <t>(4)</t>
  </si>
  <si>
    <t>(3)</t>
  </si>
  <si>
    <t>(2)</t>
  </si>
  <si>
    <t>(1)</t>
  </si>
  <si>
    <t>Ag Replacement</t>
  </si>
  <si>
    <t>Total Replacement Money</t>
  </si>
  <si>
    <t>Homeowner's Exemption Property Tax</t>
  </si>
  <si>
    <t>Total of all Recovered/Recaptured P-taxes</t>
  </si>
  <si>
    <t>Amount Used Prior to Annexation of the City by a Fire District</t>
  </si>
  <si>
    <t>Maximum Non-exempt P-tax Budget (Excluding Forgone)</t>
  </si>
  <si>
    <t>Forgone Balance</t>
  </si>
  <si>
    <r>
      <t xml:space="preserve">Maximum Forgone to be used for M&amp;O </t>
    </r>
    <r>
      <rPr>
        <sz val="10"/>
        <color rgb="FFFF0000"/>
        <rFont val="Calibri"/>
        <family val="2"/>
      </rPr>
      <t xml:space="preserve"> (up to 1%)</t>
    </r>
  </si>
  <si>
    <t>Forgone to be Levied for M&amp;O</t>
  </si>
  <si>
    <r>
      <t xml:space="preserve">M&amp;O Forgone Growth </t>
    </r>
    <r>
      <rPr>
        <sz val="10"/>
        <color rgb="FFFF0000"/>
        <rFont val="Calibri"/>
        <family val="2"/>
      </rPr>
      <t xml:space="preserve"> (will not exceed 1%)</t>
    </r>
  </si>
  <si>
    <r>
      <t xml:space="preserve">Maximum Forgone to be Used for Capital Projects </t>
    </r>
    <r>
      <rPr>
        <sz val="10"/>
        <color rgb="FFFF0000"/>
        <rFont val="Calibri"/>
        <family val="2"/>
      </rPr>
      <t>(up to 3%)</t>
    </r>
  </si>
  <si>
    <r>
      <t xml:space="preserve">Capital Projects Forgone Growth </t>
    </r>
    <r>
      <rPr>
        <sz val="10"/>
        <color rgb="FFFF0000"/>
        <rFont val="Calibri"/>
        <family val="2"/>
      </rPr>
      <t>(will not exceed 3%)</t>
    </r>
  </si>
  <si>
    <t>Total Forgone to be Levied</t>
  </si>
  <si>
    <t>Total Forgone Growth</t>
  </si>
  <si>
    <t>Maximum Non-exempt P-tax Budget (Including Forgone)</t>
  </si>
  <si>
    <t>(4a)</t>
  </si>
  <si>
    <t>(4b)</t>
  </si>
  <si>
    <t>(4c)</t>
  </si>
  <si>
    <t>(4d)</t>
  </si>
  <si>
    <t>NO</t>
  </si>
  <si>
    <t>Date:</t>
  </si>
  <si>
    <t>Start Year of Capital Project</t>
  </si>
  <si>
    <t>1st Calendar Year Levied</t>
  </si>
  <si>
    <t>Name</t>
  </si>
  <si>
    <t>Estimated Completion Date</t>
  </si>
  <si>
    <t xml:space="preserve">Forgone Amount Requested </t>
  </si>
  <si>
    <t>Forgone Amount Annual Max</t>
  </si>
  <si>
    <t>Attach to your L-2 form and return to your County Clerk.</t>
  </si>
  <si>
    <t>*The total for forgone requested will highlight red if you exceed 3% cap or total forgone</t>
  </si>
  <si>
    <t>Date</t>
  </si>
  <si>
    <t>Title</t>
  </si>
  <si>
    <t>Signature of District Representative</t>
  </si>
  <si>
    <t>Column Total:</t>
  </si>
  <si>
    <t>Balance to be levied</t>
  </si>
  <si>
    <t>Fund</t>
  </si>
  <si>
    <t>Total forgone remaining after capital projects:</t>
  </si>
  <si>
    <t>Contact Name and Mailing Address</t>
  </si>
  <si>
    <t>Email Address</t>
  </si>
  <si>
    <t>Phone Number (###) ###-### EXT ###</t>
  </si>
  <si>
    <t>Fax Number (###) ###-###</t>
  </si>
  <si>
    <t>I certify that the amounts shown above accurately reflect the budget being certified in accordance with the provisions of I.C. §63-803.
To the best of my knowledge, this district has established and adopted this budget in accordance with all provisions of Idaho Law.</t>
  </si>
  <si>
    <t>Fund Name</t>
  </si>
  <si>
    <t>Forgone Tracking</t>
  </si>
  <si>
    <t>Total Amount Allocated to CP</t>
  </si>
  <si>
    <t>Capital Project (CP) Tracker
Attach to L-2 Form If Applicable</t>
  </si>
  <si>
    <t>Term of Initiative</t>
  </si>
  <si>
    <t>Annual Amount Authorized by Voters</t>
  </si>
  <si>
    <t>Plant Facilities (Maximum of 10 yrs)</t>
  </si>
  <si>
    <t>If voters approved an increase in the annual amount but did not change the term enter the amount of increase here:</t>
  </si>
  <si>
    <t>District Bond Initiative (Voter Approved Bonds)</t>
  </si>
  <si>
    <t>Amount Authorized by Voters</t>
  </si>
  <si>
    <t>Prior Year 
P-Tax $</t>
  </si>
  <si>
    <t>Current Year
P-Tax $</t>
  </si>
  <si>
    <t xml:space="preserve">Current Year's Total Bond Fund (Reported on L-2 Col. 6):  </t>
  </si>
  <si>
    <t>Explanation (If Required):</t>
  </si>
  <si>
    <t>Date of Election
(If current year attach copy of Ballot)</t>
  </si>
  <si>
    <t>Voter Approved Fund Tracker
Attach to L-2 Form If Applicable</t>
  </si>
  <si>
    <t>Date of Election</t>
  </si>
  <si>
    <t>(If current year, attach copy of Ballot)</t>
  </si>
  <si>
    <t>% Change
(+/- 20% Explan-
ation Required)</t>
  </si>
  <si>
    <t>"YES" = Explanation 
Required</t>
  </si>
  <si>
    <t>Please enter any U/R increment</t>
  </si>
  <si>
    <t>Less U/R Increment</t>
  </si>
  <si>
    <t>U/R Increment Values</t>
  </si>
  <si>
    <t>Taxable Value plus Increment</t>
  </si>
  <si>
    <t>County</t>
  </si>
  <si>
    <t>(B) Total Net Increment Value</t>
  </si>
  <si>
    <t>(D) Increment Value of Annexed Area Only</t>
  </si>
  <si>
    <t>Net Value plus ALL Increment  (A+B)</t>
  </si>
  <si>
    <t>Net Value plus Annexation Increment Only (A+D)</t>
  </si>
  <si>
    <t>Total Value:</t>
  </si>
  <si>
    <t>Levy Calculation Area</t>
  </si>
  <si>
    <t>Levy Rate</t>
  </si>
  <si>
    <t>Maximum Levy Rate</t>
  </si>
  <si>
    <t>"Over Max"</t>
  </si>
  <si>
    <t>Totals:</t>
  </si>
  <si>
    <t>For I.C. §63-1305 Judgments, I.C §33-802 Judgment Obligations, temporary Override/Supplemental, and School Emergency funds increment value added if first certified after 12/31/2007. For Bonds, and Plant Facility, increment value added if voter approved after 12/31/2007, or if new RAA or RAA annexation. For any existing funds, the levy may need to be computed using part of the increment value if boundary changes have occurred.</t>
  </si>
  <si>
    <t>Levy Rate Calculation Worksheet
(For County Use Only)</t>
  </si>
  <si>
    <t>(A) Net Taxable
Market Value</t>
  </si>
  <si>
    <t>*Select U/R Key Code from list:</t>
  </si>
  <si>
    <t>(the "L-2 Worksheet" and applicable "Voter Approved Fund Tracker" and budget publication must be attached)</t>
  </si>
  <si>
    <t>Balance to be levied
Col. 2 minus (Cols. 3+4+5)</t>
  </si>
  <si>
    <t>Total Approved
Budget*</t>
  </si>
  <si>
    <t>*Do not include revenue allocated to urban renewal agencies</t>
  </si>
  <si>
    <t>Budget &amp; Forgone Information (from 'L-2 Worksheet')</t>
  </si>
  <si>
    <t>&lt;-C6</t>
  </si>
  <si>
    <t>&lt;-C7</t>
  </si>
  <si>
    <t>&lt;-C8</t>
  </si>
  <si>
    <t>&lt;-C9</t>
  </si>
  <si>
    <t>&lt;-C10</t>
  </si>
  <si>
    <t>&lt;-C11</t>
  </si>
  <si>
    <t>&lt;-C12</t>
  </si>
  <si>
    <t>&lt;-C13</t>
  </si>
  <si>
    <t>&lt;-C14</t>
  </si>
  <si>
    <t>&lt;-C15</t>
  </si>
  <si>
    <t>&lt;-C16</t>
  </si>
  <si>
    <t>&lt;-C17</t>
  </si>
  <si>
    <t>::</t>
  </si>
  <si>
    <t>(22)</t>
  </si>
  <si>
    <t>(23)</t>
  </si>
  <si>
    <t>Tort Fund Less Property Tax Replacement (Schools Only):</t>
  </si>
  <si>
    <t>School</t>
  </si>
  <si>
    <t>City</t>
  </si>
  <si>
    <t>County Road &amp; Bridge</t>
  </si>
  <si>
    <t>General</t>
  </si>
  <si>
    <t>Highway</t>
  </si>
  <si>
    <t>Hospital</t>
  </si>
  <si>
    <t>YES</t>
  </si>
  <si>
    <t>Capital Project Name</t>
  </si>
  <si>
    <t>Capital Project
YTD</t>
  </si>
  <si>
    <t>County Name:</t>
  </si>
  <si>
    <t>District's Name:</t>
  </si>
  <si>
    <t>Select District/Form Type From Drop Down Menu:</t>
  </si>
  <si>
    <t>Column Subtotal:</t>
  </si>
  <si>
    <t>Exempt Funds</t>
  </si>
  <si>
    <t>Total</t>
  </si>
  <si>
    <t>County w/ Countywide Road &amp; Bridge</t>
  </si>
  <si>
    <t>Subtotal</t>
  </si>
  <si>
    <t>Forgone to be Levied for Capital Projects</t>
  </si>
  <si>
    <t>Power</t>
  </si>
  <si>
    <t>Ada County</t>
  </si>
  <si>
    <t>West Ada School #2</t>
  </si>
  <si>
    <t>Ada County Ambulance</t>
  </si>
  <si>
    <t>Dry Creek Cemetery</t>
  </si>
  <si>
    <t>Joplin Cemetery</t>
  </si>
  <si>
    <t>Kuna Cemetery</t>
  </si>
  <si>
    <t>Melba Cemetery</t>
  </si>
  <si>
    <t>Meridian Cemetery</t>
  </si>
  <si>
    <t>Star Cemetery</t>
  </si>
  <si>
    <t>Flood Control #10</t>
  </si>
  <si>
    <t>Ada County Library</t>
  </si>
  <si>
    <t>Kuna Library</t>
  </si>
  <si>
    <t>Meridian Library</t>
  </si>
  <si>
    <t>Western Ada Recreation</t>
  </si>
  <si>
    <t>Adams County</t>
  </si>
  <si>
    <t>Bear Creek Cemetery</t>
  </si>
  <si>
    <t>Flood Control #3</t>
  </si>
  <si>
    <t>Council Valley Library</t>
  </si>
  <si>
    <t>Bannock County</t>
  </si>
  <si>
    <t>City of Arimo</t>
  </si>
  <si>
    <t>City of Chubbuck</t>
  </si>
  <si>
    <t>City of Downey</t>
  </si>
  <si>
    <t>City of Inkom</t>
  </si>
  <si>
    <t>City of Lava Hot Springs</t>
  </si>
  <si>
    <t>City of McCammon</t>
  </si>
  <si>
    <t>City of Pocatello</t>
  </si>
  <si>
    <t>Arimo Cemetery</t>
  </si>
  <si>
    <t>Inkom Cemetery</t>
  </si>
  <si>
    <t>Lava Cemetery</t>
  </si>
  <si>
    <t>Marsh Valley Cemetery</t>
  </si>
  <si>
    <t>McCammon Cemetery</t>
  </si>
  <si>
    <t>Swan Lake Cemetery</t>
  </si>
  <si>
    <t>Portneuf Library</t>
  </si>
  <si>
    <t>Bear Lake County</t>
  </si>
  <si>
    <t>City of Bloomington</t>
  </si>
  <si>
    <t>City of Georgetown</t>
  </si>
  <si>
    <t>City of Montpelier</t>
  </si>
  <si>
    <t>City of Paris</t>
  </si>
  <si>
    <t>Bennington Cemetery</t>
  </si>
  <si>
    <t>Bern Cemetery</t>
  </si>
  <si>
    <t>Bloomington Cemetery</t>
  </si>
  <si>
    <t>Dingle Cemetery</t>
  </si>
  <si>
    <t>Fish Haven Cemetery</t>
  </si>
  <si>
    <t>Geneva Cemetery</t>
  </si>
  <si>
    <t>Lanark Cemetery</t>
  </si>
  <si>
    <t>Liberty Cemetery</t>
  </si>
  <si>
    <t>Ovid Cemetery</t>
  </si>
  <si>
    <t>St. Charles Cemetery</t>
  </si>
  <si>
    <t>Wardboro Cemetery</t>
  </si>
  <si>
    <t>Bear River Abatement</t>
  </si>
  <si>
    <t>Benewah County</t>
  </si>
  <si>
    <t>City of Plummer</t>
  </si>
  <si>
    <t>City of Tensed</t>
  </si>
  <si>
    <t>Bingham County</t>
  </si>
  <si>
    <t>City of Aberdeen</t>
  </si>
  <si>
    <t>City of Basalt</t>
  </si>
  <si>
    <t>City of Blackfoot</t>
  </si>
  <si>
    <t>City of Firth</t>
  </si>
  <si>
    <t>City of Shelley</t>
  </si>
  <si>
    <t>Aberdeen Cemetery</t>
  </si>
  <si>
    <t>Basalt-Goshen-Firth Cemetery</t>
  </si>
  <si>
    <t>Groveland Cemetery</t>
  </si>
  <si>
    <t>Moreland Cemetery</t>
  </si>
  <si>
    <t>Riverside-Thomas Cemetery</t>
  </si>
  <si>
    <t>Shelley Cemetery</t>
  </si>
  <si>
    <t>Springfield-Sterling Cemetery</t>
  </si>
  <si>
    <t>Taylor Cemetery</t>
  </si>
  <si>
    <t>Woodville Cemetery</t>
  </si>
  <si>
    <t>Flood Control #1</t>
  </si>
  <si>
    <t>Flood Control #7</t>
  </si>
  <si>
    <t>Aberdeen Library</t>
  </si>
  <si>
    <t>Snake River Library</t>
  </si>
  <si>
    <t>Mosquito Abatement</t>
  </si>
  <si>
    <t>Sewer &amp; Water</t>
  </si>
  <si>
    <t>Blaine County</t>
  </si>
  <si>
    <t>City of Bellevue</t>
  </si>
  <si>
    <t>City of Carey</t>
  </si>
  <si>
    <t>City of Hailey</t>
  </si>
  <si>
    <t>City of Ketchum</t>
  </si>
  <si>
    <t>City of Sun Valley</t>
  </si>
  <si>
    <t>Blaine County Ambulance</t>
  </si>
  <si>
    <t>Bellevue Cemetery</t>
  </si>
  <si>
    <t>Carey Cemetery</t>
  </si>
  <si>
    <t>Hailey Cemetery</t>
  </si>
  <si>
    <t>Ketchum Cemetery</t>
  </si>
  <si>
    <t>Picabo Cemetery</t>
  </si>
  <si>
    <t>Big Wood Flood Control #9</t>
  </si>
  <si>
    <t>Boise County</t>
  </si>
  <si>
    <t>City of Horseshoe Bend</t>
  </si>
  <si>
    <t>City of Idaho City</t>
  </si>
  <si>
    <t>City of Placerville</t>
  </si>
  <si>
    <t>East Boise Ambulance</t>
  </si>
  <si>
    <t>Pioneer Cemetery</t>
  </si>
  <si>
    <t>Garden Valley Hospital</t>
  </si>
  <si>
    <t>Horseshoe Bend Hospital</t>
  </si>
  <si>
    <t>Boise Basin Library</t>
  </si>
  <si>
    <t>Garden Valley Library</t>
  </si>
  <si>
    <t>Horseshoe Bend Library</t>
  </si>
  <si>
    <t>Bonner County</t>
  </si>
  <si>
    <t>City of Clark Fork</t>
  </si>
  <si>
    <t>City of Dover</t>
  </si>
  <si>
    <t>City of East Hope</t>
  </si>
  <si>
    <t>City of Hope</t>
  </si>
  <si>
    <t>City of Kootenai</t>
  </si>
  <si>
    <t>City of Oldtown</t>
  </si>
  <si>
    <t>City of Ponderay</t>
  </si>
  <si>
    <t>City of Priest River</t>
  </si>
  <si>
    <t>City of Sandpoint</t>
  </si>
  <si>
    <t>West Bonner Cemetery</t>
  </si>
  <si>
    <t>Pend Oreille Hospital</t>
  </si>
  <si>
    <t>East Bonner Library</t>
  </si>
  <si>
    <t>Priest Lake Library</t>
  </si>
  <si>
    <t>West Bonner Library</t>
  </si>
  <si>
    <t>Selkirk Recreation</t>
  </si>
  <si>
    <t>Bonneville County</t>
  </si>
  <si>
    <t>City of Ammon</t>
  </si>
  <si>
    <t>City of Idaho Falls</t>
  </si>
  <si>
    <t>City of Iona</t>
  </si>
  <si>
    <t>City of Ririe</t>
  </si>
  <si>
    <t>City of Swan Valley</t>
  </si>
  <si>
    <t>City of Ucon</t>
  </si>
  <si>
    <t>Ambulance</t>
  </si>
  <si>
    <t>Ammon Cemetery</t>
  </si>
  <si>
    <t>Freedom Cemetery</t>
  </si>
  <si>
    <t>Iona Cemetery</t>
  </si>
  <si>
    <t>Milo Cemetery</t>
  </si>
  <si>
    <t>New Sweden Cemetery</t>
  </si>
  <si>
    <t>Shelton Cemetery #4</t>
  </si>
  <si>
    <t>Swan Valley Cemetery</t>
  </si>
  <si>
    <t>Ucon Cemetery</t>
  </si>
  <si>
    <t>Junior College</t>
  </si>
  <si>
    <t>Boundary County</t>
  </si>
  <si>
    <t>Butte County</t>
  </si>
  <si>
    <t>City of Arco</t>
  </si>
  <si>
    <t>City of Moore</t>
  </si>
  <si>
    <t>Lost River Hospital</t>
  </si>
  <si>
    <t>Little Lost River Watershed</t>
  </si>
  <si>
    <t>Camas County</t>
  </si>
  <si>
    <t>City of Fairfield</t>
  </si>
  <si>
    <t>West Magic Fire</t>
  </si>
  <si>
    <t>Canyon County</t>
  </si>
  <si>
    <t>City of Caldwell</t>
  </si>
  <si>
    <t>City of Greenleaf</t>
  </si>
  <si>
    <t>City of Melba</t>
  </si>
  <si>
    <t>City of Middleton</t>
  </si>
  <si>
    <t>City of Nampa</t>
  </si>
  <si>
    <t>City of Notus</t>
  </si>
  <si>
    <t>City of Parma</t>
  </si>
  <si>
    <t>City of Star</t>
  </si>
  <si>
    <t>City of Wilder</t>
  </si>
  <si>
    <t>Canyon County Ambulance</t>
  </si>
  <si>
    <t>Greenleaf Cemetery</t>
  </si>
  <si>
    <t>Lower Boise Cemetery</t>
  </si>
  <si>
    <t>Middleton Cemetery</t>
  </si>
  <si>
    <t>Parma Cemetery</t>
  </si>
  <si>
    <t>Pleasant Ridge Cemetery</t>
  </si>
  <si>
    <t>Roswell Cemetery</t>
  </si>
  <si>
    <t>Wilder Cemetery</t>
  </si>
  <si>
    <t>Caldwell Fire</t>
  </si>
  <si>
    <t>Homedale Fire</t>
  </si>
  <si>
    <t>Marsing Fire</t>
  </si>
  <si>
    <t>Melba Fire</t>
  </si>
  <si>
    <t>Middleton Fire</t>
  </si>
  <si>
    <t>Parma Fire</t>
  </si>
  <si>
    <t>Star Fire</t>
  </si>
  <si>
    <t>Upper Deer Flat Fire</t>
  </si>
  <si>
    <t>Wilder Fire</t>
  </si>
  <si>
    <t>Flood Control #11</t>
  </si>
  <si>
    <t>Canyon Highway #4</t>
  </si>
  <si>
    <t>Golden Gate Highway #3</t>
  </si>
  <si>
    <t>Nampa Highway #1</t>
  </si>
  <si>
    <t>Notus Parma Highway #2</t>
  </si>
  <si>
    <t>Lizard Butte Library</t>
  </si>
  <si>
    <t>Canyon County Pest Control</t>
  </si>
  <si>
    <t>Melba Gopher</t>
  </si>
  <si>
    <t>Ten Davis Recreation</t>
  </si>
  <si>
    <t>Caribou County</t>
  </si>
  <si>
    <t>City of Bancroft</t>
  </si>
  <si>
    <t>City of Grace</t>
  </si>
  <si>
    <t>City of Soda Springs</t>
  </si>
  <si>
    <t>Bancroft Cemetery</t>
  </si>
  <si>
    <t>Central Cemetery</t>
  </si>
  <si>
    <t>Grace Cemetery</t>
  </si>
  <si>
    <t>Lago Cemetery</t>
  </si>
  <si>
    <t>Lund Cemetery</t>
  </si>
  <si>
    <t>Thatcher Cemetery</t>
  </si>
  <si>
    <t>Turner Cemetery</t>
  </si>
  <si>
    <t>Grace Library</t>
  </si>
  <si>
    <t>Cassia County</t>
  </si>
  <si>
    <t>City of Albion</t>
  </si>
  <si>
    <t>City of Burley</t>
  </si>
  <si>
    <t>City of Declo</t>
  </si>
  <si>
    <t>City of Malta</t>
  </si>
  <si>
    <t>City of Oakley</t>
  </si>
  <si>
    <t>Albion Cemetery</t>
  </si>
  <si>
    <t>Declo Cemetery</t>
  </si>
  <si>
    <t>Pella Cemetery</t>
  </si>
  <si>
    <t>Sublett Cemetery</t>
  </si>
  <si>
    <t>View Cemetery</t>
  </si>
  <si>
    <t>Raft River Flood Control #15</t>
  </si>
  <si>
    <t>Goose Creek Flood Control #16</t>
  </si>
  <si>
    <t>Almo Recreation</t>
  </si>
  <si>
    <t>Oakley Recreation</t>
  </si>
  <si>
    <t>Clark County</t>
  </si>
  <si>
    <t>City of Dubois</t>
  </si>
  <si>
    <t>City of Spencer</t>
  </si>
  <si>
    <t>Clark County Cemetery</t>
  </si>
  <si>
    <t>Clark County Library</t>
  </si>
  <si>
    <t>Clearwater County</t>
  </si>
  <si>
    <t>City of Elk River</t>
  </si>
  <si>
    <t>City of Orofino</t>
  </si>
  <si>
    <t>City of Pierce</t>
  </si>
  <si>
    <t>City of Weippe</t>
  </si>
  <si>
    <t>Fraser Community Center</t>
  </si>
  <si>
    <t>Fraser Cemetery</t>
  </si>
  <si>
    <t>Gilbert Cemetery</t>
  </si>
  <si>
    <t>Pierce Cemetery</t>
  </si>
  <si>
    <t>Sanders Cemetery</t>
  </si>
  <si>
    <t>Southwick Cemetery</t>
  </si>
  <si>
    <t>Weippe Cemetery</t>
  </si>
  <si>
    <t>Elk River Library</t>
  </si>
  <si>
    <t>Pierce Library</t>
  </si>
  <si>
    <t>Custer County</t>
  </si>
  <si>
    <t>City of Challis</t>
  </si>
  <si>
    <t>City of Mackay</t>
  </si>
  <si>
    <t>City of Stanley</t>
  </si>
  <si>
    <t>Big Lost River Cemetery</t>
  </si>
  <si>
    <t>Challis Cemetery</t>
  </si>
  <si>
    <t>Salmon River Clinic</t>
  </si>
  <si>
    <t>Stanley Community Library</t>
  </si>
  <si>
    <t>Elmore County</t>
  </si>
  <si>
    <t>City of Glenns Ferry</t>
  </si>
  <si>
    <t>City of Mountain Home</t>
  </si>
  <si>
    <t>Elmore County Ambulance</t>
  </si>
  <si>
    <t>Atlanta Highway</t>
  </si>
  <si>
    <t>Elmore Medical Center</t>
  </si>
  <si>
    <t>Prairie Library</t>
  </si>
  <si>
    <t>Franklin County</t>
  </si>
  <si>
    <t>City of Clifton</t>
  </si>
  <si>
    <t>City of Dayton</t>
  </si>
  <si>
    <t>City of Franklin</t>
  </si>
  <si>
    <t>City of Oxford</t>
  </si>
  <si>
    <t>City of Preston</t>
  </si>
  <si>
    <t>City of Weston</t>
  </si>
  <si>
    <t>Cleveland Cemetery</t>
  </si>
  <si>
    <t>Clifton Cemetery</t>
  </si>
  <si>
    <t>Dayton Cemetery</t>
  </si>
  <si>
    <t>Franklin Cemetery</t>
  </si>
  <si>
    <t>Mapleton Cemetery</t>
  </si>
  <si>
    <t>Mink Creek Cemetery</t>
  </si>
  <si>
    <t>Preston Cemetery</t>
  </si>
  <si>
    <t>Riverdale Cemetery</t>
  </si>
  <si>
    <t>Treasureton Cemetery</t>
  </si>
  <si>
    <t>Weston Cemetery</t>
  </si>
  <si>
    <t>Whitney Cemetery</t>
  </si>
  <si>
    <t>Fremont County</t>
  </si>
  <si>
    <t>City of Ashton</t>
  </si>
  <si>
    <t>City of Drummond</t>
  </si>
  <si>
    <t>City of Island Park</t>
  </si>
  <si>
    <t>City of Newdale</t>
  </si>
  <si>
    <t>City of Parker</t>
  </si>
  <si>
    <t>City of St Anthony</t>
  </si>
  <si>
    <t>City of Teton</t>
  </si>
  <si>
    <t>Gem County</t>
  </si>
  <si>
    <t>City of Emmett</t>
  </si>
  <si>
    <t>Ola Cemetery</t>
  </si>
  <si>
    <t>Sweet-Montour Cemetery</t>
  </si>
  <si>
    <t>Eagle Fire</t>
  </si>
  <si>
    <t>Ola Library</t>
  </si>
  <si>
    <t>Gooding County</t>
  </si>
  <si>
    <t>City of Bliss</t>
  </si>
  <si>
    <t>City of Gooding</t>
  </si>
  <si>
    <t>City of Hagerman</t>
  </si>
  <si>
    <t>City of Wendell</t>
  </si>
  <si>
    <t>Gooding County Ambulance</t>
  </si>
  <si>
    <t>Gooding Cemetery</t>
  </si>
  <si>
    <t>Hagerman Cemetery</t>
  </si>
  <si>
    <t>Wendell Cemetery</t>
  </si>
  <si>
    <t>Bliss Highway #2</t>
  </si>
  <si>
    <t>Gooding Highway #1</t>
  </si>
  <si>
    <t>Hagerman Highway #3</t>
  </si>
  <si>
    <t>Wendell Highway #6</t>
  </si>
  <si>
    <t>West Point Highway #4</t>
  </si>
  <si>
    <t>Gooding Public Library</t>
  </si>
  <si>
    <t>Gooding Recreation</t>
  </si>
  <si>
    <t>Wendell Recreation</t>
  </si>
  <si>
    <t>Idaho County</t>
  </si>
  <si>
    <t>City of Cottonwood</t>
  </si>
  <si>
    <t>City of Ferdinand</t>
  </si>
  <si>
    <t>City of Grangeville</t>
  </si>
  <si>
    <t>City of Kooskia</t>
  </si>
  <si>
    <t>City of Riggins</t>
  </si>
  <si>
    <t>City of Stites</t>
  </si>
  <si>
    <t>City of Whitebird</t>
  </si>
  <si>
    <t>Clearwater Cemetery</t>
  </si>
  <si>
    <t>Cottonwood Cemetery</t>
  </si>
  <si>
    <t>Ferdinand Cemetery</t>
  </si>
  <si>
    <t>Grangeville Cemetery</t>
  </si>
  <si>
    <t>Kamiah Cemetery</t>
  </si>
  <si>
    <t>Keuterville Cemetery</t>
  </si>
  <si>
    <t>Pine Grove Cemetery</t>
  </si>
  <si>
    <t>Riggins Cemetery</t>
  </si>
  <si>
    <t>Whitebird Cemetery</t>
  </si>
  <si>
    <t>Winona Cemetery</t>
  </si>
  <si>
    <t>Woodland Cemetery</t>
  </si>
  <si>
    <t>Cottonwood Fire</t>
  </si>
  <si>
    <t>Grangeville Fire</t>
  </si>
  <si>
    <t>Harpster Fire</t>
  </si>
  <si>
    <t>Kamiah Fire</t>
  </si>
  <si>
    <t>Flood Control #6</t>
  </si>
  <si>
    <t>Cottonwood Highway</t>
  </si>
  <si>
    <t>Ferdinand Highway</t>
  </si>
  <si>
    <t>Grangeville Highway</t>
  </si>
  <si>
    <t>Greencreek Highway</t>
  </si>
  <si>
    <t>Syringa Hospital</t>
  </si>
  <si>
    <t>Jefferson County</t>
  </si>
  <si>
    <t>City of Lewisville</t>
  </si>
  <si>
    <t>City of Menan</t>
  </si>
  <si>
    <t>City of Mud Lake</t>
  </si>
  <si>
    <t>City of Rigby</t>
  </si>
  <si>
    <t>City of Roberts</t>
  </si>
  <si>
    <t>Central Cemetery #2</t>
  </si>
  <si>
    <t>Flood Control #5</t>
  </si>
  <si>
    <t>Jerome County</t>
  </si>
  <si>
    <t>City of Eden</t>
  </si>
  <si>
    <t>City of Hazelton</t>
  </si>
  <si>
    <t>City of Jerome</t>
  </si>
  <si>
    <t>Lifeline Ambulance</t>
  </si>
  <si>
    <t>Hazelton Cemetery</t>
  </si>
  <si>
    <t>Valley Recreation</t>
  </si>
  <si>
    <t>Kootenai County</t>
  </si>
  <si>
    <t>City of Athol</t>
  </si>
  <si>
    <t>City of Coeur d'Alene</t>
  </si>
  <si>
    <t>City of Dalton Gardens</t>
  </si>
  <si>
    <t>City of Fernan Lake</t>
  </si>
  <si>
    <t>City of Harrison</t>
  </si>
  <si>
    <t>City of Hauser Lake</t>
  </si>
  <si>
    <t>City of Hayden</t>
  </si>
  <si>
    <t>City of Hayden Lake</t>
  </si>
  <si>
    <t>City of Huetter</t>
  </si>
  <si>
    <t>City of Post Falls</t>
  </si>
  <si>
    <t>City of Rathdrum</t>
  </si>
  <si>
    <t>City of Spirit Lake</t>
  </si>
  <si>
    <t>City of Worley</t>
  </si>
  <si>
    <t>Eastside Fire</t>
  </si>
  <si>
    <t>Hauser Lake Fire</t>
  </si>
  <si>
    <t>Northern Lakes Fire</t>
  </si>
  <si>
    <t>Spirit Lake Fire</t>
  </si>
  <si>
    <t>St. Maries Fire</t>
  </si>
  <si>
    <t>Timberlake Fire</t>
  </si>
  <si>
    <t>Worley Fire</t>
  </si>
  <si>
    <t>Post Falls Highway #1</t>
  </si>
  <si>
    <t>Lakes Highway #2</t>
  </si>
  <si>
    <t>Worley Highway #4</t>
  </si>
  <si>
    <t>Community Library Network Bond</t>
  </si>
  <si>
    <t>Cleland Bay Sewer</t>
  </si>
  <si>
    <t>Kingston Cataldo Sewer</t>
  </si>
  <si>
    <t>Cataldo Water</t>
  </si>
  <si>
    <t>Kootenai Water #1</t>
  </si>
  <si>
    <t>Latah County</t>
  </si>
  <si>
    <t>City of Bovill</t>
  </si>
  <si>
    <t>City of Deary</t>
  </si>
  <si>
    <t>City of Genesee</t>
  </si>
  <si>
    <t>City of Juliaetta</t>
  </si>
  <si>
    <t>City of Kendrick</t>
  </si>
  <si>
    <t>City of Moscow</t>
  </si>
  <si>
    <t>City of Potlatch</t>
  </si>
  <si>
    <t>City of Troy</t>
  </si>
  <si>
    <t>Freeze Cemetery</t>
  </si>
  <si>
    <t>Genesee Cemetery</t>
  </si>
  <si>
    <t>Moscow Cemetery</t>
  </si>
  <si>
    <t>Mountain View Cemetery</t>
  </si>
  <si>
    <t>Nez-Tah Cemetery</t>
  </si>
  <si>
    <t>Troy Cemetery</t>
  </si>
  <si>
    <t>Deary Recreation</t>
  </si>
  <si>
    <t>Genesee Recreation</t>
  </si>
  <si>
    <t>Potlatch Recreation</t>
  </si>
  <si>
    <t>Troy Recreation</t>
  </si>
  <si>
    <t>Lemhi County</t>
  </si>
  <si>
    <t>City of Leadore</t>
  </si>
  <si>
    <t>City of Salmon</t>
  </si>
  <si>
    <t>Elk Bend Sewer</t>
  </si>
  <si>
    <t>Williams Lake S/W</t>
  </si>
  <si>
    <t>Arrowhead Water</t>
  </si>
  <si>
    <t>Lewis County</t>
  </si>
  <si>
    <t>City of Craigmont</t>
  </si>
  <si>
    <t>City of Kamiah</t>
  </si>
  <si>
    <t>City of Reubens</t>
  </si>
  <si>
    <t>City of Winchester</t>
  </si>
  <si>
    <t>Reubens Cemetery</t>
  </si>
  <si>
    <t>Winchester Fire</t>
  </si>
  <si>
    <t>Lincoln County</t>
  </si>
  <si>
    <t>City of Dietrich</t>
  </si>
  <si>
    <t>City of Richfield</t>
  </si>
  <si>
    <t>City of Shoshone</t>
  </si>
  <si>
    <t>Lincoln County Ambulance</t>
  </si>
  <si>
    <t>Dietrich Cemetery</t>
  </si>
  <si>
    <t>Richfield Cemetery</t>
  </si>
  <si>
    <t>Dietrich Highway #5</t>
  </si>
  <si>
    <t>Kimama Highway #6</t>
  </si>
  <si>
    <t>Richfield Highway #3</t>
  </si>
  <si>
    <t>Shoshone Highway #2</t>
  </si>
  <si>
    <t>Richfield Library</t>
  </si>
  <si>
    <t>Madison County</t>
  </si>
  <si>
    <t>City of Rexburg</t>
  </si>
  <si>
    <t>City of Sugar City</t>
  </si>
  <si>
    <t>Madison Ambulance</t>
  </si>
  <si>
    <t>Burton Cemetery</t>
  </si>
  <si>
    <t>Plano Cemetery</t>
  </si>
  <si>
    <t>Rexburg Cemetery</t>
  </si>
  <si>
    <t>Sugar City Cemetery</t>
  </si>
  <si>
    <t>Sutton Cemetery</t>
  </si>
  <si>
    <t>Teton-Newdale Cemetery</t>
  </si>
  <si>
    <t>Minidoka County</t>
  </si>
  <si>
    <t>City of Acequia</t>
  </si>
  <si>
    <t>City of Heyburn</t>
  </si>
  <si>
    <t>City of Minidoka</t>
  </si>
  <si>
    <t>City of Paul</t>
  </si>
  <si>
    <t>City of Rupert</t>
  </si>
  <si>
    <t>Nez Perce County</t>
  </si>
  <si>
    <t>City of Culdesac</t>
  </si>
  <si>
    <t>City of Lapwai</t>
  </si>
  <si>
    <t>City of Lewiston</t>
  </si>
  <si>
    <t>City of Peck</t>
  </si>
  <si>
    <t>Gifford Cemetery</t>
  </si>
  <si>
    <t>Melrose Cemetery</t>
  </si>
  <si>
    <t>Potlatch Cemetery</t>
  </si>
  <si>
    <t>Arrow Junction Fire</t>
  </si>
  <si>
    <t>Oneida County</t>
  </si>
  <si>
    <t>City of Malad</t>
  </si>
  <si>
    <t>Holbrook Cemetery</t>
  </si>
  <si>
    <t>Samaria Cemetery</t>
  </si>
  <si>
    <t>St. John Cemetery</t>
  </si>
  <si>
    <t>Holbrook Recreation</t>
  </si>
  <si>
    <t>Samaria Recreation</t>
  </si>
  <si>
    <t>Owyhee County</t>
  </si>
  <si>
    <t>City of Grandview</t>
  </si>
  <si>
    <t>City of Homedale</t>
  </si>
  <si>
    <t>City of Marsing</t>
  </si>
  <si>
    <t>Marsing Ambulance</t>
  </si>
  <si>
    <t>Bruneau Cemetery</t>
  </si>
  <si>
    <t>Marsing-Homedale Cemetery</t>
  </si>
  <si>
    <t>Owyhee-Pioneer Cemetery</t>
  </si>
  <si>
    <t>Bruneau Valley Library</t>
  </si>
  <si>
    <t>Eastern Owyhee Library</t>
  </si>
  <si>
    <t>Payette County</t>
  </si>
  <si>
    <t>City of Fruitland</t>
  </si>
  <si>
    <t>City of New Plymouth</t>
  </si>
  <si>
    <t>City of Payette</t>
  </si>
  <si>
    <t>Parkview Cemetery</t>
  </si>
  <si>
    <t>New Plymouth Fire</t>
  </si>
  <si>
    <t>Sand Hollow Fire</t>
  </si>
  <si>
    <t>Payette Recreation</t>
  </si>
  <si>
    <t>Power County</t>
  </si>
  <si>
    <t>City of American Falls</t>
  </si>
  <si>
    <t>City of Rockland</t>
  </si>
  <si>
    <t>Falls View Cemetery</t>
  </si>
  <si>
    <t>American Falls Library</t>
  </si>
  <si>
    <t>Rockland Library</t>
  </si>
  <si>
    <t>Shoshone County</t>
  </si>
  <si>
    <t>City of Kellogg</t>
  </si>
  <si>
    <t>City of Mullan</t>
  </si>
  <si>
    <t>City of Osburn</t>
  </si>
  <si>
    <t>City of Pinehurst</t>
  </si>
  <si>
    <t>City of Smelterville</t>
  </si>
  <si>
    <t>City of Wallace</t>
  </si>
  <si>
    <t>City of Wardner</t>
  </si>
  <si>
    <t>Fernwood Fire</t>
  </si>
  <si>
    <t>Shoshone Fire #1</t>
  </si>
  <si>
    <t>West Shoshone Hospital</t>
  </si>
  <si>
    <t>Teton County</t>
  </si>
  <si>
    <t>City of Driggs</t>
  </si>
  <si>
    <t>City of Tetonia</t>
  </si>
  <si>
    <t>City of Victor</t>
  </si>
  <si>
    <t>Bates Cemetery</t>
  </si>
  <si>
    <t>Haden Cemetery</t>
  </si>
  <si>
    <t>Victor-Cedron Cemetery</t>
  </si>
  <si>
    <t>Teton Creek F/C #18</t>
  </si>
  <si>
    <t>Twin Falls County</t>
  </si>
  <si>
    <t>City of Buhl</t>
  </si>
  <si>
    <t>City of Castleford</t>
  </si>
  <si>
    <t>City of Filer</t>
  </si>
  <si>
    <t>City of Hansen</t>
  </si>
  <si>
    <t>City of Hollister</t>
  </si>
  <si>
    <t>City of Kimberly</t>
  </si>
  <si>
    <t>City of Murtaugh</t>
  </si>
  <si>
    <t>City of Twin Falls</t>
  </si>
  <si>
    <t>West End Cemetery</t>
  </si>
  <si>
    <t>Bliss Fire</t>
  </si>
  <si>
    <t>Hansen Library</t>
  </si>
  <si>
    <t>Filer Recreation</t>
  </si>
  <si>
    <t>Castleford Recreation</t>
  </si>
  <si>
    <t>Valley County</t>
  </si>
  <si>
    <t>City of Cascade</t>
  </si>
  <si>
    <t>City of Donnelly</t>
  </si>
  <si>
    <t>City of McCall</t>
  </si>
  <si>
    <t>Valley Cnty Emergency Medical</t>
  </si>
  <si>
    <t>McCall Cemetery</t>
  </si>
  <si>
    <t>Valley Center Cemetery</t>
  </si>
  <si>
    <t>Yellow Pine Fire</t>
  </si>
  <si>
    <t>Library</t>
  </si>
  <si>
    <t>Donnelly Public Library</t>
  </si>
  <si>
    <t>Edwards Mosquito Abatement</t>
  </si>
  <si>
    <t>Washington County</t>
  </si>
  <si>
    <t>City of Cambridge</t>
  </si>
  <si>
    <t>City of Midvale</t>
  </si>
  <si>
    <t>City of Weiser</t>
  </si>
  <si>
    <t>Weiser Ambulance</t>
  </si>
  <si>
    <t>Hillcrest Cemetery</t>
  </si>
  <si>
    <t>Midvale Cemetery</t>
  </si>
  <si>
    <t>Salubria Cemetery</t>
  </si>
  <si>
    <t>Midvale Fire</t>
  </si>
  <si>
    <t>Weiser Valley Hospital</t>
  </si>
  <si>
    <t>Midvale Library</t>
  </si>
  <si>
    <t>Select County From Drop Down Menu:</t>
  </si>
  <si>
    <t>County:</t>
  </si>
  <si>
    <t>Cemetery</t>
  </si>
  <si>
    <t>Extermination</t>
  </si>
  <si>
    <t>Fire</t>
  </si>
  <si>
    <t>Flood Control</t>
  </si>
  <si>
    <t>Community Infrastructure</t>
  </si>
  <si>
    <t>Port</t>
  </si>
  <si>
    <t>Auditorium</t>
  </si>
  <si>
    <t>Recreation</t>
  </si>
  <si>
    <t>Sewer incl. Rec. Sewer</t>
  </si>
  <si>
    <t>Water</t>
  </si>
  <si>
    <t>Watershed</t>
  </si>
  <si>
    <t>DistName</t>
  </si>
  <si>
    <t>Category</t>
  </si>
  <si>
    <t>Category:</t>
  </si>
  <si>
    <t>City of Boise</t>
  </si>
  <si>
    <t>City of Eagle</t>
  </si>
  <si>
    <t>City of Garden City</t>
  </si>
  <si>
    <t>City of Kuna</t>
  </si>
  <si>
    <t>City of Meridian</t>
  </si>
  <si>
    <t>Boise School #1</t>
  </si>
  <si>
    <t>Kuna School #3</t>
  </si>
  <si>
    <t>Melba School #136</t>
  </si>
  <si>
    <t>Fairview Cemetery (Ada/Canyon)</t>
  </si>
  <si>
    <t>Ada County Pest Control</t>
  </si>
  <si>
    <t>North Ada Fire &amp; Rescue</t>
  </si>
  <si>
    <t>Kuna Fire</t>
  </si>
  <si>
    <t>Meridian Fire</t>
  </si>
  <si>
    <t>Whitney Fire</t>
  </si>
  <si>
    <t>Sunset Fire</t>
  </si>
  <si>
    <t>Ada Highway</t>
  </si>
  <si>
    <t>College of Western Idaho</t>
  </si>
  <si>
    <t>S. W. Ada Abatement</t>
  </si>
  <si>
    <t>Eagle Sewer</t>
  </si>
  <si>
    <t>Star S/W</t>
  </si>
  <si>
    <t>Harris Ranch 1</t>
  </si>
  <si>
    <t>Spring Valley CID #1</t>
  </si>
  <si>
    <t>Avimor Community</t>
  </si>
  <si>
    <t>City of Council</t>
  </si>
  <si>
    <t>City of New Meadows</t>
  </si>
  <si>
    <t>Meadows Valley School #11</t>
  </si>
  <si>
    <t>Council School #13</t>
  </si>
  <si>
    <t>McCall-Donnelly School #421</t>
  </si>
  <si>
    <t>Cambridge School #432</t>
  </si>
  <si>
    <t>Salmon River School #243</t>
  </si>
  <si>
    <t>Council Valley Ambulance</t>
  </si>
  <si>
    <t>Meadows Valley Ambulance</t>
  </si>
  <si>
    <t>Council Valley Cemetery</t>
  </si>
  <si>
    <t>Indian Valley Cemetery</t>
  </si>
  <si>
    <t>Meadows Valley Cemetery</t>
  </si>
  <si>
    <t>Council Valley Fire</t>
  </si>
  <si>
    <t>Meadow Valley Fire</t>
  </si>
  <si>
    <t>Indian Valley Fire</t>
  </si>
  <si>
    <t>Meadows Valley Library</t>
  </si>
  <si>
    <t>Marsh Valley School #21</t>
  </si>
  <si>
    <t>Pocatello School #25</t>
  </si>
  <si>
    <t>Grace School #148</t>
  </si>
  <si>
    <t>Preston School #201</t>
  </si>
  <si>
    <t>Westside School #202</t>
  </si>
  <si>
    <t>Bannock Ambulance</t>
  </si>
  <si>
    <t>North Bannock Fire</t>
  </si>
  <si>
    <t>Pocatello Valley Fire</t>
  </si>
  <si>
    <t>McCammon Fire</t>
  </si>
  <si>
    <t>Downey Fire</t>
  </si>
  <si>
    <t>Jackson Creek Fire</t>
  </si>
  <si>
    <t>Lava Fire</t>
  </si>
  <si>
    <t>Arimo Fire</t>
  </si>
  <si>
    <t>Downey Swan Lake Hwy</t>
  </si>
  <si>
    <t>Bannock Cnty Rd</t>
  </si>
  <si>
    <t>S. Bannock Library</t>
  </si>
  <si>
    <t>Bannock Abatement</t>
  </si>
  <si>
    <t>City of St Charles</t>
  </si>
  <si>
    <t>Bear Lake School #33</t>
  </si>
  <si>
    <t>Soda Springs School #150</t>
  </si>
  <si>
    <t>Bailey Creek Fire</t>
  </si>
  <si>
    <t>Bear Lake Cnty Fire</t>
  </si>
  <si>
    <t>Bear Lake Cnty Rd</t>
  </si>
  <si>
    <t>Bear Lake Library</t>
  </si>
  <si>
    <t>Fish Haven Abatement</t>
  </si>
  <si>
    <t>Fish Haven Rec. Swr</t>
  </si>
  <si>
    <t>City of St Maries</t>
  </si>
  <si>
    <t>St Maries School #41</t>
  </si>
  <si>
    <t>Kootenai School #274</t>
  </si>
  <si>
    <t>Plummer/Worley School #44</t>
  </si>
  <si>
    <t>Gateway Fire</t>
  </si>
  <si>
    <t>Tensed Fire</t>
  </si>
  <si>
    <t>Emida Fire</t>
  </si>
  <si>
    <t>Plummer - Gateway Hwy</t>
  </si>
  <si>
    <t>Benewah Cnty Rd</t>
  </si>
  <si>
    <t>Benewah Library</t>
  </si>
  <si>
    <t>Fernwood S&amp;W</t>
  </si>
  <si>
    <t>Snake River School #52</t>
  </si>
  <si>
    <t>Blackfoot School #55</t>
  </si>
  <si>
    <t>Aberdeen School #58</t>
  </si>
  <si>
    <t>Firth School #59</t>
  </si>
  <si>
    <t>Shelley School #60</t>
  </si>
  <si>
    <t>Bonneville School #93</t>
  </si>
  <si>
    <t>Bingham Ambulance</t>
  </si>
  <si>
    <t>Riverview Cemetery (Bingham)</t>
  </si>
  <si>
    <t>Aberdeen Springfield Fire</t>
  </si>
  <si>
    <t>Blackfoot Snake River Fire</t>
  </si>
  <si>
    <t>Shelley Firth Fire</t>
  </si>
  <si>
    <t>Bingham Cnty Rd</t>
  </si>
  <si>
    <t>N. Bingham Library</t>
  </si>
  <si>
    <t>Blackfoot Library</t>
  </si>
  <si>
    <t>Bingham Abatement</t>
  </si>
  <si>
    <t>Moreland S/W</t>
  </si>
  <si>
    <t>Blaine School #61</t>
  </si>
  <si>
    <t>Carey Fire</t>
  </si>
  <si>
    <t>Minidoka County Fire</t>
  </si>
  <si>
    <t>Wood River Fire (Blaine)</t>
  </si>
  <si>
    <t>Smiley Creek Fire</t>
  </si>
  <si>
    <t>Carey Flood #2</t>
  </si>
  <si>
    <t>Little Wood Riv. Library</t>
  </si>
  <si>
    <t>Blaine Recreation</t>
  </si>
  <si>
    <t>Sun Valley S/W</t>
  </si>
  <si>
    <t>Garden Valley School #71</t>
  </si>
  <si>
    <t>Basin School #72</t>
  </si>
  <si>
    <t>Horseshoe Bend School #73</t>
  </si>
  <si>
    <t>Emmett School #221</t>
  </si>
  <si>
    <t>Placerville Fire</t>
  </si>
  <si>
    <t>Horseshoebend Fire</t>
  </si>
  <si>
    <t>Garden Valley Fire</t>
  </si>
  <si>
    <t>Wilderness Ranch Fire</t>
  </si>
  <si>
    <t>Boise Cnty Rd</t>
  </si>
  <si>
    <t>Lakeland School #272</t>
  </si>
  <si>
    <t>Lake Pend Oreille School #84</t>
  </si>
  <si>
    <t>West Bonner School #83</t>
  </si>
  <si>
    <t>Bonner County Ambulance</t>
  </si>
  <si>
    <t>North Side Fire</t>
  </si>
  <si>
    <t>West Side Fire</t>
  </si>
  <si>
    <t>W. Pend Oreille Fire</t>
  </si>
  <si>
    <t>West Priest Lake Fire</t>
  </si>
  <si>
    <t>Coolin-Cav. Bay Fire</t>
  </si>
  <si>
    <t>Schweitzer Fire</t>
  </si>
  <si>
    <t>Sagle Fire</t>
  </si>
  <si>
    <t>North Of The Narrows Fire</t>
  </si>
  <si>
    <t>Sam Owen Fire District</t>
  </si>
  <si>
    <t>East Priest Lake Fire</t>
  </si>
  <si>
    <t>Sandpoint Highway</t>
  </si>
  <si>
    <t>Bonner Cnty Rd</t>
  </si>
  <si>
    <t>Bay Drive Recreation</t>
  </si>
  <si>
    <t>Kootenai Ponderay Swr</t>
  </si>
  <si>
    <t>Granite Reeder S/W</t>
  </si>
  <si>
    <t>West Bonner S/W</t>
  </si>
  <si>
    <t>Bottle Bay S/W</t>
  </si>
  <si>
    <t>Idaho Falls School #91</t>
  </si>
  <si>
    <t>Swan Valley School #92</t>
  </si>
  <si>
    <t>Ririe School #252</t>
  </si>
  <si>
    <t>Bonneville Co. Ambulance</t>
  </si>
  <si>
    <t>Lincoln Cemetery (Bonneville)</t>
  </si>
  <si>
    <t>Fire #1 - Bonneville</t>
  </si>
  <si>
    <t>Greater Swan Valley Fire</t>
  </si>
  <si>
    <t>Jefferson Central Fire</t>
  </si>
  <si>
    <t>Bonneville Alpine Fire</t>
  </si>
  <si>
    <t>Bonneville Cnty Rd</t>
  </si>
  <si>
    <t>College of Eastern Idaho</t>
  </si>
  <si>
    <t>Jefferson Abatement (Bonvl-Jeff)</t>
  </si>
  <si>
    <t>City of Bonners Ferry</t>
  </si>
  <si>
    <t>City of Moyie Springs</t>
  </si>
  <si>
    <t>Boundary School #101</t>
  </si>
  <si>
    <t>Boundary Ambulance</t>
  </si>
  <si>
    <t>South Boundary Fire</t>
  </si>
  <si>
    <t>Paradise Valley Fire</t>
  </si>
  <si>
    <t>Boundary Cnty Rd</t>
  </si>
  <si>
    <t>Boundary Cnty Library</t>
  </si>
  <si>
    <t>Butte School #111</t>
  </si>
  <si>
    <t>Mackay School #182</t>
  </si>
  <si>
    <t>Butte Co. Cemetery</t>
  </si>
  <si>
    <t>Lost River Fire</t>
  </si>
  <si>
    <t>Lost River Community Library</t>
  </si>
  <si>
    <t>Camas School #121</t>
  </si>
  <si>
    <t>Camas Co. Cemetery</t>
  </si>
  <si>
    <t>Camas Cnty Library</t>
  </si>
  <si>
    <t>Camas County Abatement</t>
  </si>
  <si>
    <t>Nampa School #131</t>
  </si>
  <si>
    <t>Caldwell School #132</t>
  </si>
  <si>
    <t>Wilder School #133</t>
  </si>
  <si>
    <t>Middleton School #134</t>
  </si>
  <si>
    <t>Notus School #135</t>
  </si>
  <si>
    <t>Parma School #137</t>
  </si>
  <si>
    <t>Vallivue School #139</t>
  </si>
  <si>
    <t>Marsing School #363</t>
  </si>
  <si>
    <t>Homedale School #370</t>
  </si>
  <si>
    <t>Nampa Fire</t>
  </si>
  <si>
    <t>Canyon County Abatement</t>
  </si>
  <si>
    <t>Middleton Recreation</t>
  </si>
  <si>
    <t>North Gem School #149</t>
  </si>
  <si>
    <t>Fairview Cemetery (Caribou)</t>
  </si>
  <si>
    <t>Freedom Fire</t>
  </si>
  <si>
    <t>Caribou Cnty Rd</t>
  </si>
  <si>
    <t>Cassia School #151</t>
  </si>
  <si>
    <t>Minidoka School #331</t>
  </si>
  <si>
    <t>American Falls School #381</t>
  </si>
  <si>
    <t>Murtaugh School #418</t>
  </si>
  <si>
    <t>Oakley Valley Cemetery</t>
  </si>
  <si>
    <t>Valley Vu Cemetery</t>
  </si>
  <si>
    <t>Albion Fire</t>
  </si>
  <si>
    <t>N. Cassia Fire</t>
  </si>
  <si>
    <t>Oakley Fire</t>
  </si>
  <si>
    <t>Raft River Fire</t>
  </si>
  <si>
    <t>Rock Creek Fire</t>
  </si>
  <si>
    <t>Ace Fire</t>
  </si>
  <si>
    <t>Albion Hwy</t>
  </si>
  <si>
    <t>Burley Hwy</t>
  </si>
  <si>
    <t>Elba-Almo (County Road)</t>
  </si>
  <si>
    <t>Murtaugh Hwy</t>
  </si>
  <si>
    <t>Oakley Hwy</t>
  </si>
  <si>
    <t>Raft River Hwy</t>
  </si>
  <si>
    <t>Oakley Free Library</t>
  </si>
  <si>
    <t>Clark School #161</t>
  </si>
  <si>
    <t>Orofino School #171</t>
  </si>
  <si>
    <t>Kendrick School #283</t>
  </si>
  <si>
    <t>Nez Perce School #302</t>
  </si>
  <si>
    <t>E. Whitepine School #288</t>
  </si>
  <si>
    <t>Clearwater Ambulance</t>
  </si>
  <si>
    <t>Elk River Cemetery</t>
  </si>
  <si>
    <t>N. Clearwater Cemetery</t>
  </si>
  <si>
    <t>Weseman Cemetery</t>
  </si>
  <si>
    <t>Orofino (Riverside) Cemetery</t>
  </si>
  <si>
    <t>Orofino Rural Fire</t>
  </si>
  <si>
    <t>Evergreen Fire</t>
  </si>
  <si>
    <t>Big Canyon Fire</t>
  </si>
  <si>
    <t>Grangemont Fire</t>
  </si>
  <si>
    <t>Weippe Fire</t>
  </si>
  <si>
    <t>Sunnyside Fire</t>
  </si>
  <si>
    <t>Twin Ridge Fire</t>
  </si>
  <si>
    <t>Greer Fire</t>
  </si>
  <si>
    <t>Upper Fords Creek Fire</t>
  </si>
  <si>
    <t>Clearwater Hwy.</t>
  </si>
  <si>
    <t>Clearwater Free Library</t>
  </si>
  <si>
    <t>Dworshak Rec</t>
  </si>
  <si>
    <t>Clearwater West Rec</t>
  </si>
  <si>
    <t>Elk River Rec</t>
  </si>
  <si>
    <t>Weippe Fraser Rec</t>
  </si>
  <si>
    <t>Pierce Rec</t>
  </si>
  <si>
    <t>Judgetown S/W</t>
  </si>
  <si>
    <t>Challis School #181</t>
  </si>
  <si>
    <t>S. Custer Ambulance</t>
  </si>
  <si>
    <t>N. Custer Fire</t>
  </si>
  <si>
    <t>S. Custer Fire</t>
  </si>
  <si>
    <t>Sawtooth Valley Fire</t>
  </si>
  <si>
    <t>Lost River Hwy</t>
  </si>
  <si>
    <t>N. Custer Hospital</t>
  </si>
  <si>
    <t>Mackay Free Library</t>
  </si>
  <si>
    <t>Battle Grnd Abatement</t>
  </si>
  <si>
    <t>Mackay Abatement</t>
  </si>
  <si>
    <t>Glenns Ferry School #192</t>
  </si>
  <si>
    <t>Mountain Home School #193</t>
  </si>
  <si>
    <t>Bliss School #234</t>
  </si>
  <si>
    <t>Bruneau-Grandview School #365</t>
  </si>
  <si>
    <t>Grandview Fire</t>
  </si>
  <si>
    <t>Mountain Home Fire</t>
  </si>
  <si>
    <t>King Hill Fire</t>
  </si>
  <si>
    <t>Atlanta Fire</t>
  </si>
  <si>
    <t>Oasis Fire</t>
  </si>
  <si>
    <t>Glenns Ferry Hwy</t>
  </si>
  <si>
    <t>Mountain Home Hwy</t>
  </si>
  <si>
    <t>Elmore Abatement</t>
  </si>
  <si>
    <t>Eastern Elmore Rec</t>
  </si>
  <si>
    <t>Western Elmore Rec</t>
  </si>
  <si>
    <t>Fairview Cemetery (Franklin)</t>
  </si>
  <si>
    <t>Franklin Co. Fire District</t>
  </si>
  <si>
    <t>Franklin Cnty Rd</t>
  </si>
  <si>
    <t>Franklin Co. Library</t>
  </si>
  <si>
    <t>Franklin Abatement</t>
  </si>
  <si>
    <t>Fremont School #215</t>
  </si>
  <si>
    <t>Sugar-Salem School #322</t>
  </si>
  <si>
    <t>Fremont Co. Ambulance</t>
  </si>
  <si>
    <t>N. Fremont Cemetery</t>
  </si>
  <si>
    <t>Parker Cemetery</t>
  </si>
  <si>
    <t>Riverview Cemetery (Fremont)</t>
  </si>
  <si>
    <t>Squirrel Cemetery</t>
  </si>
  <si>
    <t>Wilford Cemetery</t>
  </si>
  <si>
    <t>Hamer Fire</t>
  </si>
  <si>
    <t>N. Fremont Fire</t>
  </si>
  <si>
    <t>S. Fremont Fire</t>
  </si>
  <si>
    <t>Island Park Fire</t>
  </si>
  <si>
    <t>Fremont Cnty Rd</t>
  </si>
  <si>
    <t>N. Fremont Hospital</t>
  </si>
  <si>
    <t>Fremont Library</t>
  </si>
  <si>
    <t>Sugar-Salem Library</t>
  </si>
  <si>
    <t>Fort Henry Abatement</t>
  </si>
  <si>
    <t>Gem County Fire #1</t>
  </si>
  <si>
    <t>Gem County Fire #2</t>
  </si>
  <si>
    <t>Gem Cnty Rd</t>
  </si>
  <si>
    <t>Gem County Abatement</t>
  </si>
  <si>
    <t>Gooding School #231</t>
  </si>
  <si>
    <t>Wendell School #232</t>
  </si>
  <si>
    <t>Hagerman School #233</t>
  </si>
  <si>
    <t>Jerome School #261</t>
  </si>
  <si>
    <t>Buhl School #412</t>
  </si>
  <si>
    <t>Gooding Fire</t>
  </si>
  <si>
    <t>Hagerman Fire</t>
  </si>
  <si>
    <t>Wendell Fire</t>
  </si>
  <si>
    <t>Cottonwood School #242</t>
  </si>
  <si>
    <t>Kamiah School #304</t>
  </si>
  <si>
    <t>Highland School #305</t>
  </si>
  <si>
    <t>Mountain View School #244</t>
  </si>
  <si>
    <t>Keuterville Hwy</t>
  </si>
  <si>
    <t>Kidder-Harris Hwy</t>
  </si>
  <si>
    <t>Idaho Cnty Rd</t>
  </si>
  <si>
    <t>Prairie-River Library</t>
  </si>
  <si>
    <t>Whitebird Area Recreation</t>
  </si>
  <si>
    <t>Jefferson School #251</t>
  </si>
  <si>
    <t>W. Jefferson School #253</t>
  </si>
  <si>
    <t>W. Jefferson Ambulance</t>
  </si>
  <si>
    <t>Lewisville #5 Cemetery</t>
  </si>
  <si>
    <t>Little Butte #3 Cemetery</t>
  </si>
  <si>
    <t>Pioneer #1 Cemetery</t>
  </si>
  <si>
    <t>Roberts #6 Cemetery</t>
  </si>
  <si>
    <t>W. Jefferson Memorial Cemetery</t>
  </si>
  <si>
    <t>W. Jefferson Fire</t>
  </si>
  <si>
    <t>Roberts Fire</t>
  </si>
  <si>
    <t>Jefferson Cnty Rd</t>
  </si>
  <si>
    <t>W. Jefferson Library</t>
  </si>
  <si>
    <t>Roberts Abatement</t>
  </si>
  <si>
    <t>Midway Abatement</t>
  </si>
  <si>
    <t>Valley School #262</t>
  </si>
  <si>
    <t>Shoshone School #312</t>
  </si>
  <si>
    <t>Jerome County Cemetery</t>
  </si>
  <si>
    <t>Jerome #1 Fire</t>
  </si>
  <si>
    <t>West End Fire</t>
  </si>
  <si>
    <t>Hillsdale Hwy</t>
  </si>
  <si>
    <t>Jerome #7 Hwy</t>
  </si>
  <si>
    <t>So. Id Jr College</t>
  </si>
  <si>
    <t>Jerome Recreation</t>
  </si>
  <si>
    <t>Coeur d'Alene School #271</t>
  </si>
  <si>
    <t>Post Falls School #273</t>
  </si>
  <si>
    <t>Kellogg School #391</t>
  </si>
  <si>
    <t>Kootenai Ambulance</t>
  </si>
  <si>
    <t>Shoshone County #2 Fire</t>
  </si>
  <si>
    <t>Mica Kidd Island Fire</t>
  </si>
  <si>
    <t>Kootenai Fire &amp; Rescue</t>
  </si>
  <si>
    <t>Twin Lakes Rathdrum F/C #17</t>
  </si>
  <si>
    <t>East Side Highway #3</t>
  </si>
  <si>
    <t>No. Id Jr College</t>
  </si>
  <si>
    <t>Community Library Network</t>
  </si>
  <si>
    <t>Kidd Island Bay Lots Swr</t>
  </si>
  <si>
    <t>Hayden Lake Watershed</t>
  </si>
  <si>
    <t>Moscow School #281</t>
  </si>
  <si>
    <t>Genesee School #282</t>
  </si>
  <si>
    <t>Potlatch School #285</t>
  </si>
  <si>
    <t>Troy School #287</t>
  </si>
  <si>
    <t>Deary-Bovill Cemetery</t>
  </si>
  <si>
    <t>Viola-Rock Creek Cemetery</t>
  </si>
  <si>
    <t>Woodfell-Mendenhall Cemetery</t>
  </si>
  <si>
    <t>Deary Fire</t>
  </si>
  <si>
    <t>Genesee Fire</t>
  </si>
  <si>
    <t>Moscow Fire</t>
  </si>
  <si>
    <t>North Latah Fire</t>
  </si>
  <si>
    <t>Potlatch Fire</t>
  </si>
  <si>
    <t>Troy Fire</t>
  </si>
  <si>
    <t>Bovill Fire</t>
  </si>
  <si>
    <t>North Latah Hwy</t>
  </si>
  <si>
    <t>South Latah Hwy</t>
  </si>
  <si>
    <t>Latah Library</t>
  </si>
  <si>
    <t>J. K. Recreation</t>
  </si>
  <si>
    <t>Salmon School #291</t>
  </si>
  <si>
    <t>S. Lemhi School #292</t>
  </si>
  <si>
    <t>Elk Bend Fire</t>
  </si>
  <si>
    <t>Lemhi Fire</t>
  </si>
  <si>
    <t>N. Fork Fire</t>
  </si>
  <si>
    <t>Lemhi Library</t>
  </si>
  <si>
    <t>City of Nez Perce</t>
  </si>
  <si>
    <t>Culdesac School #342</t>
  </si>
  <si>
    <t>Reubens Comm. Ctr.</t>
  </si>
  <si>
    <t>Nezperce-Russell Cemetery</t>
  </si>
  <si>
    <t>Nez Perce Rural Fire</t>
  </si>
  <si>
    <t>Central Hwy</t>
  </si>
  <si>
    <t>Evergreen Hwy</t>
  </si>
  <si>
    <t>Kamiah Hwy</t>
  </si>
  <si>
    <t>North Hwy</t>
  </si>
  <si>
    <t>Prairie Hwy</t>
  </si>
  <si>
    <t>Dietrich School #314</t>
  </si>
  <si>
    <t>Richfield School #316</t>
  </si>
  <si>
    <t>Lincoln Cnty Cemetery</t>
  </si>
  <si>
    <t>Shoshone City &amp; Rural Fire</t>
  </si>
  <si>
    <t>Richfield Fire</t>
  </si>
  <si>
    <t>Dietrich Fire</t>
  </si>
  <si>
    <t>Lincoln Cnty Recreation</t>
  </si>
  <si>
    <t>Madison School #321</t>
  </si>
  <si>
    <t>Madison Cnty Fire</t>
  </si>
  <si>
    <t>Madison Cnty Rd</t>
  </si>
  <si>
    <t>Madison Library</t>
  </si>
  <si>
    <t>Madison Cnty Abatement</t>
  </si>
  <si>
    <t>Heyburn #3 Cemetery</t>
  </si>
  <si>
    <t>Paul #2 Cemetery</t>
  </si>
  <si>
    <t>Rupert-Acequia #1 Cemetery</t>
  </si>
  <si>
    <t>Minidoka Hwy</t>
  </si>
  <si>
    <t>Lewiston School #340</t>
  </si>
  <si>
    <t>Lapwai School #341</t>
  </si>
  <si>
    <t>Wheatland Fire</t>
  </si>
  <si>
    <t>Nez Perce Cnty Rd</t>
  </si>
  <si>
    <t>Port Of Lewiston</t>
  </si>
  <si>
    <t>Central Orchards Swr</t>
  </si>
  <si>
    <t>Oneida School #351</t>
  </si>
  <si>
    <t>Pleasant View Cemetery</t>
  </si>
  <si>
    <t>Oneida Cnty Fire</t>
  </si>
  <si>
    <t>Oneida Co Library</t>
  </si>
  <si>
    <t>Pleasant Valley School #364</t>
  </si>
  <si>
    <t>Three Creek School #416</t>
  </si>
  <si>
    <t>Castleford School #417</t>
  </si>
  <si>
    <t>Riverside-Owyhee Cemetery</t>
  </si>
  <si>
    <t>Bruneau Fire</t>
  </si>
  <si>
    <t>Murphy-Reynolds-Wilson Fire</t>
  </si>
  <si>
    <t>Gem Hwy</t>
  </si>
  <si>
    <t>Homedale Hwy</t>
  </si>
  <si>
    <t>Three Creek Hwy</t>
  </si>
  <si>
    <t>Owyhee Cnty Rd</t>
  </si>
  <si>
    <t>Payette School #371</t>
  </si>
  <si>
    <t>New Plymouth School #372</t>
  </si>
  <si>
    <t>Fruitland School #373</t>
  </si>
  <si>
    <t>Payette Ambulance</t>
  </si>
  <si>
    <t>Riverside (Payette) Cemetery</t>
  </si>
  <si>
    <t>Payette County Gopher</t>
  </si>
  <si>
    <t>Payette Cnty Rd</t>
  </si>
  <si>
    <t>Payette Abatement</t>
  </si>
  <si>
    <t>Rockland School #382</t>
  </si>
  <si>
    <t>Arbon School #383</t>
  </si>
  <si>
    <t>Power Ambulance</t>
  </si>
  <si>
    <t>Valleyview (Rockland) Cemetery</t>
  </si>
  <si>
    <t>American Falls Fire</t>
  </si>
  <si>
    <t>Eastern Power Cnty Fire</t>
  </si>
  <si>
    <t>Rockland Fire</t>
  </si>
  <si>
    <t>Power County Hwy</t>
  </si>
  <si>
    <t>Power County Hospital</t>
  </si>
  <si>
    <t>Power Abatement</t>
  </si>
  <si>
    <t>Mullan School #392</t>
  </si>
  <si>
    <t>Wallace School #393</t>
  </si>
  <si>
    <t>Avery School #394</t>
  </si>
  <si>
    <t>Shoshone Fire #3</t>
  </si>
  <si>
    <t>St. Joe Valley Fire</t>
  </si>
  <si>
    <t>Clarkia Hwy</t>
  </si>
  <si>
    <t>Clarkia Free Library</t>
  </si>
  <si>
    <t>Kingston Wtr</t>
  </si>
  <si>
    <t>Teton School #401</t>
  </si>
  <si>
    <t>Cache Clawson Cemetery</t>
  </si>
  <si>
    <t>Driggs Darby Cemetery</t>
  </si>
  <si>
    <t>Teton County Fire</t>
  </si>
  <si>
    <t>Teton Cnty Rd</t>
  </si>
  <si>
    <t>Valley Of Tetons Library</t>
  </si>
  <si>
    <t>Teton Abatement</t>
  </si>
  <si>
    <t>Twin Falls School #411</t>
  </si>
  <si>
    <t>Filer School #413</t>
  </si>
  <si>
    <t>Kimberly School #414</t>
  </si>
  <si>
    <t>Hansen School #415</t>
  </si>
  <si>
    <t>Twin Falls Ambulance</t>
  </si>
  <si>
    <t>Filer Cemetery</t>
  </si>
  <si>
    <t>Twin Falls Rural Fire</t>
  </si>
  <si>
    <t>Castleford Fire</t>
  </si>
  <si>
    <t>Buhl Fire</t>
  </si>
  <si>
    <t>Salmon Tract Fire</t>
  </si>
  <si>
    <t>Filer Rural Fire</t>
  </si>
  <si>
    <t>Buhl Hwy</t>
  </si>
  <si>
    <t>Filer Hwy</t>
  </si>
  <si>
    <t>Twin Falls Hwy</t>
  </si>
  <si>
    <t>Twin Falls Abatement</t>
  </si>
  <si>
    <t>Cascade School #422</t>
  </si>
  <si>
    <t>Cascade Rural Fire</t>
  </si>
  <si>
    <t>McCall Fire</t>
  </si>
  <si>
    <t>Donnelly Fire</t>
  </si>
  <si>
    <t>Valley Cnty Rd</t>
  </si>
  <si>
    <t>Payette Lakes Rec. S/W</t>
  </si>
  <si>
    <t>North Lake S/W</t>
  </si>
  <si>
    <t>S. Lake Rec. S/W</t>
  </si>
  <si>
    <t>Warm Lake Rec. Wtr</t>
  </si>
  <si>
    <t>Weiser School #431</t>
  </si>
  <si>
    <t>Midvale School #433</t>
  </si>
  <si>
    <t>Washington Co. Rodent Control</t>
  </si>
  <si>
    <t>Cambridge Rural Fire</t>
  </si>
  <si>
    <t>Weiser Area Fire #1</t>
  </si>
  <si>
    <t>Weiser Valley Hwy</t>
  </si>
  <si>
    <t>Washington Cnty Rd</t>
  </si>
  <si>
    <t>Cambridge Comm. Library</t>
  </si>
  <si>
    <t>Ada</t>
  </si>
  <si>
    <t>Adams</t>
  </si>
  <si>
    <t>Bannock</t>
  </si>
  <si>
    <t>Benewah</t>
  </si>
  <si>
    <t>Bingham</t>
  </si>
  <si>
    <t>Boise</t>
  </si>
  <si>
    <t>Bonner</t>
  </si>
  <si>
    <t>Bonneville</t>
  </si>
  <si>
    <t>Boundary</t>
  </si>
  <si>
    <t>Butte</t>
  </si>
  <si>
    <t>Camas</t>
  </si>
  <si>
    <t>Canyon</t>
  </si>
  <si>
    <t>Caribou</t>
  </si>
  <si>
    <t>Cassia</t>
  </si>
  <si>
    <t>Clark</t>
  </si>
  <si>
    <t>Clearwater</t>
  </si>
  <si>
    <t>Custer</t>
  </si>
  <si>
    <t>Elmore</t>
  </si>
  <si>
    <t>Franklin</t>
  </si>
  <si>
    <t>Fremont</t>
  </si>
  <si>
    <t>Gem</t>
  </si>
  <si>
    <t>Gooding</t>
  </si>
  <si>
    <t>Idaho</t>
  </si>
  <si>
    <t>Jefferson</t>
  </si>
  <si>
    <t>Jerome</t>
  </si>
  <si>
    <t>Kootenai</t>
  </si>
  <si>
    <t>Latah</t>
  </si>
  <si>
    <t>Lemhi</t>
  </si>
  <si>
    <t>Lewis</t>
  </si>
  <si>
    <t>Lincoln</t>
  </si>
  <si>
    <t>Madison</t>
  </si>
  <si>
    <t>Minidoka</t>
  </si>
  <si>
    <t>Oneida</t>
  </si>
  <si>
    <t>Owyhee</t>
  </si>
  <si>
    <t>Payette</t>
  </si>
  <si>
    <t>Shoshone</t>
  </si>
  <si>
    <t>Teton</t>
  </si>
  <si>
    <t>Valley</t>
  </si>
  <si>
    <t>Washington</t>
  </si>
  <si>
    <t>TwinFalls</t>
  </si>
  <si>
    <t>NezPerce</t>
  </si>
  <si>
    <t>BearLake</t>
  </si>
  <si>
    <t>JointDistricts</t>
  </si>
  <si>
    <t>JointCounties</t>
  </si>
  <si>
    <t>Blaine</t>
  </si>
  <si>
    <t>CoName</t>
  </si>
  <si>
    <t>CatName</t>
  </si>
  <si>
    <t>joint_FLAG</t>
  </si>
  <si>
    <t>.</t>
  </si>
  <si>
    <t>Roads &amp; Highways</t>
  </si>
  <si>
    <t>Sewer Incl Rec Sewer</t>
  </si>
  <si>
    <t>Ag Equipment Replacement</t>
  </si>
  <si>
    <t>Yes/No</t>
  </si>
  <si>
    <t>Yes</t>
  </si>
  <si>
    <t>No</t>
  </si>
  <si>
    <t>District's Existing Forgone Balance:</t>
  </si>
  <si>
    <t>Does this district have expiring Urban Renewal?</t>
  </si>
  <si>
    <t xml:space="preserve">      (not including Operating Property)</t>
  </si>
  <si>
    <t>Does this district receive Solar Farm Tax?</t>
  </si>
  <si>
    <t>Name of County or Counties This District Resides In:</t>
  </si>
  <si>
    <t>Green cells require you to enter information</t>
  </si>
  <si>
    <t>White cells have values calculated/filled automatically</t>
  </si>
  <si>
    <t>Enter Amount of Forgone to be Recovered for Capital Projects:</t>
  </si>
  <si>
    <t>New Construction &amp; Annexation Growth</t>
  </si>
  <si>
    <t>Expiring Urban Renewal Growth (not subject to 8% cap)</t>
  </si>
  <si>
    <t>Capped Growth (max 8%)</t>
  </si>
  <si>
    <t>NON-LEVIED FUNDS (must net zero)</t>
  </si>
  <si>
    <t>(24)</t>
  </si>
  <si>
    <t>Expiring UR for Budget</t>
  </si>
  <si>
    <t>Amount Received for Solar Farm Tax (prior year)</t>
  </si>
  <si>
    <t>(25)</t>
  </si>
  <si>
    <t>80% of expiring Urban Renewal value</t>
  </si>
  <si>
    <t>Total expiring Urban Renewal value</t>
  </si>
  <si>
    <t>Enter amount received from recovered homeowner's exemptions:</t>
  </si>
  <si>
    <t>(26)</t>
  </si>
  <si>
    <t>(27)</t>
  </si>
  <si>
    <t>(28)</t>
  </si>
  <si>
    <t>Total of Columns 3-6 (Recovered/Recapured Property Tax and Refund List)</t>
  </si>
  <si>
    <t>Did this district receive income from recovered homeowner's exemptions?</t>
  </si>
  <si>
    <t>(C) Increment Value of Post-2007 RAAs</t>
  </si>
  <si>
    <t>Net Value plus Post-2007 RAA Increment Only (A+C)</t>
  </si>
  <si>
    <t>Percent Base Budget Growth Requested (max 3%)</t>
  </si>
  <si>
    <t>User Type</t>
  </si>
  <si>
    <t>County Official</t>
  </si>
  <si>
    <t>Local District</t>
  </si>
  <si>
    <t>Enter values or select text in the fields that are this color:</t>
  </si>
  <si>
    <t>If prompted by a yellow banner near the top, select "Enable editing" or "Enable content"</t>
  </si>
  <si>
    <t>"Recovered/Recaptured Property Tax and Refund List" form data</t>
  </si>
  <si>
    <t>Enter the value of the expiring Urban Renewal (at 100% value):</t>
  </si>
  <si>
    <t>Fields that turn red are above their cap or conflict with another field:</t>
  </si>
  <si>
    <t>Incorrect values</t>
  </si>
  <si>
    <t>If prompted: click "Enable Editing" or "Enable Content" on Excel Workbook</t>
  </si>
  <si>
    <t>Red cells are in conflict with other data or exceed a cap</t>
  </si>
  <si>
    <t>Select District Name from Drop Down Menu:</t>
  </si>
  <si>
    <t>In an effort to simplify the L-2 process, we have given the L-2 form a "Dashboard" tab.</t>
  </si>
  <si>
    <t>Max Forgone Allowed to Recover for Capital Projects (up to 3%):</t>
  </si>
  <si>
    <t>Please complete and submit a resolution to recover forgone</t>
  </si>
  <si>
    <t>*Leave Blank if No U/R Increment added; 1 = All increment added; 2 = Post-2007 RAA increment added; 3 = Annexation increment added.</t>
  </si>
  <si>
    <t>Hayden Lake Sewer</t>
  </si>
  <si>
    <t>Highway District #1 (Payette)</t>
  </si>
  <si>
    <t>North Blaine County Fire</t>
  </si>
  <si>
    <t>Non-exempt P-tax Budget with selected base budget growth (Including Forgone)</t>
  </si>
  <si>
    <t>Non-exempt P-tax Budget with selected base budget growth (Excluding Forgone)</t>
  </si>
  <si>
    <t>*</t>
  </si>
  <si>
    <t>*These preliminary levy rates will vary based on the selected base budget growth.</t>
  </si>
  <si>
    <t>So they will get less money for N/C if they are not taking the full 3% also.</t>
  </si>
  <si>
    <t>First Segregation Fire</t>
  </si>
  <si>
    <t>Wilder Public Library</t>
  </si>
  <si>
    <t xml:space="preserve">     (reported by County Assessor at 90%)</t>
  </si>
  <si>
    <t>Solar Farm Tax (current year)</t>
  </si>
  <si>
    <t>Maximum Allowable Non-Exempt Property Tax That Can Be Levied (Including Forgone Amount):</t>
  </si>
  <si>
    <t>Preliminary Levy Rate for New Construction:</t>
  </si>
  <si>
    <t>New Construction, Annexation, &amp; Expiring Urban Renewal Allowable Budget Increases Calculation:</t>
  </si>
  <si>
    <t>90% of Annexation Value Assessed by County</t>
  </si>
  <si>
    <t xml:space="preserve">Annexation Budget Increase </t>
  </si>
  <si>
    <t>(29)</t>
  </si>
  <si>
    <t>(30)</t>
  </si>
  <si>
    <t>(31)</t>
  </si>
  <si>
    <t>2013Personal Property Replacement</t>
  </si>
  <si>
    <t>2022Personal Property Replacement</t>
  </si>
  <si>
    <t>Southside S/W</t>
  </si>
  <si>
    <t>Ellisport Bay Sewer</t>
  </si>
  <si>
    <t>Taylor Mountain S/W</t>
  </si>
  <si>
    <t>City Bond</t>
  </si>
  <si>
    <t>Nampa City Bond</t>
  </si>
  <si>
    <t>Kootenai Hospital</t>
  </si>
  <si>
    <t>Shoshone County Road &amp; Bridge</t>
  </si>
  <si>
    <t>Avery S/W</t>
  </si>
  <si>
    <t>CoNum</t>
  </si>
  <si>
    <t>CatNum</t>
  </si>
  <si>
    <t>DistNum</t>
  </si>
  <si>
    <t>(32)</t>
  </si>
  <si>
    <t>2023 Net Taxable Value+Sub-roll</t>
  </si>
  <si>
    <t>NewConstruction</t>
  </si>
  <si>
    <t>Annexations</t>
  </si>
  <si>
    <t>ExpiringUR</t>
  </si>
  <si>
    <t>SolarTaxPriorYear</t>
  </si>
  <si>
    <t>SolarTaxCurrentYear</t>
  </si>
  <si>
    <t>RecHE</t>
  </si>
  <si>
    <t>OtherReductions</t>
  </si>
  <si>
    <t>ForgoneRecovered_general</t>
  </si>
  <si>
    <t>ForgoneRecovered_capitalprojects</t>
  </si>
  <si>
    <t>NewConstructionBudgetIncrease</t>
  </si>
  <si>
    <t>AnnexBudgetIncrease</t>
  </si>
  <si>
    <t>8% Capped?</t>
  </si>
  <si>
    <t>ExpiringUR_BudgetIncrease</t>
  </si>
  <si>
    <t>MaxNonExemptLevy</t>
  </si>
  <si>
    <t>ExemptLeviedAmount</t>
  </si>
  <si>
    <t>Non-ExemptLeviedAmount</t>
  </si>
  <si>
    <t>2023ActualForgone</t>
  </si>
  <si>
    <t>2023ReservedForgone</t>
  </si>
  <si>
    <t>2023RecoveredForgone</t>
  </si>
  <si>
    <t>User Type:  Local District or County Official?</t>
  </si>
  <si>
    <t>2013 Personal Property Replacement</t>
  </si>
  <si>
    <t>2022 Personal Property Replacement</t>
  </si>
  <si>
    <t>Instructions &amp; Notes</t>
  </si>
  <si>
    <t>GrowthLostTo8%Cap</t>
  </si>
  <si>
    <t>Other Revenue/HB292 Funds for Schools</t>
  </si>
  <si>
    <t>Replacements Listed</t>
  </si>
  <si>
    <t>Must use special County with County Road &amp; Bridge form</t>
  </si>
  <si>
    <t>3% Budget Increase</t>
  </si>
  <si>
    <t>NCPrelimLevyRate</t>
  </si>
  <si>
    <t>AnnexPrelimLevyRate</t>
  </si>
  <si>
    <t xml:space="preserve">If a district is levying this year but does not appear in the district list, contact Ben Seloske for assistance at (208) 334-7541 or ben.seloske@tax.idaho.gov </t>
  </si>
  <si>
    <t>Printed Name</t>
  </si>
  <si>
    <t>NetTaxableValueForLevyRateCalculation</t>
  </si>
  <si>
    <t>IncrementValue</t>
  </si>
  <si>
    <t>Post2007IncrementValue</t>
  </si>
  <si>
    <t>NonExemptLevyRate</t>
  </si>
  <si>
    <t>ExemptLevyRate</t>
  </si>
  <si>
    <t>TotalLevyRate</t>
  </si>
  <si>
    <t>2024 L-2 DASHBOARD</t>
  </si>
  <si>
    <t>2024 Dollar Certification of Budget Request to Board of County Commissioners L-2</t>
  </si>
  <si>
    <t>2024 L-2 Worksheet</t>
  </si>
  <si>
    <t>2023 Value of District's Operating Property from Each Applicable County:</t>
  </si>
  <si>
    <t>2024 District's Net Taxable Value &amp; Estimated Sub-roll from Each Applicable County:</t>
  </si>
  <si>
    <t>2024 Value of District's New Construction Roll from Each Applicable County:</t>
  </si>
  <si>
    <t>2024 Value of District's Annexed Property:</t>
  </si>
  <si>
    <t>2024 Full Taxable Value of Annexation from Property Assessed by County</t>
  </si>
  <si>
    <t>2024 Expiring Urban Renewal:</t>
  </si>
  <si>
    <t>Solar Farm Tax:</t>
  </si>
  <si>
    <t>(3a)</t>
  </si>
  <si>
    <t>(3b)</t>
  </si>
  <si>
    <t>(3c)</t>
  </si>
  <si>
    <t>(3d)</t>
  </si>
  <si>
    <t>(6a)</t>
  </si>
  <si>
    <t>(6b)</t>
  </si>
  <si>
    <t>(6c)</t>
  </si>
  <si>
    <t>(6d)</t>
  </si>
  <si>
    <t>New Construction Roll Allowable Budget Increase (multiply line 5 by line 6)</t>
  </si>
  <si>
    <t>Total New Construction Roll (NOT including expiring Urban Renewal) (total of lines 6a thru 6d)</t>
  </si>
  <si>
    <t>2024 New Construction Preliminary Levy Rate ((line 1 + line 2)/(line 3 + line 4))</t>
  </si>
  <si>
    <t>Total 2024 Net Taxable Value &amp; Estimated Sub-roll (total of lines 4a thru 4d):</t>
  </si>
  <si>
    <t>Total 2023 Operating Property Value (total of lines 3a thru 3d):</t>
  </si>
  <si>
    <t>Estimated Value of Annexed Operating Property (line 8 divided by line 4, then multiplied by line 3)</t>
  </si>
  <si>
    <t>2024 annexation preliminary levy rate ((line 1 + line 2)/(line 3 + line 4 + line 10))</t>
  </si>
  <si>
    <t>Annexation allowable budget increase (multiply line 9 by line 11)</t>
  </si>
  <si>
    <t>Expiring Urban Renewal budget increase (line 5 multiplied by line 14)</t>
  </si>
  <si>
    <t>Total uncapped budget growth potential (Add lines 1+2+7+12+15)</t>
  </si>
  <si>
    <t>Total capped growth (max 8%) (line 1 X 1.08 + line 15)</t>
  </si>
  <si>
    <t>(33)</t>
  </si>
  <si>
    <t>(34)</t>
  </si>
  <si>
    <t>Total 2024 Net Taxable Value + Estimated Sub-roll:</t>
  </si>
  <si>
    <t>Enter 2024 New Construction value:</t>
  </si>
  <si>
    <t>Enter current year's amount of Solar Farm Tax here (7/1/23 - 6/30/24):</t>
  </si>
  <si>
    <t xml:space="preserve">     (reported by County Assessor at 100%)</t>
  </si>
  <si>
    <t>Enter the value of the annexed area:</t>
  </si>
  <si>
    <t>Non-Exempt Budget Increase Calculation Summary</t>
  </si>
  <si>
    <t>Change in Solar Farm Tax (affects levying authority)</t>
  </si>
  <si>
    <t>Non-exempt P-tax Budget with selected base budget growth (before subtractions)</t>
  </si>
  <si>
    <t>Annexation Preliminary Levy Rate (based on selected base budget increase)</t>
  </si>
  <si>
    <t>New Construction Preliminary Levy Rate (based on selected base budget increase)</t>
  </si>
  <si>
    <t>Selected Base Budget Growth (up to 3% of line 1)</t>
  </si>
  <si>
    <t>Property Tax Replacement Plus Solar (Line 24 + Line 26 of 
'L-2 Worksheet')</t>
  </si>
  <si>
    <t>Does the "Recovered/Recaptured Property Tax and Refund List" form have any amounts in columns 3 or 4 for this district? (Other reductions)</t>
  </si>
  <si>
    <t>New construction budget increase</t>
  </si>
  <si>
    <t>commonkey</t>
  </si>
  <si>
    <t>North End Recreation</t>
  </si>
  <si>
    <t>Homedale Library</t>
  </si>
  <si>
    <t>Salmon River Ambulance</t>
  </si>
  <si>
    <t>N. Kootenai Water</t>
  </si>
  <si>
    <t>Green Ferry Sewer &amp; Water</t>
  </si>
  <si>
    <t>2023 Non-Exempt Budget plus replacements</t>
  </si>
  <si>
    <t>2021 Non-Exempt Budget plus Replacements</t>
  </si>
  <si>
    <t>2022 Non-Exempt Budget plus replacements</t>
  </si>
  <si>
    <t>2023 Forgone</t>
  </si>
  <si>
    <t>Enter any other reductions to levying authority for 2024 (columns 3 or 4 of that form):</t>
  </si>
  <si>
    <t>Additional revenues to be subtracted from levying authority:</t>
  </si>
  <si>
    <t>Forgone Amounts Section:</t>
  </si>
  <si>
    <t>Effect of 8% cap on new construction &amp; annexation increases</t>
  </si>
  <si>
    <t>Max Forgone Allowed to Recover for Maintenance &amp; Operations (up to 1%):</t>
  </si>
  <si>
    <t>Enter Amount of Forgone to be Recovered for Maintenance &amp; Operations:</t>
  </si>
  <si>
    <t>Solar Farm Tax received in the prior year (7/1/22 - 6/30/23)</t>
  </si>
  <si>
    <t>Solar Farm Tax received in the current year (7/1/23 - 6/30/24)</t>
  </si>
  <si>
    <t>Recovered Homeowner's Exemption property tax</t>
  </si>
  <si>
    <t>Total of lines 19 thru 23</t>
  </si>
  <si>
    <t>Yearly amount of the agricultural equipment replacement money</t>
  </si>
  <si>
    <t>Yearly amount of the 2013 personal property replacement money</t>
  </si>
  <si>
    <t>Yearly amount of the 2022 personal property replacement money</t>
  </si>
  <si>
    <t>This section summarizes the allowable increases from the highest non-exempt property tax budget of the last 3 years (including replacements other than solar farm tax)
(see 'L-2 worksheet' tab for calculation detail)</t>
  </si>
  <si>
    <t>McCall Memorial Hospital</t>
  </si>
  <si>
    <t>Cascade Medical Center</t>
  </si>
  <si>
    <t>Shoshone County Ambulance</t>
  </si>
  <si>
    <t>Highest Last 3 Years including replacements except solar (less forgone recovered for capital projects)</t>
  </si>
  <si>
    <t>Allowable Base Budget Calculation:</t>
  </si>
  <si>
    <t>Other reductions reported in columns 3 and 4 of the Recovered/Recaptured Property Tax list</t>
  </si>
  <si>
    <t>LevyRateWoutSDFF</t>
  </si>
  <si>
    <t>Property Tax Replacements:</t>
  </si>
  <si>
    <t>2023 Solar Farm Tax Rev</t>
  </si>
  <si>
    <t>Total non-exempt budget increase</t>
  </si>
  <si>
    <t>Base budget increase selected (up to 3% selected above)</t>
  </si>
  <si>
    <t>Extra increase to the maximum budget from forgone amounts 
      (Capital Projects)</t>
  </si>
  <si>
    <t>Extra increase to the maximum budget from forgone amounts 
      (Maintenance &amp; Operations)</t>
  </si>
  <si>
    <t>Other reductions to levying authority</t>
  </si>
  <si>
    <t>Idaho City Fire</t>
  </si>
  <si>
    <t>2023_OperatingProperty</t>
  </si>
  <si>
    <r>
      <rPr>
        <b/>
        <sz val="12"/>
        <color theme="1"/>
        <rFont val="Calibri"/>
        <family val="2"/>
        <scheme val="minor"/>
      </rPr>
      <t>Dashboard tab</t>
    </r>
    <r>
      <rPr>
        <sz val="12"/>
        <color theme="1"/>
        <rFont val="Calibri"/>
        <family val="2"/>
        <scheme val="minor"/>
      </rPr>
      <t xml:space="preserve"> - input all values for calculating the maximum allowable non-exempt property tax budget</t>
    </r>
  </si>
  <si>
    <r>
      <rPr>
        <b/>
        <sz val="12"/>
        <color theme="1"/>
        <rFont val="Calibri"/>
        <family val="2"/>
        <scheme val="minor"/>
      </rPr>
      <t>L-2 Worksheet</t>
    </r>
    <r>
      <rPr>
        <sz val="12"/>
        <color theme="1"/>
        <rFont val="Calibri"/>
        <family val="2"/>
        <scheme val="minor"/>
      </rPr>
      <t xml:space="preserve"> - review the calculation of the maximum allowable non-exempt property tax budget</t>
    </r>
  </si>
  <si>
    <r>
      <rPr>
        <b/>
        <sz val="12"/>
        <color theme="1"/>
        <rFont val="Calibri"/>
        <family val="2"/>
        <scheme val="minor"/>
      </rPr>
      <t>L-2 Dollar Certification</t>
    </r>
    <r>
      <rPr>
        <sz val="12"/>
        <color theme="1"/>
        <rFont val="Calibri"/>
        <family val="2"/>
        <scheme val="minor"/>
      </rPr>
      <t xml:space="preserve"> - input budget figures for the current year's budget certification</t>
    </r>
  </si>
  <si>
    <t>Does this district have annexation value for 2024?</t>
  </si>
  <si>
    <t>8-30-3</t>
  </si>
  <si>
    <t>23-30-3</t>
  </si>
  <si>
    <t>8-3-50</t>
  </si>
  <si>
    <t>23-3-50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</si>
</sst>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_(* #,##0_);_(* \(#,##0\);_(* &quot;-&quot;??_);_(@_)"/>
    <numFmt numFmtId="166" formatCode="&quot;District Name:&quot;\ #"/>
    <numFmt numFmtId="167" formatCode="0.000000000"/>
    <numFmt numFmtId="168" formatCode="_(&quot;$&quot;* #,##0_);_(&quot;$&quot;* \(#,##0\);_(&quot;$&quot;* &quot;-&quot;??_);_(@_)"/>
    <numFmt numFmtId="169" formatCode="yyyy"/>
    <numFmt numFmtId="170" formatCode="m/d/yyyy;@"/>
    <numFmt numFmtId="171" formatCode="0.000%"/>
    <numFmt numFmtId="172" formatCode="&quot;Max Non-exempt P-tax Budget Less Solar: &quot;\ &quot;$&quot;#,##0"/>
    <numFmt numFmtId="173" formatCode="&quot;Forgone Balance: &quot;\ &quot;$&quot;#,##0"/>
    <numFmt numFmtId="174" formatCode="&quot;U/R Key Code: (&quot;#&quot;)&quot;"/>
    <numFmt numFmtId="175" formatCode="#,##0.000000000_);\(#,##0.000000000\)"/>
    <numFmt numFmtId="176" formatCode="0.0%"/>
    <numFmt numFmtId="177" formatCode="&quot;This value is over the limit&quot;\ #"/>
    <numFmt numFmtId="178" formatCode="_(* #,##0.000000000_);_(* \(#,##0.000000000\);_(* &quot;-&quot;??_);_(@_)"/>
  </numFmts>
  <fonts count="31" x14ac:knownFonts="1">
    <font>
      <sz val="12"/>
      <color theme="1"/>
      <name val="Calibri"/>
      <family val="2"/>
      <scheme val="minor"/>
    </font>
    <font>
      <u/>
      <sz val="12"/>
      <color theme="10"/>
      <name val="Calibri"/>
      <family val="2"/>
      <scheme val="minor"/>
    </font>
    <font>
      <u/>
      <sz val="12"/>
      <color theme="11"/>
      <name val="Calibri"/>
      <family val="2"/>
      <scheme val="minor"/>
    </font>
    <font>
      <sz val="12"/>
      <color theme="1"/>
      <name val="Calibri"/>
      <family val="2"/>
    </font>
    <font>
      <b/>
      <sz val="12"/>
      <color theme="1"/>
      <name val="Calibri"/>
      <family val="2"/>
    </font>
    <font>
      <sz val="12"/>
      <name val="Times New Roman"/>
      <family val="1"/>
    </font>
    <font>
      <sz val="10"/>
      <name val="Calibri"/>
      <family val="2"/>
    </font>
    <font>
      <sz val="12"/>
      <name val="Calibri"/>
      <family val="2"/>
    </font>
    <font>
      <b/>
      <sz val="10"/>
      <name val="Calibri"/>
      <family val="2"/>
    </font>
    <font>
      <sz val="10"/>
      <color theme="1"/>
      <name val="Calibri"/>
      <family val="2"/>
    </font>
    <font>
      <b/>
      <u/>
      <sz val="16"/>
      <color rgb="FF000000"/>
      <name val="Calibri"/>
      <family val="2"/>
    </font>
    <font>
      <sz val="12"/>
      <color theme="1"/>
      <name val="Calibri"/>
      <family val="2"/>
      <scheme val="minor"/>
    </font>
    <font>
      <sz val="10"/>
      <color rgb="FFFF0000"/>
      <name val="Calibri"/>
      <family val="2"/>
    </font>
    <font>
      <b/>
      <sz val="12"/>
      <name val="Calibri"/>
      <family val="2"/>
    </font>
    <font>
      <b/>
      <sz val="28"/>
      <name val="Calibri"/>
      <family val="2"/>
    </font>
    <font>
      <u/>
      <sz val="12"/>
      <name val="Calibri"/>
      <family val="2"/>
    </font>
    <font>
      <sz val="10"/>
      <color theme="0"/>
      <name val="Calibri"/>
      <family val="2"/>
    </font>
    <font>
      <b/>
      <u/>
      <sz val="16"/>
      <color theme="0"/>
      <name val="Calibri"/>
      <family val="2"/>
    </font>
    <font>
      <sz val="12"/>
      <color theme="1"/>
      <name val="Times New Roman"/>
      <family val="1"/>
    </font>
    <font>
      <b/>
      <u/>
      <sz val="10"/>
      <name val="Calibri"/>
      <family val="2"/>
    </font>
    <font>
      <b/>
      <sz val="18"/>
      <color theme="1"/>
      <name val="Calibri"/>
      <family val="2"/>
      <scheme val="minor"/>
    </font>
    <font>
      <sz val="12"/>
      <color theme="9" tint="0.39997558519241921"/>
      <name val="Calibri"/>
      <family val="2"/>
    </font>
    <font>
      <b/>
      <sz val="14"/>
      <color theme="1"/>
      <name val="Calibri"/>
      <family val="2"/>
      <scheme val="minor"/>
    </font>
    <font>
      <b/>
      <sz val="12"/>
      <color theme="1"/>
      <name val="Calibri"/>
      <family val="2"/>
      <scheme val="minor"/>
    </font>
    <font>
      <b/>
      <sz val="14"/>
      <name val="Calibri"/>
      <family val="2"/>
    </font>
    <font>
      <b/>
      <sz val="18"/>
      <name val="Calibri"/>
      <family val="2"/>
    </font>
    <font>
      <b/>
      <sz val="20"/>
      <color theme="1"/>
      <name val="Calibri"/>
      <family val="2"/>
    </font>
    <font>
      <sz val="9"/>
      <color indexed="81"/>
      <name val="Tahoma"/>
      <family val="2"/>
    </font>
    <font>
      <b/>
      <sz val="9"/>
      <color indexed="81"/>
      <name val="Tahoma"/>
      <family val="2"/>
    </font>
    <font>
      <b/>
      <sz val="16"/>
      <name val="Calibri"/>
      <family val="2"/>
    </font>
    <font>
      <b/>
      <sz val="20"/>
      <color theme="1"/>
      <name val="Calibri"/>
      <family val="2"/>
      <scheme val="minor"/>
    </font>
  </fonts>
  <fills count="15">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rgb="FFFFFF00"/>
        <bgColor indexed="64"/>
      </patternFill>
    </fill>
    <fill>
      <patternFill patternType="solid">
        <fgColor theme="5" tint="0.79998168889431442"/>
        <bgColor indexed="64"/>
      </patternFill>
    </fill>
    <fill>
      <patternFill patternType="solid">
        <fgColor rgb="FFC0C0C0"/>
        <bgColor indexed="64"/>
      </patternFill>
    </fill>
    <fill>
      <patternFill patternType="solid">
        <fgColor theme="9" tint="0.59999389629810485"/>
        <bgColor indexed="64"/>
      </patternFill>
    </fill>
    <fill>
      <patternFill patternType="solid">
        <fgColor rgb="FFEFBAC0"/>
        <bgColor indexed="64"/>
      </patternFill>
    </fill>
    <fill>
      <patternFill patternType="solid">
        <fgColor theme="0"/>
        <bgColor theme="0"/>
      </patternFill>
    </fill>
    <fill>
      <patternFill patternType="solid">
        <fgColor rgb="FFFCE4D6"/>
        <bgColor indexed="64"/>
      </patternFill>
    </fill>
    <fill>
      <patternFill patternType="solid">
        <fgColor theme="9" tint="0.59999389629810485"/>
        <bgColor theme="0"/>
      </patternFill>
    </fill>
  </fills>
  <borders count="84">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bottom style="medium">
        <color indexed="64"/>
      </bottom>
      <diagonal/>
    </border>
    <border>
      <left style="thin">
        <color auto="1"/>
      </left>
      <right style="thin">
        <color auto="1"/>
      </right>
      <top/>
      <bottom style="medium">
        <color indexed="64"/>
      </bottom>
      <diagonal/>
    </border>
    <border>
      <left/>
      <right style="thin">
        <color auto="1"/>
      </right>
      <top/>
      <bottom style="medium">
        <color auto="1"/>
      </bottom>
      <diagonal/>
    </border>
    <border>
      <left/>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thin">
        <color indexed="64"/>
      </left>
      <right style="thin">
        <color auto="1"/>
      </right>
      <top/>
      <bottom style="thin">
        <color auto="1"/>
      </bottom>
      <diagonal/>
    </border>
    <border>
      <left style="thin">
        <color indexed="64"/>
      </left>
      <right/>
      <top/>
      <bottom style="medium">
        <color auto="1"/>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auto="1"/>
      </right>
      <top/>
      <bottom/>
      <diagonal/>
    </border>
    <border>
      <left style="thin">
        <color auto="1"/>
      </left>
      <right style="medium">
        <color auto="1"/>
      </right>
      <top/>
      <bottom/>
      <diagonal/>
    </border>
    <border>
      <left style="thin">
        <color indexed="64"/>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indexed="64"/>
      </bottom>
      <diagonal/>
    </border>
    <border>
      <left style="medium">
        <color auto="1"/>
      </left>
      <right style="thin">
        <color indexed="64"/>
      </right>
      <top/>
      <bottom style="thin">
        <color auto="1"/>
      </bottom>
      <diagonal/>
    </border>
    <border>
      <left style="medium">
        <color auto="1"/>
      </left>
      <right style="thin">
        <color indexed="64"/>
      </right>
      <top/>
      <bottom style="medium">
        <color auto="1"/>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bottom/>
      <diagonal/>
    </border>
    <border>
      <left style="medium">
        <color indexed="64"/>
      </left>
      <right style="thin">
        <color auto="1"/>
      </right>
      <top style="thin">
        <color auto="1"/>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medium">
        <color auto="1"/>
      </right>
      <top style="thin">
        <color auto="1"/>
      </top>
      <bottom/>
      <diagonal/>
    </border>
    <border>
      <left style="thin">
        <color indexed="64"/>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style="thin">
        <color indexed="64"/>
      </right>
      <top style="medium">
        <color auto="1"/>
      </top>
      <bottom style="medium">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auto="1"/>
      </right>
      <top style="thin">
        <color auto="1"/>
      </top>
      <bottom style="double">
        <color indexed="64"/>
      </bottom>
      <diagonal/>
    </border>
    <border>
      <left/>
      <right style="thin">
        <color auto="1"/>
      </right>
      <top style="thin">
        <color auto="1"/>
      </top>
      <bottom style="double">
        <color indexed="64"/>
      </bottom>
      <diagonal/>
    </border>
    <border>
      <left style="thin">
        <color auto="1"/>
      </left>
      <right/>
      <top style="double">
        <color indexed="64"/>
      </top>
      <bottom style="medium">
        <color indexed="64"/>
      </bottom>
      <diagonal/>
    </border>
    <border>
      <left/>
      <right style="thin">
        <color auto="1"/>
      </right>
      <top style="medium">
        <color auto="1"/>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top style="double">
        <color indexed="64"/>
      </top>
      <bottom style="medium">
        <color indexed="64"/>
      </bottom>
      <diagonal/>
    </border>
    <border>
      <left style="thin">
        <color auto="1"/>
      </left>
      <right/>
      <top style="medium">
        <color auto="1"/>
      </top>
      <bottom style="thin">
        <color auto="1"/>
      </bottom>
      <diagonal/>
    </border>
    <border>
      <left/>
      <right style="medium">
        <color indexed="64"/>
      </right>
      <top style="double">
        <color indexed="64"/>
      </top>
      <bottom style="medium">
        <color indexed="64"/>
      </bottom>
      <diagonal/>
    </border>
    <border>
      <left style="medium">
        <color auto="1"/>
      </left>
      <right/>
      <top style="thin">
        <color auto="1"/>
      </top>
      <bottom style="double">
        <color indexed="64"/>
      </bottom>
      <diagonal/>
    </border>
    <border>
      <left style="medium">
        <color auto="1"/>
      </left>
      <right style="thin">
        <color auto="1"/>
      </right>
      <top/>
      <bottom style="double">
        <color indexed="64"/>
      </bottom>
      <diagonal/>
    </border>
    <border>
      <left style="thin">
        <color auto="1"/>
      </left>
      <right style="thin">
        <color auto="1"/>
      </right>
      <top/>
      <bottom style="double">
        <color indexed="64"/>
      </bottom>
      <diagonal/>
    </border>
    <border>
      <left style="thin">
        <color indexed="64"/>
      </left>
      <right/>
      <top/>
      <bottom style="double">
        <color indexed="64"/>
      </bottom>
      <diagonal/>
    </border>
    <border>
      <left/>
      <right style="thin">
        <color auto="1"/>
      </right>
      <top/>
      <bottom style="double">
        <color indexed="64"/>
      </bottom>
      <diagonal/>
    </border>
    <border>
      <left/>
      <right style="medium">
        <color auto="1"/>
      </right>
      <top/>
      <bottom style="double">
        <color indexed="64"/>
      </bottom>
      <diagonal/>
    </border>
    <border>
      <left style="medium">
        <color indexed="64"/>
      </left>
      <right style="medium">
        <color indexed="64"/>
      </right>
      <top style="medium">
        <color indexed="64"/>
      </top>
      <bottom style="medium">
        <color auto="1"/>
      </bottom>
      <diagonal/>
    </border>
  </borders>
  <cellStyleXfs count="12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5"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xf numFmtId="43" fontId="5" fillId="0" borderId="0" applyFont="0" applyFill="0" applyBorder="0" applyAlignment="0" applyProtection="0"/>
    <xf numFmtId="44" fontId="11"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cellStyleXfs>
  <cellXfs count="783">
    <xf numFmtId="0" fontId="0" fillId="0" borderId="0" xfId="0"/>
    <xf numFmtId="164" fontId="9" fillId="0" borderId="3" xfId="0" applyNumberFormat="1" applyFont="1" applyBorder="1"/>
    <xf numFmtId="0" fontId="9" fillId="0" borderId="2" xfId="0" applyFont="1" applyBorder="1"/>
    <xf numFmtId="10" fontId="9" fillId="0" borderId="3" xfId="0" applyNumberFormat="1" applyFont="1" applyBorder="1"/>
    <xf numFmtId="0" fontId="9" fillId="0" borderId="5" xfId="0" applyFont="1" applyBorder="1"/>
    <xf numFmtId="0" fontId="9" fillId="0" borderId="0" xfId="0" applyFont="1"/>
    <xf numFmtId="0" fontId="9" fillId="0" borderId="8" xfId="0" applyFont="1" applyBorder="1"/>
    <xf numFmtId="164" fontId="9" fillId="0" borderId="9" xfId="0" applyNumberFormat="1" applyFont="1" applyBorder="1"/>
    <xf numFmtId="0" fontId="6" fillId="0" borderId="2" xfId="0" applyFont="1" applyBorder="1"/>
    <xf numFmtId="0" fontId="9" fillId="0" borderId="2" xfId="0" applyFont="1" applyBorder="1" applyAlignment="1">
      <alignment wrapText="1"/>
    </xf>
    <xf numFmtId="10" fontId="9" fillId="0" borderId="0" xfId="0" applyNumberFormat="1" applyFont="1"/>
    <xf numFmtId="0" fontId="5" fillId="0" borderId="0" xfId="114"/>
    <xf numFmtId="165" fontId="5" fillId="0" borderId="0" xfId="114" applyNumberFormat="1"/>
    <xf numFmtId="0" fontId="7" fillId="0" borderId="0" xfId="114" applyFont="1"/>
    <xf numFmtId="169" fontId="7" fillId="0" borderId="0" xfId="114" applyNumberFormat="1" applyFont="1"/>
    <xf numFmtId="0" fontId="7" fillId="0" borderId="0" xfId="118" applyFont="1"/>
    <xf numFmtId="0" fontId="13" fillId="0" borderId="0" xfId="118" applyFont="1"/>
    <xf numFmtId="0" fontId="13" fillId="0" borderId="0" xfId="114" applyFont="1"/>
    <xf numFmtId="0" fontId="7" fillId="0" borderId="0" xfId="114" applyFont="1" applyAlignment="1">
      <alignment horizontal="right"/>
    </xf>
    <xf numFmtId="0" fontId="7" fillId="8" borderId="0" xfId="114" applyFont="1" applyFill="1" applyAlignment="1">
      <alignment vertical="center" wrapText="1"/>
    </xf>
    <xf numFmtId="168" fontId="3" fillId="0" borderId="0" xfId="119" applyNumberFormat="1" applyFont="1" applyFill="1" applyBorder="1"/>
    <xf numFmtId="9" fontId="3" fillId="0" borderId="0" xfId="117" applyFont="1" applyFill="1" applyBorder="1" applyAlignment="1">
      <alignment horizontal="center"/>
    </xf>
    <xf numFmtId="0" fontId="7" fillId="0" borderId="0" xfId="114" applyFont="1" applyAlignment="1">
      <alignment horizontal="right" wrapText="1"/>
    </xf>
    <xf numFmtId="0" fontId="7" fillId="3" borderId="1" xfId="114" applyFont="1" applyFill="1" applyBorder="1" applyAlignment="1">
      <alignment horizontal="center"/>
    </xf>
    <xf numFmtId="0" fontId="4" fillId="3" borderId="0" xfId="114" applyFont="1" applyFill="1" applyAlignment="1">
      <alignment horizontal="center" vertical="center"/>
    </xf>
    <xf numFmtId="0" fontId="3" fillId="3" borderId="0" xfId="0" applyFont="1" applyFill="1"/>
    <xf numFmtId="0" fontId="7" fillId="3" borderId="40" xfId="0" applyFont="1" applyFill="1" applyBorder="1"/>
    <xf numFmtId="0" fontId="13" fillId="3" borderId="0" xfId="0" applyFont="1" applyFill="1"/>
    <xf numFmtId="9" fontId="3" fillId="3" borderId="0" xfId="117" applyFont="1" applyFill="1" applyBorder="1" applyAlignment="1" applyProtection="1">
      <alignment horizontal="center"/>
    </xf>
    <xf numFmtId="0" fontId="4" fillId="3" borderId="0" xfId="114" applyFont="1" applyFill="1" applyAlignment="1">
      <alignment horizontal="center" vertical="top" wrapText="1"/>
    </xf>
    <xf numFmtId="0" fontId="4" fillId="3" borderId="0" xfId="114" applyFont="1" applyFill="1" applyAlignment="1">
      <alignment horizontal="center" vertical="center" wrapText="1"/>
    </xf>
    <xf numFmtId="0" fontId="7" fillId="3" borderId="0" xfId="114" applyFont="1" applyFill="1" applyAlignment="1">
      <alignment horizontal="left" wrapText="1"/>
    </xf>
    <xf numFmtId="0" fontId="7" fillId="3" borderId="0" xfId="114" applyFont="1" applyFill="1"/>
    <xf numFmtId="0" fontId="4" fillId="6" borderId="45" xfId="114" applyFont="1" applyFill="1" applyBorder="1" applyAlignment="1">
      <alignment horizontal="center" wrapText="1"/>
    </xf>
    <xf numFmtId="164" fontId="3" fillId="3" borderId="32" xfId="0" applyNumberFormat="1" applyFont="1" applyFill="1" applyBorder="1" applyAlignment="1">
      <alignment horizontal="right"/>
    </xf>
    <xf numFmtId="164" fontId="3" fillId="3" borderId="32" xfId="116" applyNumberFormat="1" applyFont="1" applyFill="1" applyBorder="1" applyAlignment="1" applyProtection="1">
      <alignment horizontal="right"/>
    </xf>
    <xf numFmtId="164" fontId="3" fillId="3" borderId="15" xfId="116" applyNumberFormat="1" applyFont="1" applyFill="1" applyBorder="1" applyAlignment="1" applyProtection="1">
      <alignment horizontal="right"/>
    </xf>
    <xf numFmtId="164" fontId="3" fillId="3" borderId="1" xfId="0" applyNumberFormat="1" applyFont="1" applyFill="1" applyBorder="1" applyAlignment="1">
      <alignment horizontal="right"/>
    </xf>
    <xf numFmtId="164" fontId="3" fillId="3" borderId="1" xfId="116" applyNumberFormat="1" applyFont="1" applyFill="1" applyBorder="1" applyAlignment="1" applyProtection="1">
      <alignment horizontal="right"/>
    </xf>
    <xf numFmtId="164" fontId="3" fillId="3" borderId="4" xfId="116" applyNumberFormat="1" applyFont="1" applyFill="1" applyBorder="1" applyAlignment="1" applyProtection="1">
      <alignment horizontal="right"/>
    </xf>
    <xf numFmtId="0" fontId="13" fillId="4" borderId="1" xfId="120" applyFont="1" applyFill="1" applyBorder="1" applyAlignment="1">
      <alignment horizontal="center"/>
    </xf>
    <xf numFmtId="164" fontId="7" fillId="3" borderId="1" xfId="122" applyNumberFormat="1" applyFont="1" applyFill="1" applyBorder="1" applyProtection="1"/>
    <xf numFmtId="164" fontId="7" fillId="3" borderId="4" xfId="122" applyNumberFormat="1" applyFont="1" applyFill="1" applyBorder="1" applyProtection="1"/>
    <xf numFmtId="167" fontId="7" fillId="3" borderId="1" xfId="114" applyNumberFormat="1" applyFont="1" applyFill="1" applyBorder="1"/>
    <xf numFmtId="37" fontId="13" fillId="3" borderId="24" xfId="65" applyNumberFormat="1" applyFont="1" applyFill="1" applyBorder="1" applyProtection="1"/>
    <xf numFmtId="0" fontId="13" fillId="3" borderId="50" xfId="121" applyFont="1" applyFill="1" applyBorder="1" applyAlignment="1">
      <alignment horizontal="right"/>
    </xf>
    <xf numFmtId="164" fontId="13" fillId="3" borderId="32" xfId="65" applyNumberFormat="1" applyFont="1" applyFill="1" applyBorder="1" applyProtection="1"/>
    <xf numFmtId="164" fontId="13" fillId="3" borderId="32" xfId="65" applyNumberFormat="1" applyFont="1" applyFill="1" applyBorder="1" applyAlignment="1" applyProtection="1">
      <alignment horizontal="center" wrapText="1"/>
    </xf>
    <xf numFmtId="164" fontId="13" fillId="3" borderId="32" xfId="122" applyNumberFormat="1" applyFont="1" applyFill="1" applyBorder="1" applyProtection="1"/>
    <xf numFmtId="164" fontId="13" fillId="3" borderId="15" xfId="122" applyNumberFormat="1" applyFont="1" applyFill="1" applyBorder="1" applyProtection="1"/>
    <xf numFmtId="164" fontId="7" fillId="3" borderId="67" xfId="122" applyNumberFormat="1" applyFont="1" applyFill="1" applyBorder="1" applyProtection="1"/>
    <xf numFmtId="164" fontId="7" fillId="3" borderId="68" xfId="122" applyNumberFormat="1" applyFont="1" applyFill="1" applyBorder="1" applyProtection="1"/>
    <xf numFmtId="164" fontId="3" fillId="3" borderId="15" xfId="0" applyNumberFormat="1" applyFont="1" applyFill="1" applyBorder="1" applyAlignment="1">
      <alignment horizontal="right"/>
    </xf>
    <xf numFmtId="164" fontId="3" fillId="3" borderId="67" xfId="0" applyNumberFormat="1" applyFont="1" applyFill="1" applyBorder="1" applyAlignment="1">
      <alignment horizontal="right"/>
    </xf>
    <xf numFmtId="164" fontId="3" fillId="3" borderId="67" xfId="116" applyNumberFormat="1" applyFont="1" applyFill="1" applyBorder="1" applyAlignment="1" applyProtection="1">
      <alignment horizontal="right"/>
    </xf>
    <xf numFmtId="164" fontId="3" fillId="3" borderId="68" xfId="116" applyNumberFormat="1" applyFont="1" applyFill="1" applyBorder="1" applyAlignment="1" applyProtection="1">
      <alignment horizontal="right"/>
    </xf>
    <xf numFmtId="174" fontId="13" fillId="3" borderId="37" xfId="114" quotePrefix="1" applyNumberFormat="1" applyFont="1" applyFill="1" applyBorder="1" applyAlignment="1">
      <alignment horizontal="center"/>
    </xf>
    <xf numFmtId="174" fontId="13" fillId="3" borderId="7" xfId="114" quotePrefix="1" applyNumberFormat="1" applyFont="1" applyFill="1" applyBorder="1" applyAlignment="1">
      <alignment horizontal="center"/>
    </xf>
    <xf numFmtId="0" fontId="7" fillId="3" borderId="0" xfId="114" applyFont="1" applyFill="1" applyAlignment="1">
      <alignment horizontal="left"/>
    </xf>
    <xf numFmtId="0" fontId="7" fillId="0" borderId="0" xfId="114" applyFont="1" applyAlignment="1">
      <alignment horizontal="left"/>
    </xf>
    <xf numFmtId="0" fontId="7" fillId="9" borderId="28" xfId="114" applyFont="1" applyFill="1" applyBorder="1"/>
    <xf numFmtId="167" fontId="7" fillId="3" borderId="45" xfId="114" applyNumberFormat="1" applyFont="1" applyFill="1" applyBorder="1"/>
    <xf numFmtId="0" fontId="13" fillId="8" borderId="0" xfId="114" applyFont="1" applyFill="1" applyAlignment="1">
      <alignment horizontal="right" vertical="center" wrapText="1"/>
    </xf>
    <xf numFmtId="164" fontId="15" fillId="8" borderId="0" xfId="114" applyNumberFormat="1" applyFont="1" applyFill="1" applyAlignment="1">
      <alignment horizontal="left" vertical="center" wrapText="1"/>
    </xf>
    <xf numFmtId="0" fontId="16" fillId="0" borderId="0" xfId="0" applyFont="1"/>
    <xf numFmtId="0" fontId="16" fillId="0" borderId="0" xfId="0" applyFont="1" applyAlignment="1">
      <alignment horizontal="center"/>
    </xf>
    <xf numFmtId="0" fontId="13" fillId="8" borderId="58" xfId="114" applyFont="1" applyFill="1" applyBorder="1" applyAlignment="1">
      <alignment horizontal="right" vertical="center" wrapText="1"/>
    </xf>
    <xf numFmtId="0" fontId="7" fillId="0" borderId="21" xfId="114" applyFont="1" applyBorder="1"/>
    <xf numFmtId="0" fontId="7" fillId="3" borderId="4" xfId="114" applyFont="1" applyFill="1" applyBorder="1" applyAlignment="1">
      <alignment horizontal="center"/>
    </xf>
    <xf numFmtId="164" fontId="7" fillId="3" borderId="4" xfId="114" applyNumberFormat="1" applyFont="1" applyFill="1" applyBorder="1" applyAlignment="1">
      <alignment vertical="center" wrapText="1"/>
    </xf>
    <xf numFmtId="0" fontId="7" fillId="8" borderId="6" xfId="114" applyFont="1" applyFill="1" applyBorder="1" applyAlignment="1" applyProtection="1">
      <alignment vertical="center" wrapText="1"/>
      <protection locked="0"/>
    </xf>
    <xf numFmtId="164" fontId="5" fillId="0" borderId="0" xfId="114" applyNumberFormat="1"/>
    <xf numFmtId="171" fontId="3" fillId="3" borderId="1" xfId="117" applyNumberFormat="1" applyFont="1" applyFill="1" applyBorder="1" applyProtection="1"/>
    <xf numFmtId="0" fontId="3" fillId="3" borderId="4" xfId="114" applyFont="1" applyFill="1" applyBorder="1" applyAlignment="1">
      <alignment horizontal="center"/>
    </xf>
    <xf numFmtId="0" fontId="3" fillId="3" borderId="20" xfId="0" applyFont="1" applyFill="1" applyBorder="1"/>
    <xf numFmtId="164" fontId="7" fillId="10" borderId="1" xfId="65" applyNumberFormat="1" applyFont="1" applyFill="1" applyBorder="1" applyProtection="1">
      <protection locked="0"/>
    </xf>
    <xf numFmtId="164" fontId="7" fillId="10" borderId="1" xfId="65" applyNumberFormat="1" applyFont="1" applyFill="1" applyBorder="1" applyAlignment="1" applyProtection="1">
      <alignment horizontal="center" wrapText="1"/>
      <protection locked="0"/>
    </xf>
    <xf numFmtId="164" fontId="7" fillId="10" borderId="67" xfId="65" applyNumberFormat="1" applyFont="1" applyFill="1" applyBorder="1" applyProtection="1">
      <protection locked="0"/>
    </xf>
    <xf numFmtId="164" fontId="7" fillId="10" borderId="67" xfId="65" applyNumberFormat="1" applyFont="1" applyFill="1" applyBorder="1" applyAlignment="1" applyProtection="1">
      <alignment horizontal="center" wrapText="1"/>
      <protection locked="0"/>
    </xf>
    <xf numFmtId="0" fontId="7" fillId="10" borderId="1" xfId="114" applyFont="1" applyFill="1" applyBorder="1" applyProtection="1">
      <protection locked="0"/>
    </xf>
    <xf numFmtId="0" fontId="7" fillId="10" borderId="45" xfId="114" applyFont="1" applyFill="1" applyBorder="1" applyProtection="1">
      <protection locked="0"/>
    </xf>
    <xf numFmtId="164" fontId="7" fillId="10" borderId="12" xfId="114" applyNumberFormat="1" applyFont="1" applyFill="1" applyBorder="1" applyProtection="1">
      <protection locked="0"/>
    </xf>
    <xf numFmtId="164" fontId="7" fillId="10" borderId="4" xfId="114" applyNumberFormat="1" applyFont="1" applyFill="1" applyBorder="1" applyProtection="1">
      <protection locked="0"/>
    </xf>
    <xf numFmtId="164" fontId="7" fillId="10" borderId="7" xfId="114" applyNumberFormat="1" applyFont="1" applyFill="1" applyBorder="1" applyProtection="1">
      <protection locked="0"/>
    </xf>
    <xf numFmtId="164" fontId="7" fillId="10" borderId="1" xfId="114" applyNumberFormat="1" applyFont="1" applyFill="1" applyBorder="1" applyAlignment="1" applyProtection="1">
      <alignment horizontal="center"/>
      <protection locked="0"/>
    </xf>
    <xf numFmtId="164" fontId="3" fillId="10" borderId="1" xfId="119" applyNumberFormat="1" applyFont="1" applyFill="1" applyBorder="1" applyProtection="1">
      <protection locked="0"/>
    </xf>
    <xf numFmtId="164" fontId="3" fillId="10" borderId="15" xfId="116" applyNumberFormat="1" applyFont="1" applyFill="1" applyBorder="1" applyProtection="1">
      <protection locked="0"/>
    </xf>
    <xf numFmtId="164" fontId="3" fillId="10" borderId="4" xfId="116" applyNumberFormat="1" applyFont="1" applyFill="1" applyBorder="1" applyProtection="1">
      <protection locked="0"/>
    </xf>
    <xf numFmtId="164" fontId="3" fillId="10" borderId="7" xfId="116" applyNumberFormat="1" applyFont="1" applyFill="1" applyBorder="1" applyProtection="1">
      <protection locked="0"/>
    </xf>
    <xf numFmtId="164" fontId="7" fillId="10" borderId="15" xfId="114" applyNumberFormat="1" applyFont="1" applyFill="1" applyBorder="1" applyProtection="1">
      <protection locked="0"/>
    </xf>
    <xf numFmtId="5" fontId="3" fillId="10" borderId="1" xfId="65" applyNumberFormat="1" applyFont="1" applyFill="1" applyBorder="1" applyAlignment="1" applyProtection="1">
      <alignment horizontal="right"/>
      <protection locked="0"/>
    </xf>
    <xf numFmtId="164" fontId="7" fillId="3" borderId="12" xfId="114" applyNumberFormat="1" applyFont="1" applyFill="1" applyBorder="1" applyAlignment="1">
      <alignment horizontal="right" vertical="center" wrapText="1"/>
    </xf>
    <xf numFmtId="5" fontId="7" fillId="3" borderId="1" xfId="65" applyNumberFormat="1" applyFont="1" applyFill="1" applyBorder="1" applyProtection="1"/>
    <xf numFmtId="5" fontId="7" fillId="3" borderId="45" xfId="65" applyNumberFormat="1" applyFont="1" applyFill="1" applyBorder="1" applyProtection="1"/>
    <xf numFmtId="164" fontId="7" fillId="0" borderId="0" xfId="114" applyNumberFormat="1" applyFont="1"/>
    <xf numFmtId="42" fontId="7" fillId="0" borderId="0" xfId="114" applyNumberFormat="1" applyFont="1"/>
    <xf numFmtId="0" fontId="7" fillId="3" borderId="13" xfId="121" applyFont="1" applyFill="1" applyBorder="1"/>
    <xf numFmtId="0" fontId="7" fillId="3" borderId="66" xfId="121" applyFont="1" applyFill="1" applyBorder="1"/>
    <xf numFmtId="0" fontId="13" fillId="6" borderId="49" xfId="114" applyFont="1" applyFill="1" applyBorder="1" applyAlignment="1">
      <alignment horizontal="center"/>
    </xf>
    <xf numFmtId="0" fontId="7" fillId="3" borderId="50" xfId="0" applyFont="1" applyFill="1" applyBorder="1"/>
    <xf numFmtId="0" fontId="7" fillId="3" borderId="66" xfId="0" applyFont="1" applyFill="1" applyBorder="1"/>
    <xf numFmtId="0" fontId="3" fillId="3" borderId="32" xfId="0" applyFont="1" applyFill="1" applyBorder="1" applyAlignment="1">
      <alignment horizontal="center"/>
    </xf>
    <xf numFmtId="0" fontId="3" fillId="3" borderId="1" xfId="0" applyFont="1" applyFill="1" applyBorder="1" applyAlignment="1">
      <alignment horizontal="center"/>
    </xf>
    <xf numFmtId="0" fontId="3" fillId="3" borderId="67" xfId="0" applyFont="1" applyFill="1" applyBorder="1" applyAlignment="1">
      <alignment horizontal="center"/>
    </xf>
    <xf numFmtId="0" fontId="3" fillId="3" borderId="0" xfId="0" applyFont="1" applyFill="1" applyProtection="1">
      <protection locked="0"/>
    </xf>
    <xf numFmtId="0" fontId="7" fillId="0" borderId="0" xfId="114" applyFont="1" applyProtection="1">
      <protection locked="0"/>
    </xf>
    <xf numFmtId="0" fontId="6" fillId="0" borderId="0" xfId="0" applyFont="1"/>
    <xf numFmtId="0" fontId="17" fillId="0" borderId="0" xfId="0" applyFont="1" applyAlignment="1">
      <alignment vertical="center"/>
    </xf>
    <xf numFmtId="0" fontId="7" fillId="0" borderId="20" xfId="114" applyFont="1" applyBorder="1"/>
    <xf numFmtId="0" fontId="7" fillId="0" borderId="16" xfId="114" applyFont="1" applyBorder="1"/>
    <xf numFmtId="5" fontId="7" fillId="10" borderId="1" xfId="65" applyNumberFormat="1" applyFont="1" applyFill="1" applyBorder="1" applyAlignment="1" applyProtection="1">
      <alignment horizontal="right"/>
      <protection locked="0"/>
    </xf>
    <xf numFmtId="5" fontId="7" fillId="3" borderId="32" xfId="65" applyNumberFormat="1" applyFont="1" applyFill="1" applyBorder="1" applyProtection="1"/>
    <xf numFmtId="167" fontId="7" fillId="3" borderId="32" xfId="114" applyNumberFormat="1" applyFont="1" applyFill="1" applyBorder="1"/>
    <xf numFmtId="0" fontId="7" fillId="10" borderId="32" xfId="114" applyFont="1" applyFill="1" applyBorder="1" applyProtection="1">
      <protection locked="0"/>
    </xf>
    <xf numFmtId="164" fontId="4" fillId="0" borderId="24" xfId="65" applyNumberFormat="1" applyFont="1" applyBorder="1"/>
    <xf numFmtId="164" fontId="4" fillId="0" borderId="23" xfId="65" applyNumberFormat="1" applyFont="1" applyBorder="1"/>
    <xf numFmtId="164" fontId="3" fillId="0" borderId="37" xfId="65" applyNumberFormat="1" applyFont="1" applyBorder="1"/>
    <xf numFmtId="164" fontId="3" fillId="0" borderId="67" xfId="65" applyNumberFormat="1" applyFont="1" applyBorder="1"/>
    <xf numFmtId="0" fontId="7" fillId="10" borderId="40" xfId="114" applyFont="1" applyFill="1" applyBorder="1" applyProtection="1">
      <protection locked="0"/>
    </xf>
    <xf numFmtId="164" fontId="7" fillId="3" borderId="4" xfId="65" applyNumberFormat="1" applyFont="1" applyFill="1" applyBorder="1"/>
    <xf numFmtId="164" fontId="7" fillId="3" borderId="15" xfId="65" applyNumberFormat="1" applyFont="1" applyFill="1" applyBorder="1"/>
    <xf numFmtId="0" fontId="13" fillId="3" borderId="51" xfId="114" applyFont="1" applyFill="1" applyBorder="1" applyAlignment="1">
      <alignment horizontal="left"/>
    </xf>
    <xf numFmtId="164" fontId="6" fillId="0" borderId="3" xfId="0" applyNumberFormat="1" applyFont="1" applyBorder="1"/>
    <xf numFmtId="5" fontId="3" fillId="10" borderId="32" xfId="65" applyNumberFormat="1" applyFont="1" applyFill="1" applyBorder="1" applyAlignment="1" applyProtection="1">
      <alignment horizontal="right"/>
      <protection locked="0"/>
    </xf>
    <xf numFmtId="164" fontId="3" fillId="0" borderId="0" xfId="114" applyNumberFormat="1" applyFont="1"/>
    <xf numFmtId="0" fontId="7" fillId="3" borderId="51" xfId="114" applyFont="1" applyFill="1" applyBorder="1" applyAlignment="1">
      <alignment horizontal="left"/>
    </xf>
    <xf numFmtId="37" fontId="7" fillId="3" borderId="24" xfId="65" applyNumberFormat="1" applyFont="1" applyFill="1" applyBorder="1" applyProtection="1"/>
    <xf numFmtId="0" fontId="13" fillId="6" borderId="40" xfId="114" applyFont="1" applyFill="1" applyBorder="1" applyAlignment="1">
      <alignment horizontal="center"/>
    </xf>
    <xf numFmtId="168" fontId="3" fillId="0" borderId="24" xfId="119" applyNumberFormat="1" applyFont="1" applyBorder="1"/>
    <xf numFmtId="164" fontId="7" fillId="10" borderId="37" xfId="114" applyNumberFormat="1" applyFont="1" applyFill="1" applyBorder="1" applyAlignment="1" applyProtection="1">
      <alignment horizontal="center"/>
      <protection locked="0"/>
    </xf>
    <xf numFmtId="164" fontId="3" fillId="10" borderId="37" xfId="119" applyNumberFormat="1" applyFont="1" applyFill="1" applyBorder="1" applyProtection="1">
      <protection locked="0"/>
    </xf>
    <xf numFmtId="171" fontId="3" fillId="3" borderId="37" xfId="117" applyNumberFormat="1" applyFont="1" applyFill="1" applyBorder="1" applyProtection="1"/>
    <xf numFmtId="0" fontId="3" fillId="3" borderId="7" xfId="114" applyFont="1" applyFill="1" applyBorder="1" applyAlignment="1">
      <alignment horizontal="center"/>
    </xf>
    <xf numFmtId="5" fontId="7" fillId="10" borderId="45" xfId="65" applyNumberFormat="1" applyFont="1" applyFill="1" applyBorder="1" applyAlignment="1" applyProtection="1">
      <alignment horizontal="right"/>
      <protection locked="0"/>
    </xf>
    <xf numFmtId="5" fontId="7" fillId="3" borderId="79" xfId="65" applyNumberFormat="1" applyFont="1" applyFill="1" applyBorder="1" applyProtection="1"/>
    <xf numFmtId="167" fontId="7" fillId="3" borderId="79" xfId="114" applyNumberFormat="1" applyFont="1" applyFill="1" applyBorder="1"/>
    <xf numFmtId="0" fontId="7" fillId="10" borderId="79" xfId="114" applyFont="1" applyFill="1" applyBorder="1" applyProtection="1">
      <protection locked="0"/>
    </xf>
    <xf numFmtId="5" fontId="7" fillId="3" borderId="40" xfId="65" applyNumberFormat="1" applyFont="1" applyFill="1" applyBorder="1" applyProtection="1"/>
    <xf numFmtId="167" fontId="7" fillId="3" borderId="40" xfId="114" applyNumberFormat="1" applyFont="1" applyFill="1" applyBorder="1"/>
    <xf numFmtId="0" fontId="7" fillId="3" borderId="49" xfId="114" applyFont="1" applyFill="1" applyBorder="1"/>
    <xf numFmtId="0" fontId="7" fillId="3" borderId="13" xfId="114" applyFont="1" applyFill="1" applyBorder="1"/>
    <xf numFmtId="0" fontId="7" fillId="3" borderId="13" xfId="65" applyNumberFormat="1" applyFont="1" applyFill="1" applyBorder="1" applyProtection="1"/>
    <xf numFmtId="0" fontId="7" fillId="3" borderId="78" xfId="65" applyNumberFormat="1" applyFont="1" applyFill="1" applyBorder="1" applyProtection="1"/>
    <xf numFmtId="175" fontId="7" fillId="3" borderId="24" xfId="65" applyNumberFormat="1" applyFont="1" applyFill="1" applyBorder="1" applyProtection="1"/>
    <xf numFmtId="175" fontId="13" fillId="3" borderId="24" xfId="65" applyNumberFormat="1" applyFont="1" applyFill="1" applyBorder="1" applyProtection="1"/>
    <xf numFmtId="168" fontId="5" fillId="0" borderId="0" xfId="116" applyNumberFormat="1" applyFont="1"/>
    <xf numFmtId="171" fontId="6" fillId="0" borderId="3" xfId="0" applyNumberFormat="1" applyFont="1" applyBorder="1"/>
    <xf numFmtId="167" fontId="9" fillId="0" borderId="3" xfId="0" applyNumberFormat="1" applyFont="1" applyBorder="1"/>
    <xf numFmtId="0" fontId="18" fillId="0" borderId="0" xfId="0" applyFont="1"/>
    <xf numFmtId="0" fontId="19" fillId="0" borderId="0" xfId="0" applyFont="1" applyAlignment="1">
      <alignment vertical="center"/>
    </xf>
    <xf numFmtId="165" fontId="0" fillId="0" borderId="0" xfId="123" applyNumberFormat="1" applyFont="1"/>
    <xf numFmtId="0" fontId="0" fillId="12" borderId="0" xfId="0" applyFill="1"/>
    <xf numFmtId="0" fontId="0" fillId="12" borderId="0" xfId="0" applyFill="1" applyAlignment="1">
      <alignment horizontal="left"/>
    </xf>
    <xf numFmtId="0" fontId="13" fillId="3" borderId="1" xfId="0" applyFont="1" applyFill="1" applyBorder="1"/>
    <xf numFmtId="0" fontId="13" fillId="3" borderId="14" xfId="0" applyFont="1" applyFill="1" applyBorder="1" applyAlignment="1">
      <alignment horizontal="left"/>
    </xf>
    <xf numFmtId="0" fontId="13" fillId="3" borderId="14" xfId="0" applyFont="1" applyFill="1" applyBorder="1"/>
    <xf numFmtId="0" fontId="13" fillId="3" borderId="27" xfId="0" applyFont="1" applyFill="1" applyBorder="1"/>
    <xf numFmtId="0" fontId="0" fillId="0" borderId="18" xfId="0" applyBorder="1"/>
    <xf numFmtId="0" fontId="0" fillId="0" borderId="19" xfId="0" applyBorder="1"/>
    <xf numFmtId="0" fontId="0" fillId="10" borderId="18" xfId="0" applyFill="1" applyBorder="1"/>
    <xf numFmtId="0" fontId="0" fillId="10" borderId="19" xfId="0" applyFill="1" applyBorder="1"/>
    <xf numFmtId="0" fontId="0" fillId="11" borderId="18" xfId="0" applyFill="1" applyBorder="1"/>
    <xf numFmtId="0" fontId="0" fillId="11" borderId="19" xfId="0" applyFill="1" applyBorder="1"/>
    <xf numFmtId="167" fontId="9" fillId="0" borderId="6" xfId="0" applyNumberFormat="1" applyFont="1" applyBorder="1"/>
    <xf numFmtId="0" fontId="7" fillId="0" borderId="14" xfId="114" applyFont="1" applyBorder="1" applyAlignment="1">
      <alignment horizontal="center"/>
    </xf>
    <xf numFmtId="0" fontId="7" fillId="0" borderId="43" xfId="114" applyFont="1" applyBorder="1" applyAlignment="1">
      <alignment horizontal="left"/>
    </xf>
    <xf numFmtId="0" fontId="7" fillId="0" borderId="19" xfId="114" applyFont="1" applyBorder="1" applyAlignment="1">
      <alignment horizontal="left"/>
    </xf>
    <xf numFmtId="0" fontId="13" fillId="3" borderId="1" xfId="0" applyFont="1" applyFill="1" applyBorder="1" applyAlignment="1">
      <alignment horizontal="left"/>
    </xf>
    <xf numFmtId="0" fontId="13" fillId="3" borderId="32" xfId="0" applyFont="1" applyFill="1" applyBorder="1" applyAlignment="1">
      <alignment horizontal="left"/>
    </xf>
    <xf numFmtId="0" fontId="13" fillId="3" borderId="18" xfId="0" applyFont="1" applyFill="1" applyBorder="1"/>
    <xf numFmtId="0" fontId="13" fillId="3" borderId="18" xfId="0" applyFont="1" applyFill="1" applyBorder="1" applyAlignment="1">
      <alignment horizontal="center"/>
    </xf>
    <xf numFmtId="0" fontId="13" fillId="3" borderId="36" xfId="0" applyFont="1" applyFill="1" applyBorder="1" applyAlignment="1">
      <alignment horizontal="center"/>
    </xf>
    <xf numFmtId="0" fontId="13" fillId="3" borderId="18" xfId="0" applyFont="1" applyFill="1" applyBorder="1" applyAlignment="1">
      <alignment horizontal="left"/>
    </xf>
    <xf numFmtId="5" fontId="7" fillId="0" borderId="45" xfId="65" applyNumberFormat="1" applyFont="1" applyFill="1" applyBorder="1" applyAlignment="1" applyProtection="1">
      <alignment horizontal="right"/>
    </xf>
    <xf numFmtId="0" fontId="7" fillId="10" borderId="1" xfId="114" applyFont="1" applyFill="1" applyBorder="1" applyAlignment="1" applyProtection="1">
      <alignment horizontal="center"/>
      <protection locked="0"/>
    </xf>
    <xf numFmtId="0" fontId="7" fillId="10" borderId="4" xfId="114" applyFont="1" applyFill="1" applyBorder="1" applyAlignment="1" applyProtection="1">
      <alignment vertical="center" wrapText="1"/>
      <protection locked="0"/>
    </xf>
    <xf numFmtId="0" fontId="3" fillId="10" borderId="32" xfId="0" applyFont="1" applyFill="1" applyBorder="1" applyProtection="1">
      <protection locked="0"/>
    </xf>
    <xf numFmtId="0" fontId="3" fillId="10" borderId="1" xfId="0" applyFont="1" applyFill="1" applyBorder="1" applyProtection="1">
      <protection locked="0"/>
    </xf>
    <xf numFmtId="0" fontId="3" fillId="10" borderId="37" xfId="0" applyFont="1" applyFill="1" applyBorder="1" applyProtection="1">
      <protection locked="0"/>
    </xf>
    <xf numFmtId="0" fontId="3" fillId="10" borderId="32" xfId="0" applyFont="1" applyFill="1" applyBorder="1" applyAlignment="1" applyProtection="1">
      <alignment horizontal="center"/>
      <protection locked="0"/>
    </xf>
    <xf numFmtId="0" fontId="3" fillId="10" borderId="1" xfId="0" applyFont="1" applyFill="1" applyBorder="1" applyAlignment="1" applyProtection="1">
      <alignment horizontal="center"/>
      <protection locked="0"/>
    </xf>
    <xf numFmtId="0" fontId="3" fillId="10" borderId="67" xfId="0" applyFont="1" applyFill="1" applyBorder="1" applyAlignment="1" applyProtection="1">
      <alignment horizontal="center"/>
      <protection locked="0"/>
    </xf>
    <xf numFmtId="170" fontId="7" fillId="10" borderId="40" xfId="114" applyNumberFormat="1" applyFont="1" applyFill="1" applyBorder="1" applyProtection="1">
      <protection locked="0"/>
    </xf>
    <xf numFmtId="170" fontId="7" fillId="10" borderId="1" xfId="114" applyNumberFormat="1" applyFont="1" applyFill="1" applyBorder="1" applyProtection="1">
      <protection locked="0"/>
    </xf>
    <xf numFmtId="170" fontId="7" fillId="10" borderId="13" xfId="114" applyNumberFormat="1" applyFont="1" applyFill="1" applyBorder="1" applyAlignment="1" applyProtection="1">
      <alignment horizontal="center"/>
      <protection locked="0"/>
    </xf>
    <xf numFmtId="170" fontId="7" fillId="10" borderId="55" xfId="114" applyNumberFormat="1" applyFont="1" applyFill="1" applyBorder="1" applyAlignment="1" applyProtection="1">
      <alignment horizontal="center"/>
      <protection locked="0"/>
    </xf>
    <xf numFmtId="0" fontId="7" fillId="10" borderId="37" xfId="114" applyFont="1" applyFill="1" applyBorder="1" applyAlignment="1" applyProtection="1">
      <alignment horizontal="center"/>
      <protection locked="0"/>
    </xf>
    <xf numFmtId="165" fontId="13" fillId="0" borderId="32" xfId="115" quotePrefix="1" applyNumberFormat="1" applyFont="1" applyBorder="1" applyAlignment="1" applyProtection="1">
      <alignment horizontal="center" vertical="center"/>
    </xf>
    <xf numFmtId="165" fontId="13" fillId="0" borderId="45" xfId="115" quotePrefix="1" applyNumberFormat="1" applyFont="1" applyBorder="1" applyAlignment="1" applyProtection="1">
      <alignment horizontal="center" vertical="center"/>
    </xf>
    <xf numFmtId="165" fontId="13" fillId="0" borderId="24" xfId="115" quotePrefix="1" applyNumberFormat="1" applyFont="1" applyBorder="1" applyAlignment="1" applyProtection="1">
      <alignment horizontal="center" vertical="center"/>
    </xf>
    <xf numFmtId="0" fontId="13" fillId="3" borderId="0" xfId="114" applyFont="1" applyFill="1" applyAlignment="1">
      <alignment horizontal="left"/>
    </xf>
    <xf numFmtId="164" fontId="4" fillId="0" borderId="83" xfId="65" applyNumberFormat="1" applyFont="1" applyBorder="1"/>
    <xf numFmtId="164" fontId="4" fillId="13" borderId="3" xfId="65" applyNumberFormat="1" applyFont="1" applyFill="1" applyBorder="1"/>
    <xf numFmtId="165" fontId="13" fillId="0" borderId="1" xfId="115" quotePrefix="1" applyNumberFormat="1" applyFont="1" applyBorder="1" applyAlignment="1" applyProtection="1">
      <alignment horizontal="center" vertical="center"/>
    </xf>
    <xf numFmtId="0" fontId="7" fillId="0" borderId="14" xfId="114" applyFont="1" applyBorder="1" applyAlignment="1">
      <alignment vertical="center"/>
    </xf>
    <xf numFmtId="167" fontId="3" fillId="0" borderId="1" xfId="115" applyNumberFormat="1" applyFont="1" applyBorder="1" applyAlignment="1" applyProtection="1">
      <alignment horizontal="right" vertical="center"/>
    </xf>
    <xf numFmtId="165" fontId="13" fillId="5" borderId="1" xfId="115" quotePrefix="1" applyNumberFormat="1" applyFont="1" applyFill="1" applyBorder="1" applyAlignment="1" applyProtection="1">
      <alignment horizontal="center" vertical="center"/>
    </xf>
    <xf numFmtId="165" fontId="13" fillId="5" borderId="4" xfId="115" quotePrefix="1" applyNumberFormat="1" applyFont="1" applyFill="1" applyBorder="1" applyAlignment="1" applyProtection="1">
      <alignment horizontal="center" vertical="center"/>
    </xf>
    <xf numFmtId="0" fontId="7" fillId="0" borderId="14" xfId="114" applyFont="1" applyBorder="1" applyAlignment="1">
      <alignment vertical="center" wrapText="1"/>
    </xf>
    <xf numFmtId="165" fontId="13" fillId="9" borderId="4" xfId="115" quotePrefix="1" applyNumberFormat="1" applyFont="1" applyFill="1" applyBorder="1" applyAlignment="1" applyProtection="1">
      <alignment horizontal="center" vertical="center"/>
    </xf>
    <xf numFmtId="0" fontId="7" fillId="3" borderId="14" xfId="114" applyFont="1" applyFill="1" applyBorder="1" applyAlignment="1">
      <alignment horizontal="left" vertical="center" wrapText="1"/>
    </xf>
    <xf numFmtId="165" fontId="13" fillId="3" borderId="1" xfId="115" quotePrefix="1" applyNumberFormat="1" applyFont="1" applyFill="1" applyBorder="1" applyAlignment="1" applyProtection="1">
      <alignment horizontal="center" vertical="center"/>
    </xf>
    <xf numFmtId="167" fontId="3" fillId="0" borderId="19" xfId="115" applyNumberFormat="1" applyFont="1" applyBorder="1" applyAlignment="1" applyProtection="1">
      <alignment horizontal="right" vertical="center"/>
    </xf>
    <xf numFmtId="0" fontId="7" fillId="0" borderId="2" xfId="114" applyFont="1" applyBorder="1" applyAlignment="1">
      <alignment horizontal="left" vertical="center" wrapText="1"/>
    </xf>
    <xf numFmtId="165" fontId="13" fillId="0" borderId="0" xfId="115" quotePrefix="1" applyNumberFormat="1" applyFont="1" applyBorder="1" applyAlignment="1" applyProtection="1">
      <alignment horizontal="center" vertical="center"/>
    </xf>
    <xf numFmtId="165" fontId="3" fillId="0" borderId="0" xfId="115" applyNumberFormat="1" applyFont="1" applyBorder="1" applyAlignment="1" applyProtection="1">
      <alignment vertical="center"/>
    </xf>
    <xf numFmtId="168" fontId="3" fillId="0" borderId="4" xfId="116" applyNumberFormat="1" applyFont="1" applyBorder="1" applyAlignment="1" applyProtection="1">
      <alignment vertical="center"/>
    </xf>
    <xf numFmtId="165" fontId="3" fillId="5" borderId="4" xfId="115" applyNumberFormat="1" applyFont="1" applyFill="1" applyBorder="1" applyAlignment="1" applyProtection="1">
      <alignment vertical="center"/>
    </xf>
    <xf numFmtId="0" fontId="7" fillId="3" borderId="2" xfId="114" applyFont="1" applyFill="1" applyBorder="1" applyAlignment="1">
      <alignment vertical="center" wrapText="1"/>
    </xf>
    <xf numFmtId="0" fontId="13" fillId="3" borderId="0" xfId="114" applyFont="1" applyFill="1" applyAlignment="1">
      <alignment vertical="center" wrapText="1"/>
    </xf>
    <xf numFmtId="0" fontId="13" fillId="3" borderId="38" xfId="114" quotePrefix="1" applyFont="1" applyFill="1" applyBorder="1" applyAlignment="1">
      <alignment horizontal="center" vertical="center" wrapText="1"/>
    </xf>
    <xf numFmtId="0" fontId="7" fillId="0" borderId="20" xfId="114" applyFont="1" applyBorder="1" applyAlignment="1">
      <alignment vertical="center"/>
    </xf>
    <xf numFmtId="0" fontId="0" fillId="12" borderId="0" xfId="0" applyFill="1" applyAlignment="1">
      <alignment horizontal="center"/>
    </xf>
    <xf numFmtId="0" fontId="7" fillId="8" borderId="2" xfId="114" applyFont="1" applyFill="1" applyBorder="1" applyAlignment="1">
      <alignment vertical="center" wrapText="1"/>
    </xf>
    <xf numFmtId="0" fontId="7" fillId="8" borderId="0" xfId="114" applyFont="1" applyFill="1" applyAlignment="1">
      <alignment vertical="center"/>
    </xf>
    <xf numFmtId="0" fontId="7" fillId="8" borderId="2" xfId="114" applyFont="1" applyFill="1" applyBorder="1" applyAlignment="1">
      <alignment vertical="center"/>
    </xf>
    <xf numFmtId="164" fontId="7" fillId="10" borderId="4" xfId="114" applyNumberFormat="1" applyFont="1" applyFill="1" applyBorder="1" applyAlignment="1" applyProtection="1">
      <alignment vertical="center" wrapText="1"/>
      <protection locked="0"/>
    </xf>
    <xf numFmtId="170" fontId="7" fillId="10" borderId="32" xfId="114" applyNumberFormat="1" applyFont="1" applyFill="1" applyBorder="1" applyAlignment="1" applyProtection="1">
      <alignment horizontal="left" wrapText="1" indent="3"/>
      <protection locked="0"/>
    </xf>
    <xf numFmtId="0" fontId="7" fillId="10" borderId="32" xfId="114" applyFont="1" applyFill="1" applyBorder="1" applyAlignment="1" applyProtection="1">
      <alignment horizontal="left" wrapText="1" indent="3"/>
      <protection locked="0"/>
    </xf>
    <xf numFmtId="170" fontId="7" fillId="10" borderId="1" xfId="114" applyNumberFormat="1" applyFont="1" applyFill="1" applyBorder="1" applyAlignment="1" applyProtection="1">
      <alignment horizontal="left" wrapText="1" indent="3"/>
      <protection locked="0"/>
    </xf>
    <xf numFmtId="0" fontId="7" fillId="10" borderId="1" xfId="114" applyFont="1" applyFill="1" applyBorder="1" applyAlignment="1" applyProtection="1">
      <alignment horizontal="left" wrapText="1" indent="3"/>
      <protection locked="0"/>
    </xf>
    <xf numFmtId="170" fontId="7" fillId="10" borderId="37" xfId="114" applyNumberFormat="1" applyFont="1" applyFill="1" applyBorder="1" applyAlignment="1" applyProtection="1">
      <alignment horizontal="left" wrapText="1" indent="3"/>
      <protection locked="0"/>
    </xf>
    <xf numFmtId="0" fontId="7" fillId="10" borderId="37" xfId="114" applyFont="1" applyFill="1" applyBorder="1" applyAlignment="1" applyProtection="1">
      <alignment horizontal="left" wrapText="1" indent="3"/>
      <protection locked="0"/>
    </xf>
    <xf numFmtId="0" fontId="0" fillId="0" borderId="8" xfId="0" applyBorder="1"/>
    <xf numFmtId="0" fontId="0" fillId="0" borderId="10" xfId="0" applyBorder="1"/>
    <xf numFmtId="0" fontId="0" fillId="0" borderId="9" xfId="0" applyBorder="1"/>
    <xf numFmtId="0" fontId="0" fillId="0" borderId="2" xfId="0" applyBorder="1"/>
    <xf numFmtId="0" fontId="0" fillId="0" borderId="3" xfId="0" applyBorder="1"/>
    <xf numFmtId="0" fontId="0" fillId="0" borderId="2" xfId="0" applyBorder="1" applyAlignment="1">
      <alignment vertical="center"/>
    </xf>
    <xf numFmtId="0" fontId="0" fillId="0" borderId="5" xfId="0" applyBorder="1"/>
    <xf numFmtId="0" fontId="0" fillId="0" borderId="11" xfId="0" applyBorder="1"/>
    <xf numFmtId="0" fontId="0" fillId="0" borderId="6" xfId="0" applyBorder="1"/>
    <xf numFmtId="0" fontId="0" fillId="0" borderId="65" xfId="0" applyBorder="1"/>
    <xf numFmtId="0" fontId="23" fillId="12" borderId="0" xfId="0" applyFont="1" applyFill="1"/>
    <xf numFmtId="49" fontId="18" fillId="0" borderId="0" xfId="0" applyNumberFormat="1" applyFont="1"/>
    <xf numFmtId="0" fontId="6" fillId="6" borderId="0" xfId="0" applyFont="1" applyFill="1"/>
    <xf numFmtId="0" fontId="9" fillId="6" borderId="0" xfId="0" applyFont="1" applyFill="1"/>
    <xf numFmtId="164" fontId="3" fillId="0" borderId="68" xfId="65" applyNumberFormat="1" applyFont="1" applyBorder="1"/>
    <xf numFmtId="0" fontId="7" fillId="0" borderId="5" xfId="114" applyFont="1" applyBorder="1" applyAlignment="1">
      <alignment horizontal="left"/>
    </xf>
    <xf numFmtId="164" fontId="7" fillId="3" borderId="7" xfId="65" applyNumberFormat="1" applyFont="1" applyFill="1" applyBorder="1"/>
    <xf numFmtId="0" fontId="13" fillId="4" borderId="14" xfId="114" applyFont="1" applyFill="1" applyBorder="1" applyAlignment="1">
      <alignment vertical="center" wrapText="1"/>
    </xf>
    <xf numFmtId="0" fontId="13" fillId="4" borderId="29" xfId="114" applyFont="1" applyFill="1" applyBorder="1" applyAlignment="1">
      <alignment vertical="center" wrapText="1"/>
    </xf>
    <xf numFmtId="165" fontId="13" fillId="5" borderId="32" xfId="115" quotePrefix="1" applyNumberFormat="1" applyFont="1" applyFill="1" applyBorder="1" applyAlignment="1" applyProtection="1">
      <alignment horizontal="center" vertical="center"/>
    </xf>
    <xf numFmtId="165" fontId="13" fillId="5" borderId="15" xfId="115" quotePrefix="1" applyNumberFormat="1" applyFont="1" applyFill="1" applyBorder="1" applyAlignment="1" applyProtection="1">
      <alignment horizontal="center" vertical="center"/>
    </xf>
    <xf numFmtId="0" fontId="13" fillId="4" borderId="14" xfId="114" quotePrefix="1" applyFont="1" applyFill="1" applyBorder="1" applyAlignment="1">
      <alignment vertical="center" wrapText="1"/>
    </xf>
    <xf numFmtId="166" fontId="7" fillId="0" borderId="20" xfId="114" applyNumberFormat="1" applyFont="1" applyBorder="1" applyAlignment="1">
      <alignment vertical="center"/>
    </xf>
    <xf numFmtId="166" fontId="7" fillId="0" borderId="21" xfId="114" applyNumberFormat="1" applyFont="1" applyBorder="1" applyAlignment="1">
      <alignment vertical="center"/>
    </xf>
    <xf numFmtId="0" fontId="0" fillId="0" borderId="26" xfId="0" applyBorder="1"/>
    <xf numFmtId="165" fontId="0" fillId="0" borderId="26" xfId="123" applyNumberFormat="1" applyFont="1" applyBorder="1"/>
    <xf numFmtId="164" fontId="13" fillId="3" borderId="53" xfId="65" applyNumberFormat="1" applyFont="1" applyFill="1" applyBorder="1"/>
    <xf numFmtId="165" fontId="0" fillId="0" borderId="0" xfId="123" applyNumberFormat="1" applyFont="1" applyBorder="1"/>
    <xf numFmtId="164" fontId="13" fillId="3" borderId="83" xfId="114" applyNumberFormat="1" applyFont="1" applyFill="1" applyBorder="1"/>
    <xf numFmtId="178" fontId="0" fillId="0" borderId="0" xfId="123" applyNumberFormat="1" applyFont="1"/>
    <xf numFmtId="178" fontId="0" fillId="0" borderId="0" xfId="123" applyNumberFormat="1" applyFont="1" applyBorder="1"/>
    <xf numFmtId="178" fontId="0" fillId="0" borderId="26" xfId="123" applyNumberFormat="1" applyFont="1" applyBorder="1"/>
    <xf numFmtId="0" fontId="13" fillId="8" borderId="10" xfId="114" applyFont="1" applyFill="1" applyBorder="1" applyAlignment="1">
      <alignment horizontal="right" vertical="center"/>
    </xf>
    <xf numFmtId="0" fontId="7" fillId="8" borderId="10" xfId="114" applyFont="1" applyFill="1" applyBorder="1" applyAlignment="1">
      <alignment vertical="center" wrapText="1"/>
    </xf>
    <xf numFmtId="0" fontId="7" fillId="8" borderId="8" xfId="114" applyFont="1" applyFill="1" applyBorder="1" applyAlignment="1">
      <alignment vertical="center"/>
    </xf>
    <xf numFmtId="0" fontId="13" fillId="3" borderId="1" xfId="114" applyFont="1" applyFill="1" applyBorder="1"/>
    <xf numFmtId="0" fontId="7" fillId="0" borderId="42" xfId="114" applyFont="1" applyBorder="1" applyAlignment="1">
      <alignment vertical="center" wrapText="1"/>
    </xf>
    <xf numFmtId="165" fontId="13" fillId="0" borderId="72" xfId="115" quotePrefix="1" applyNumberFormat="1" applyFont="1" applyBorder="1" applyAlignment="1" applyProtection="1">
      <alignment horizontal="center" vertical="center"/>
    </xf>
    <xf numFmtId="165" fontId="13" fillId="5" borderId="72" xfId="115" quotePrefix="1" applyNumberFormat="1" applyFont="1" applyFill="1" applyBorder="1" applyAlignment="1" applyProtection="1">
      <alignment horizontal="center" vertical="center"/>
    </xf>
    <xf numFmtId="165" fontId="13" fillId="5" borderId="73" xfId="115" quotePrefix="1" applyNumberFormat="1" applyFont="1" applyFill="1" applyBorder="1" applyAlignment="1" applyProtection="1">
      <alignment horizontal="center" vertical="center"/>
    </xf>
    <xf numFmtId="10" fontId="13" fillId="0" borderId="1" xfId="0" applyNumberFormat="1" applyFont="1" applyBorder="1" applyAlignment="1">
      <alignment vertical="center"/>
    </xf>
    <xf numFmtId="168" fontId="13" fillId="0" borderId="4" xfId="116" applyNumberFormat="1" applyFont="1" applyFill="1" applyBorder="1" applyAlignment="1">
      <alignment vertical="center"/>
    </xf>
    <xf numFmtId="10" fontId="13" fillId="0" borderId="37" xfId="0" applyNumberFormat="1" applyFont="1" applyBorder="1" applyAlignment="1">
      <alignment vertical="center"/>
    </xf>
    <xf numFmtId="168" fontId="13" fillId="0" borderId="7" xfId="116" applyNumberFormat="1" applyFont="1" applyFill="1" applyBorder="1" applyAlignment="1">
      <alignment vertical="center"/>
    </xf>
    <xf numFmtId="10" fontId="13" fillId="0" borderId="1" xfId="124" applyNumberFormat="1" applyFont="1" applyFill="1" applyBorder="1" applyAlignment="1">
      <alignment vertical="center"/>
    </xf>
    <xf numFmtId="164" fontId="9" fillId="7" borderId="3" xfId="0" applyNumberFormat="1" applyFont="1" applyFill="1" applyBorder="1"/>
    <xf numFmtId="164" fontId="9" fillId="7" borderId="6" xfId="0" applyNumberFormat="1" applyFont="1" applyFill="1" applyBorder="1"/>
    <xf numFmtId="165" fontId="13" fillId="5" borderId="19" xfId="115" quotePrefix="1" applyNumberFormat="1" applyFont="1" applyFill="1" applyBorder="1" applyAlignment="1" applyProtection="1">
      <alignment horizontal="center" vertical="center"/>
    </xf>
    <xf numFmtId="0" fontId="7" fillId="0" borderId="29" xfId="114" applyFont="1" applyBorder="1" applyAlignment="1">
      <alignment vertical="center" wrapText="1"/>
    </xf>
    <xf numFmtId="168" fontId="3" fillId="0" borderId="72" xfId="65" applyNumberFormat="1" applyFont="1" applyBorder="1" applyAlignment="1" applyProtection="1">
      <alignment vertical="center"/>
    </xf>
    <xf numFmtId="168" fontId="3" fillId="0" borderId="1" xfId="65" applyNumberFormat="1" applyFont="1" applyBorder="1" applyAlignment="1" applyProtection="1">
      <alignment vertical="center"/>
    </xf>
    <xf numFmtId="168" fontId="3" fillId="0" borderId="32" xfId="115" applyNumberFormat="1" applyFont="1" applyBorder="1" applyAlignment="1" applyProtection="1">
      <alignment vertical="center"/>
    </xf>
    <xf numFmtId="168" fontId="3" fillId="0" borderId="1" xfId="115" applyNumberFormat="1" applyFont="1" applyBorder="1" applyAlignment="1" applyProtection="1">
      <alignment vertical="center"/>
    </xf>
    <xf numFmtId="168" fontId="3" fillId="0" borderId="45" xfId="115" applyNumberFormat="1" applyFont="1" applyBorder="1" applyAlignment="1" applyProtection="1">
      <alignment vertical="center"/>
    </xf>
    <xf numFmtId="168" fontId="3" fillId="0" borderId="4" xfId="115" applyNumberFormat="1" applyFont="1" applyBorder="1" applyAlignment="1" applyProtection="1">
      <alignment vertical="center"/>
    </xf>
    <xf numFmtId="168" fontId="3" fillId="0" borderId="46" xfId="115" applyNumberFormat="1" applyFont="1" applyBorder="1" applyAlignment="1" applyProtection="1">
      <alignment vertical="center"/>
    </xf>
    <xf numFmtId="168" fontId="3" fillId="0" borderId="19" xfId="115" applyNumberFormat="1" applyFont="1" applyBorder="1" applyAlignment="1" applyProtection="1">
      <alignment vertical="center"/>
    </xf>
    <xf numFmtId="168" fontId="3" fillId="0" borderId="15" xfId="115" applyNumberFormat="1" applyFont="1" applyBorder="1" applyAlignment="1" applyProtection="1">
      <alignment vertical="center"/>
    </xf>
    <xf numFmtId="168" fontId="3" fillId="0" borderId="12" xfId="115" applyNumberFormat="1" applyFont="1" applyBorder="1" applyAlignment="1" applyProtection="1">
      <alignment vertical="center"/>
    </xf>
    <xf numFmtId="168" fontId="7" fillId="0" borderId="23" xfId="115" applyNumberFormat="1" applyFont="1" applyBorder="1" applyAlignment="1" applyProtection="1">
      <alignment horizontal="right" vertical="center"/>
    </xf>
    <xf numFmtId="165" fontId="0" fillId="0" borderId="0" xfId="123" applyNumberFormat="1" applyFont="1" applyFill="1"/>
    <xf numFmtId="49" fontId="0" fillId="0" borderId="0" xfId="0" applyNumberFormat="1"/>
    <xf numFmtId="0" fontId="13" fillId="3" borderId="27" xfId="0" applyFont="1" applyFill="1" applyBorder="1" applyAlignment="1">
      <alignment vertical="center"/>
    </xf>
    <xf numFmtId="0" fontId="13" fillId="3" borderId="36" xfId="0" applyFont="1" applyFill="1" applyBorder="1" applyAlignment="1">
      <alignment vertical="center"/>
    </xf>
    <xf numFmtId="0" fontId="13" fillId="3" borderId="28" xfId="0" applyFont="1" applyFill="1" applyBorder="1" applyAlignment="1">
      <alignment vertical="center"/>
    </xf>
    <xf numFmtId="0" fontId="13" fillId="3" borderId="14" xfId="0" applyFont="1" applyFill="1" applyBorder="1" applyAlignment="1">
      <alignment vertical="center"/>
    </xf>
    <xf numFmtId="0" fontId="13" fillId="3" borderId="18" xfId="0" applyFont="1" applyFill="1" applyBorder="1" applyAlignment="1">
      <alignment vertical="center"/>
    </xf>
    <xf numFmtId="0" fontId="13" fillId="3" borderId="19" xfId="0" applyFont="1" applyFill="1" applyBorder="1" applyAlignment="1">
      <alignment vertical="center"/>
    </xf>
    <xf numFmtId="0" fontId="13" fillId="3" borderId="14" xfId="0" applyFont="1" applyFill="1" applyBorder="1" applyAlignment="1">
      <alignment vertical="center" wrapText="1"/>
    </xf>
    <xf numFmtId="0" fontId="13" fillId="3" borderId="18" xfId="0" applyFont="1" applyFill="1" applyBorder="1" applyAlignment="1">
      <alignment vertical="center" wrapText="1"/>
    </xf>
    <xf numFmtId="0" fontId="13" fillId="3" borderId="19" xfId="0" applyFont="1" applyFill="1" applyBorder="1" applyAlignment="1">
      <alignment vertical="center" wrapText="1"/>
    </xf>
    <xf numFmtId="168" fontId="13" fillId="10" borderId="34" xfId="116" applyNumberFormat="1" applyFont="1" applyFill="1" applyBorder="1" applyAlignment="1" applyProtection="1">
      <alignment vertical="center"/>
      <protection locked="0"/>
    </xf>
    <xf numFmtId="168" fontId="13" fillId="10" borderId="47" xfId="116" applyNumberFormat="1" applyFont="1" applyFill="1" applyBorder="1" applyAlignment="1" applyProtection="1">
      <alignment vertical="center"/>
      <protection locked="0"/>
    </xf>
    <xf numFmtId="0" fontId="13" fillId="3" borderId="29" xfId="0" applyFont="1" applyFill="1" applyBorder="1" applyAlignment="1">
      <alignment horizontal="left"/>
    </xf>
    <xf numFmtId="0" fontId="13" fillId="3" borderId="26" xfId="0" applyFont="1" applyFill="1" applyBorder="1" applyAlignment="1">
      <alignment horizontal="left"/>
    </xf>
    <xf numFmtId="49" fontId="13" fillId="10" borderId="56" xfId="124" applyNumberFormat="1" applyFont="1" applyFill="1" applyBorder="1" applyAlignment="1" applyProtection="1">
      <alignment horizontal="center" vertical="center"/>
      <protection locked="0"/>
    </xf>
    <xf numFmtId="49" fontId="13" fillId="10" borderId="30" xfId="124" applyNumberFormat="1" applyFont="1" applyFill="1" applyBorder="1" applyAlignment="1" applyProtection="1">
      <alignment horizontal="center" vertical="center"/>
      <protection locked="0"/>
    </xf>
    <xf numFmtId="0" fontId="22" fillId="12" borderId="20" xfId="0" applyFont="1" applyFill="1" applyBorder="1" applyAlignment="1">
      <alignment horizontal="center" vertical="center"/>
    </xf>
    <xf numFmtId="0" fontId="22" fillId="12" borderId="21" xfId="0" applyFont="1" applyFill="1" applyBorder="1" applyAlignment="1">
      <alignment horizontal="center" vertical="center"/>
    </xf>
    <xf numFmtId="0" fontId="22" fillId="12" borderId="41" xfId="0" applyFont="1" applyFill="1" applyBorder="1" applyAlignment="1">
      <alignment horizontal="center" vertical="center"/>
    </xf>
    <xf numFmtId="49" fontId="13" fillId="3" borderId="14" xfId="0" applyNumberFormat="1" applyFont="1" applyFill="1" applyBorder="1" applyAlignment="1">
      <alignment horizontal="left"/>
    </xf>
    <xf numFmtId="49" fontId="13" fillId="3" borderId="18" xfId="0" applyNumberFormat="1" applyFont="1" applyFill="1" applyBorder="1" applyAlignment="1">
      <alignment horizontal="left"/>
    </xf>
    <xf numFmtId="49" fontId="13" fillId="3" borderId="19" xfId="0" applyNumberFormat="1" applyFont="1" applyFill="1" applyBorder="1" applyAlignment="1">
      <alignment horizontal="left"/>
    </xf>
    <xf numFmtId="0" fontId="23" fillId="12" borderId="29" xfId="0" applyFont="1" applyFill="1" applyBorder="1" applyAlignment="1">
      <alignment horizontal="left" vertical="center"/>
    </xf>
    <xf numFmtId="0" fontId="23" fillId="12" borderId="26" xfId="0" applyFont="1" applyFill="1" applyBorder="1" applyAlignment="1">
      <alignment horizontal="left" vertical="center"/>
    </xf>
    <xf numFmtId="49" fontId="13" fillId="10" borderId="56" xfId="116" applyNumberFormat="1" applyFont="1" applyFill="1" applyBorder="1" applyAlignment="1" applyProtection="1">
      <alignment horizontal="center" vertical="center"/>
      <protection locked="0"/>
    </xf>
    <xf numFmtId="49" fontId="13" fillId="10" borderId="30" xfId="116" applyNumberFormat="1" applyFont="1" applyFill="1" applyBorder="1" applyAlignment="1" applyProtection="1">
      <alignment horizontal="center" vertical="center"/>
      <protection locked="0"/>
    </xf>
    <xf numFmtId="0" fontId="20" fillId="12" borderId="16" xfId="0" applyFont="1" applyFill="1" applyBorder="1" applyAlignment="1">
      <alignment horizontal="center"/>
    </xf>
    <xf numFmtId="0" fontId="20" fillId="12" borderId="35" xfId="0" applyFont="1" applyFill="1" applyBorder="1" applyAlignment="1">
      <alignment horizontal="center"/>
    </xf>
    <xf numFmtId="0" fontId="20" fillId="12" borderId="17" xfId="0" applyFont="1" applyFill="1" applyBorder="1" applyAlignment="1">
      <alignment horizontal="center"/>
    </xf>
    <xf numFmtId="0" fontId="13" fillId="3" borderId="14" xfId="0" applyFont="1" applyFill="1" applyBorder="1"/>
    <xf numFmtId="0" fontId="13" fillId="3" borderId="18" xfId="0" applyFont="1" applyFill="1" applyBorder="1"/>
    <xf numFmtId="0" fontId="13" fillId="3" borderId="19" xfId="0" applyFont="1" applyFill="1" applyBorder="1"/>
    <xf numFmtId="168" fontId="13" fillId="10" borderId="34" xfId="116" applyNumberFormat="1" applyFont="1" applyFill="1" applyBorder="1" applyAlignment="1" applyProtection="1">
      <alignment horizontal="center" vertical="center"/>
      <protection locked="0"/>
    </xf>
    <xf numFmtId="168" fontId="13" fillId="10" borderId="47" xfId="116" applyNumberFormat="1" applyFont="1" applyFill="1" applyBorder="1" applyAlignment="1" applyProtection="1">
      <alignment horizontal="center" vertical="center"/>
      <protection locked="0"/>
    </xf>
    <xf numFmtId="49" fontId="13" fillId="10" borderId="34" xfId="116" applyNumberFormat="1" applyFont="1" applyFill="1" applyBorder="1" applyAlignment="1" applyProtection="1">
      <alignment horizontal="center" vertical="center"/>
      <protection locked="0"/>
    </xf>
    <xf numFmtId="49" fontId="13" fillId="10" borderId="47" xfId="116" applyNumberFormat="1" applyFont="1" applyFill="1" applyBorder="1" applyAlignment="1" applyProtection="1">
      <alignment horizontal="center" vertical="center"/>
      <protection locked="0"/>
    </xf>
    <xf numFmtId="0" fontId="23" fillId="12" borderId="14" xfId="0" applyFont="1" applyFill="1" applyBorder="1" applyAlignment="1">
      <alignment horizontal="left" vertical="center"/>
    </xf>
    <xf numFmtId="0" fontId="23" fillId="12" borderId="18" xfId="0" applyFont="1" applyFill="1" applyBorder="1" applyAlignment="1">
      <alignment horizontal="left" vertical="center"/>
    </xf>
    <xf numFmtId="168" fontId="13" fillId="0" borderId="75" xfId="116" applyNumberFormat="1" applyFont="1" applyFill="1" applyBorder="1" applyAlignment="1" applyProtection="1">
      <alignment horizontal="center" vertical="center"/>
    </xf>
    <xf numFmtId="168" fontId="13" fillId="0" borderId="41" xfId="116" applyNumberFormat="1" applyFont="1" applyFill="1" applyBorder="1" applyAlignment="1" applyProtection="1">
      <alignment horizontal="center" vertical="center"/>
    </xf>
    <xf numFmtId="168" fontId="13" fillId="10" borderId="56" xfId="116" applyNumberFormat="1" applyFont="1" applyFill="1" applyBorder="1" applyAlignment="1" applyProtection="1">
      <alignment vertical="center"/>
      <protection locked="0"/>
    </xf>
    <xf numFmtId="168" fontId="13" fillId="10" borderId="30" xfId="116" applyNumberFormat="1" applyFont="1" applyFill="1" applyBorder="1" applyAlignment="1" applyProtection="1">
      <alignment vertical="center"/>
      <protection locked="0"/>
    </xf>
    <xf numFmtId="0" fontId="23" fillId="12" borderId="29" xfId="0" applyFont="1" applyFill="1" applyBorder="1" applyAlignment="1">
      <alignment horizontal="center" vertical="center" wrapText="1"/>
    </xf>
    <xf numFmtId="0" fontId="23" fillId="12" borderId="26" xfId="0" applyFont="1" applyFill="1" applyBorder="1" applyAlignment="1">
      <alignment horizontal="center" vertical="center"/>
    </xf>
    <xf numFmtId="0" fontId="23" fillId="12" borderId="30" xfId="0" applyFont="1" applyFill="1" applyBorder="1" applyAlignment="1">
      <alignment horizontal="center" vertical="center"/>
    </xf>
    <xf numFmtId="0" fontId="30" fillId="12" borderId="20" xfId="0" applyFont="1" applyFill="1" applyBorder="1" applyAlignment="1">
      <alignment horizontal="center" vertical="center"/>
    </xf>
    <xf numFmtId="0" fontId="30" fillId="12" borderId="21" xfId="0" applyFont="1" applyFill="1" applyBorder="1" applyAlignment="1">
      <alignment horizontal="center" vertical="center"/>
    </xf>
    <xf numFmtId="0" fontId="30" fillId="12" borderId="41" xfId="0" applyFont="1" applyFill="1" applyBorder="1" applyAlignment="1">
      <alignment horizontal="center" vertical="center"/>
    </xf>
    <xf numFmtId="0" fontId="13" fillId="3" borderId="27" xfId="0" applyFont="1" applyFill="1" applyBorder="1" applyAlignment="1">
      <alignment horizontal="center"/>
    </xf>
    <xf numFmtId="0" fontId="13" fillId="3" borderId="36" xfId="0" applyFont="1" applyFill="1" applyBorder="1" applyAlignment="1">
      <alignment horizontal="center"/>
    </xf>
    <xf numFmtId="0" fontId="13" fillId="3" borderId="48" xfId="0" applyFont="1" applyFill="1" applyBorder="1" applyAlignment="1">
      <alignment horizontal="center"/>
    </xf>
    <xf numFmtId="0" fontId="13" fillId="3" borderId="14" xfId="0" applyFont="1" applyFill="1" applyBorder="1" applyAlignment="1">
      <alignment wrapText="1"/>
    </xf>
    <xf numFmtId="0" fontId="13" fillId="3" borderId="18" xfId="0" applyFont="1" applyFill="1" applyBorder="1" applyAlignment="1">
      <alignment wrapText="1"/>
    </xf>
    <xf numFmtId="0" fontId="13" fillId="3" borderId="19" xfId="0" applyFont="1" applyFill="1" applyBorder="1" applyAlignment="1">
      <alignment wrapText="1"/>
    </xf>
    <xf numFmtId="168" fontId="13" fillId="10" borderId="52" xfId="116" applyNumberFormat="1" applyFont="1" applyFill="1" applyBorder="1" applyAlignment="1" applyProtection="1">
      <alignment horizontal="center" vertical="center"/>
      <protection locked="0"/>
    </xf>
    <xf numFmtId="168" fontId="13" fillId="10" borderId="48" xfId="116" applyNumberFormat="1" applyFont="1" applyFill="1" applyBorder="1" applyAlignment="1" applyProtection="1">
      <alignment horizontal="center" vertical="center"/>
      <protection locked="0"/>
    </xf>
    <xf numFmtId="0" fontId="13" fillId="3" borderId="27" xfId="0" applyFont="1" applyFill="1" applyBorder="1" applyAlignment="1">
      <alignment wrapText="1"/>
    </xf>
    <xf numFmtId="0" fontId="13" fillId="3" borderId="36" xfId="0" applyFont="1" applyFill="1" applyBorder="1" applyAlignment="1">
      <alignment wrapText="1"/>
    </xf>
    <xf numFmtId="0" fontId="13" fillId="3" borderId="28" xfId="0" applyFont="1" applyFill="1" applyBorder="1" applyAlignment="1">
      <alignment wrapText="1"/>
    </xf>
    <xf numFmtId="168" fontId="23" fillId="14" borderId="34" xfId="116" applyNumberFormat="1" applyFont="1" applyFill="1" applyBorder="1" applyAlignment="1" applyProtection="1">
      <alignment vertical="center"/>
      <protection locked="0"/>
    </xf>
    <xf numFmtId="168" fontId="23" fillId="14" borderId="47" xfId="116" applyNumberFormat="1" applyFont="1" applyFill="1" applyBorder="1" applyAlignment="1" applyProtection="1">
      <alignment vertical="center"/>
      <protection locked="0"/>
    </xf>
    <xf numFmtId="168" fontId="13" fillId="3" borderId="34" xfId="116" applyNumberFormat="1" applyFont="1" applyFill="1" applyBorder="1" applyAlignment="1" applyProtection="1">
      <alignment vertical="center"/>
    </xf>
    <xf numFmtId="168" fontId="13" fillId="3" borderId="47" xfId="116" applyNumberFormat="1" applyFont="1" applyFill="1" applyBorder="1" applyAlignment="1" applyProtection="1">
      <alignment vertical="center"/>
    </xf>
    <xf numFmtId="0" fontId="26" fillId="6" borderId="8"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0" fillId="12" borderId="5" xfId="0" applyFill="1" applyBorder="1"/>
    <xf numFmtId="0" fontId="0" fillId="12" borderId="11" xfId="0" applyFill="1" applyBorder="1"/>
    <xf numFmtId="0" fontId="0" fillId="12" borderId="6" xfId="0" applyFill="1" applyBorder="1"/>
    <xf numFmtId="0" fontId="0" fillId="12" borderId="20" xfId="0" applyFill="1" applyBorder="1" applyAlignment="1">
      <alignment horizontal="left"/>
    </xf>
    <xf numFmtId="0" fontId="0" fillId="12" borderId="21" xfId="0" applyFill="1" applyBorder="1" applyAlignment="1">
      <alignment horizontal="left"/>
    </xf>
    <xf numFmtId="0" fontId="0" fillId="12" borderId="22" xfId="0" applyFill="1" applyBorder="1" applyAlignment="1">
      <alignment horizontal="left"/>
    </xf>
    <xf numFmtId="0" fontId="21" fillId="10" borderId="75" xfId="0" applyFont="1" applyFill="1" applyBorder="1" applyAlignment="1">
      <alignment horizontal="center" vertical="center" wrapText="1"/>
    </xf>
    <xf numFmtId="0" fontId="21" fillId="10" borderId="41" xfId="0" applyFont="1" applyFill="1" applyBorder="1" applyAlignment="1">
      <alignment horizontal="center" vertical="center" wrapText="1"/>
    </xf>
    <xf numFmtId="0" fontId="13" fillId="3" borderId="14" xfId="0" applyFont="1" applyFill="1" applyBorder="1" applyAlignment="1">
      <alignment horizontal="left"/>
    </xf>
    <xf numFmtId="0" fontId="13" fillId="3" borderId="18" xfId="0" applyFont="1" applyFill="1" applyBorder="1" applyAlignment="1">
      <alignment horizontal="left"/>
    </xf>
    <xf numFmtId="49" fontId="13" fillId="10" borderId="34" xfId="124" applyNumberFormat="1" applyFont="1" applyFill="1" applyBorder="1" applyAlignment="1" applyProtection="1">
      <alignment horizontal="center" vertical="center"/>
      <protection locked="0"/>
    </xf>
    <xf numFmtId="49" fontId="13" fillId="10" borderId="47" xfId="124" applyNumberFormat="1" applyFont="1" applyFill="1" applyBorder="1" applyAlignment="1" applyProtection="1">
      <alignment horizontal="center" vertical="center"/>
      <protection locked="0"/>
    </xf>
    <xf numFmtId="0" fontId="13" fillId="3" borderId="49" xfId="0" applyFont="1" applyFill="1" applyBorder="1" applyAlignment="1">
      <alignment horizontal="left"/>
    </xf>
    <xf numFmtId="0" fontId="13" fillId="3" borderId="40" xfId="0" applyFont="1" applyFill="1" applyBorder="1" applyAlignment="1">
      <alignment horizontal="left"/>
    </xf>
    <xf numFmtId="0" fontId="13" fillId="10" borderId="75" xfId="0" applyFont="1" applyFill="1" applyBorder="1" applyAlignment="1" applyProtection="1">
      <alignment horizontal="center"/>
      <protection locked="0"/>
    </xf>
    <xf numFmtId="0" fontId="13" fillId="10" borderId="21" xfId="0" applyFont="1" applyFill="1" applyBorder="1" applyAlignment="1" applyProtection="1">
      <alignment horizontal="center"/>
      <protection locked="0"/>
    </xf>
    <xf numFmtId="0" fontId="13" fillId="10" borderId="41" xfId="0" applyFont="1" applyFill="1" applyBorder="1" applyAlignment="1" applyProtection="1">
      <alignment horizontal="center"/>
      <protection locked="0"/>
    </xf>
    <xf numFmtId="168" fontId="13" fillId="10" borderId="57" xfId="116" applyNumberFormat="1" applyFont="1" applyFill="1" applyBorder="1" applyAlignment="1" applyProtection="1">
      <alignment vertical="center"/>
      <protection locked="0"/>
    </xf>
    <xf numFmtId="168" fontId="13" fillId="10" borderId="59" xfId="116" applyNumberFormat="1" applyFont="1" applyFill="1" applyBorder="1" applyAlignment="1" applyProtection="1">
      <alignment vertical="center"/>
      <protection locked="0"/>
    </xf>
    <xf numFmtId="0" fontId="13" fillId="0" borderId="52" xfId="0" applyFont="1" applyBorder="1" applyAlignment="1">
      <alignment horizontal="center"/>
    </xf>
    <xf numFmtId="0" fontId="13" fillId="0" borderId="36" xfId="0" applyFont="1" applyBorder="1" applyAlignment="1">
      <alignment horizontal="center"/>
    </xf>
    <xf numFmtId="0" fontId="13" fillId="0" borderId="48" xfId="0" applyFont="1" applyBorder="1" applyAlignment="1">
      <alignment horizontal="center"/>
    </xf>
    <xf numFmtId="0" fontId="13" fillId="3" borderId="36" xfId="0" applyFont="1" applyFill="1" applyBorder="1" applyAlignment="1">
      <alignment horizontal="right"/>
    </xf>
    <xf numFmtId="0" fontId="13" fillId="3" borderId="42" xfId="0" applyFont="1" applyFill="1" applyBorder="1"/>
    <xf numFmtId="0" fontId="13" fillId="3" borderId="44" xfId="0" applyFont="1" applyFill="1" applyBorder="1"/>
    <xf numFmtId="0" fontId="13" fillId="3" borderId="2" xfId="0" applyFont="1" applyFill="1" applyBorder="1" applyAlignment="1">
      <alignment horizontal="left"/>
    </xf>
    <xf numFmtId="0" fontId="13" fillId="3" borderId="0" xfId="0" applyFont="1" applyFill="1" applyAlignment="1">
      <alignment horizontal="left"/>
    </xf>
    <xf numFmtId="177" fontId="13" fillId="3" borderId="34" xfId="0" applyNumberFormat="1" applyFont="1" applyFill="1" applyBorder="1" applyAlignment="1">
      <alignment horizontal="center" vertical="center" wrapText="1"/>
    </xf>
    <xf numFmtId="177" fontId="13" fillId="3" borderId="47" xfId="0" applyNumberFormat="1" applyFont="1" applyFill="1" applyBorder="1" applyAlignment="1">
      <alignment horizontal="center" vertical="center" wrapText="1"/>
    </xf>
    <xf numFmtId="0" fontId="0" fillId="12" borderId="14" xfId="0" applyFill="1" applyBorder="1" applyAlignment="1">
      <alignment horizontal="left"/>
    </xf>
    <xf numFmtId="0" fontId="0" fillId="12" borderId="18" xfId="0" applyFill="1" applyBorder="1" applyAlignment="1">
      <alignment horizontal="left"/>
    </xf>
    <xf numFmtId="0" fontId="0" fillId="12" borderId="19" xfId="0" applyFill="1" applyBorder="1" applyAlignment="1">
      <alignment horizontal="left"/>
    </xf>
    <xf numFmtId="0" fontId="13" fillId="3" borderId="19" xfId="0" applyFont="1" applyFill="1" applyBorder="1" applyAlignment="1">
      <alignment horizontal="left"/>
    </xf>
    <xf numFmtId="0" fontId="13" fillId="3" borderId="29" xfId="0" applyFont="1" applyFill="1" applyBorder="1"/>
    <xf numFmtId="0" fontId="13" fillId="3" borderId="26" xfId="0" applyFont="1" applyFill="1" applyBorder="1"/>
    <xf numFmtId="0" fontId="13" fillId="0" borderId="34" xfId="0" applyFont="1" applyBorder="1" applyAlignment="1">
      <alignment horizontal="center"/>
    </xf>
    <xf numFmtId="0" fontId="13" fillId="0" borderId="18" xfId="0" applyFont="1" applyBorder="1" applyAlignment="1">
      <alignment horizontal="center"/>
    </xf>
    <xf numFmtId="0" fontId="13" fillId="0" borderId="47" xfId="0" applyFont="1" applyBorder="1" applyAlignment="1">
      <alignment horizontal="center"/>
    </xf>
    <xf numFmtId="0" fontId="13" fillId="3" borderId="18" xfId="0" applyFont="1" applyFill="1" applyBorder="1" applyAlignment="1">
      <alignment horizontal="right"/>
    </xf>
    <xf numFmtId="0" fontId="13" fillId="3" borderId="20" xfId="0" applyFont="1" applyFill="1" applyBorder="1" applyAlignment="1">
      <alignment horizontal="left"/>
    </xf>
    <xf numFmtId="0" fontId="13" fillId="3" borderId="21" xfId="0" applyFont="1" applyFill="1" applyBorder="1" applyAlignment="1">
      <alignment horizontal="left"/>
    </xf>
    <xf numFmtId="0" fontId="13" fillId="3" borderId="22" xfId="0" applyFont="1" applyFill="1" applyBorder="1" applyAlignment="1">
      <alignment horizontal="left"/>
    </xf>
    <xf numFmtId="0" fontId="13" fillId="3" borderId="29" xfId="0" applyFont="1" applyFill="1" applyBorder="1" applyAlignment="1">
      <alignment horizontal="left" wrapText="1"/>
    </xf>
    <xf numFmtId="0" fontId="13" fillId="3" borderId="26" xfId="0" applyFont="1" applyFill="1" applyBorder="1" applyAlignment="1">
      <alignment horizontal="left" wrapText="1"/>
    </xf>
    <xf numFmtId="0" fontId="13" fillId="3" borderId="29" xfId="0" applyFont="1" applyFill="1" applyBorder="1" applyAlignment="1">
      <alignment horizontal="left" vertical="center" wrapText="1"/>
    </xf>
    <xf numFmtId="0" fontId="13" fillId="3" borderId="26" xfId="0" applyFont="1" applyFill="1" applyBorder="1" applyAlignment="1">
      <alignment horizontal="left" vertical="center" wrapText="1"/>
    </xf>
    <xf numFmtId="0" fontId="13" fillId="3" borderId="27" xfId="0" applyFont="1" applyFill="1" applyBorder="1" applyAlignment="1">
      <alignment horizontal="left" vertical="center" wrapText="1"/>
    </xf>
    <xf numFmtId="0" fontId="13" fillId="3" borderId="36" xfId="0" applyFont="1" applyFill="1" applyBorder="1" applyAlignment="1">
      <alignment horizontal="left" vertical="center" wrapText="1"/>
    </xf>
    <xf numFmtId="0" fontId="14" fillId="6" borderId="8" xfId="0" applyFont="1" applyFill="1" applyBorder="1" applyAlignment="1">
      <alignment horizontal="center"/>
    </xf>
    <xf numFmtId="0" fontId="14" fillId="6" borderId="10" xfId="0" applyFont="1" applyFill="1" applyBorder="1" applyAlignment="1">
      <alignment horizontal="center"/>
    </xf>
    <xf numFmtId="0" fontId="14" fillId="6" borderId="9" xfId="0" applyFont="1" applyFill="1" applyBorder="1" applyAlignment="1">
      <alignment horizontal="center"/>
    </xf>
    <xf numFmtId="0" fontId="14" fillId="6" borderId="5" xfId="0" applyFont="1" applyFill="1" applyBorder="1" applyAlignment="1">
      <alignment horizontal="center"/>
    </xf>
    <xf numFmtId="0" fontId="14" fillId="6" borderId="11" xfId="0" applyFont="1" applyFill="1" applyBorder="1" applyAlignment="1">
      <alignment horizontal="center"/>
    </xf>
    <xf numFmtId="0" fontId="14" fillId="6" borderId="6" xfId="0" applyFont="1" applyFill="1" applyBorder="1" applyAlignment="1">
      <alignment horizontal="center"/>
    </xf>
    <xf numFmtId="0" fontId="13" fillId="3" borderId="50" xfId="0" applyFont="1" applyFill="1" applyBorder="1" applyAlignment="1">
      <alignment horizontal="left"/>
    </xf>
    <xf numFmtId="0" fontId="13" fillId="3" borderId="32" xfId="0" applyFont="1" applyFill="1" applyBorder="1" applyAlignment="1">
      <alignment horizontal="left"/>
    </xf>
    <xf numFmtId="0" fontId="13" fillId="10" borderId="56" xfId="0" applyFont="1" applyFill="1" applyBorder="1" applyAlignment="1" applyProtection="1">
      <alignment horizontal="center"/>
      <protection locked="0"/>
    </xf>
    <xf numFmtId="0" fontId="13" fillId="10" borderId="26" xfId="0" applyFont="1" applyFill="1" applyBorder="1" applyAlignment="1" applyProtection="1">
      <alignment horizontal="center"/>
      <protection locked="0"/>
    </xf>
    <xf numFmtId="0" fontId="13" fillId="10" borderId="30" xfId="0" applyFont="1" applyFill="1" applyBorder="1" applyAlignment="1" applyProtection="1">
      <alignment horizontal="center"/>
      <protection locked="0"/>
    </xf>
    <xf numFmtId="0" fontId="13" fillId="3" borderId="14" xfId="0" applyFont="1" applyFill="1" applyBorder="1" applyAlignment="1">
      <alignment horizontal="center"/>
    </xf>
    <xf numFmtId="0" fontId="13" fillId="3" borderId="18" xfId="0" applyFont="1" applyFill="1" applyBorder="1" applyAlignment="1">
      <alignment horizontal="center"/>
    </xf>
    <xf numFmtId="0" fontId="13" fillId="3" borderId="47" xfId="0" applyFont="1" applyFill="1" applyBorder="1" applyAlignment="1">
      <alignment horizontal="center"/>
    </xf>
    <xf numFmtId="0" fontId="13" fillId="3" borderId="13" xfId="0" applyFont="1" applyFill="1" applyBorder="1" applyAlignment="1">
      <alignment horizontal="left"/>
    </xf>
    <xf numFmtId="0" fontId="13" fillId="3" borderId="1" xfId="0" applyFont="1" applyFill="1" applyBorder="1" applyAlignment="1">
      <alignment horizontal="left"/>
    </xf>
    <xf numFmtId="0" fontId="13" fillId="10" borderId="34" xfId="0" applyFont="1" applyFill="1" applyBorder="1" applyAlignment="1" applyProtection="1">
      <alignment horizontal="center"/>
      <protection locked="0"/>
    </xf>
    <xf numFmtId="0" fontId="13" fillId="10" borderId="18" xfId="0" applyFont="1" applyFill="1" applyBorder="1" applyAlignment="1" applyProtection="1">
      <alignment horizontal="center"/>
      <protection locked="0"/>
    </xf>
    <xf numFmtId="0" fontId="13" fillId="10" borderId="47" xfId="0" applyFont="1" applyFill="1" applyBorder="1" applyAlignment="1" applyProtection="1">
      <alignment horizontal="center"/>
      <protection locked="0"/>
    </xf>
    <xf numFmtId="176" fontId="29" fillId="10" borderId="75" xfId="124" applyNumberFormat="1" applyFont="1" applyFill="1" applyBorder="1" applyAlignment="1" applyProtection="1">
      <alignment vertical="center"/>
      <protection locked="0"/>
    </xf>
    <xf numFmtId="176" fontId="29" fillId="10" borderId="41" xfId="124" applyNumberFormat="1" applyFont="1" applyFill="1" applyBorder="1" applyAlignment="1" applyProtection="1">
      <alignment vertical="center"/>
      <protection locked="0"/>
    </xf>
    <xf numFmtId="0" fontId="29" fillId="3" borderId="20" xfId="0" applyFont="1" applyFill="1" applyBorder="1" applyAlignment="1">
      <alignment horizontal="left" vertical="center"/>
    </xf>
    <xf numFmtId="0" fontId="29" fillId="3" borderId="21" xfId="0" applyFont="1" applyFill="1" applyBorder="1" applyAlignment="1">
      <alignment horizontal="left" vertical="center"/>
    </xf>
    <xf numFmtId="0" fontId="8" fillId="2" borderId="16" xfId="0" applyFont="1" applyFill="1" applyBorder="1" applyAlignment="1">
      <alignment horizontal="center"/>
    </xf>
    <xf numFmtId="0" fontId="8" fillId="2" borderId="17" xfId="0" applyFont="1" applyFill="1" applyBorder="1" applyAlignment="1">
      <alignment horizont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7" fillId="0" borderId="14" xfId="114" applyFont="1" applyBorder="1" applyAlignment="1">
      <alignment horizontal="left" vertical="center" wrapText="1"/>
    </xf>
    <xf numFmtId="0" fontId="7" fillId="0" borderId="18" xfId="114" applyFont="1" applyBorder="1" applyAlignment="1">
      <alignment horizontal="left" vertical="center" wrapText="1"/>
    </xf>
    <xf numFmtId="0" fontId="7" fillId="0" borderId="19" xfId="114" applyFont="1" applyBorder="1" applyAlignment="1">
      <alignment horizontal="left" vertical="center" wrapText="1"/>
    </xf>
    <xf numFmtId="0" fontId="7" fillId="0" borderId="27" xfId="114" applyFont="1" applyBorder="1" applyAlignment="1">
      <alignment vertical="center" wrapText="1"/>
    </xf>
    <xf numFmtId="0" fontId="7" fillId="0" borderId="36" xfId="114" applyFont="1" applyBorder="1" applyAlignment="1">
      <alignment vertical="center" wrapText="1"/>
    </xf>
    <xf numFmtId="0" fontId="7" fillId="0" borderId="28" xfId="114" applyFont="1" applyBorder="1" applyAlignment="1">
      <alignment vertical="center" wrapText="1"/>
    </xf>
    <xf numFmtId="0" fontId="7" fillId="0" borderId="20" xfId="114" applyFont="1" applyBorder="1" applyAlignment="1">
      <alignment vertical="center"/>
    </xf>
    <xf numFmtId="0" fontId="7" fillId="0" borderId="21" xfId="114" applyFont="1" applyBorder="1" applyAlignment="1">
      <alignment vertical="center"/>
    </xf>
    <xf numFmtId="0" fontId="7" fillId="0" borderId="22" xfId="114" applyFont="1" applyBorder="1" applyAlignment="1">
      <alignment vertical="center"/>
    </xf>
    <xf numFmtId="0" fontId="13" fillId="4" borderId="16" xfId="114" applyFont="1" applyFill="1" applyBorder="1" applyAlignment="1">
      <alignment horizontal="left" vertical="center" wrapText="1"/>
    </xf>
    <xf numFmtId="0" fontId="13" fillId="4" borderId="35" xfId="114" applyFont="1" applyFill="1" applyBorder="1" applyAlignment="1">
      <alignment horizontal="left" vertical="center" wrapText="1"/>
    </xf>
    <xf numFmtId="0" fontId="13" fillId="4" borderId="17" xfId="114" applyFont="1" applyFill="1" applyBorder="1" applyAlignment="1">
      <alignment horizontal="left" vertical="center" wrapText="1"/>
    </xf>
    <xf numFmtId="0" fontId="7" fillId="0" borderId="27" xfId="114" applyFont="1" applyBorder="1" applyAlignment="1">
      <alignment horizontal="left" vertical="center" wrapText="1"/>
    </xf>
    <xf numFmtId="0" fontId="7" fillId="0" borderId="36" xfId="114" applyFont="1" applyBorder="1" applyAlignment="1">
      <alignment horizontal="left" vertical="center" wrapText="1"/>
    </xf>
    <xf numFmtId="0" fontId="7" fillId="0" borderId="28" xfId="114" applyFont="1" applyBorder="1" applyAlignment="1">
      <alignment horizontal="left" vertical="center" wrapText="1"/>
    </xf>
    <xf numFmtId="0" fontId="13" fillId="4" borderId="14" xfId="114" applyFont="1" applyFill="1" applyBorder="1" applyAlignment="1">
      <alignment vertical="center"/>
    </xf>
    <xf numFmtId="0" fontId="13" fillId="4" borderId="18" xfId="114" applyFont="1" applyFill="1" applyBorder="1" applyAlignment="1">
      <alignment vertical="center"/>
    </xf>
    <xf numFmtId="0" fontId="13" fillId="4" borderId="19" xfId="114" applyFont="1" applyFill="1" applyBorder="1" applyAlignment="1">
      <alignment vertical="center"/>
    </xf>
    <xf numFmtId="0" fontId="13" fillId="4" borderId="5" xfId="114" applyFont="1" applyFill="1" applyBorder="1" applyAlignment="1">
      <alignment horizontal="left" vertical="center" wrapText="1"/>
    </xf>
    <xf numFmtId="0" fontId="13" fillId="4" borderId="11" xfId="114" applyFont="1" applyFill="1" applyBorder="1" applyAlignment="1">
      <alignment horizontal="left" vertical="center" wrapText="1"/>
    </xf>
    <xf numFmtId="0" fontId="13" fillId="4" borderId="6" xfId="114" applyFont="1" applyFill="1" applyBorder="1" applyAlignment="1">
      <alignment horizontal="left" vertical="center" wrapText="1"/>
    </xf>
    <xf numFmtId="0" fontId="7" fillId="0" borderId="5" xfId="114" applyFont="1" applyBorder="1" applyAlignment="1">
      <alignment vertical="center" wrapText="1"/>
    </xf>
    <xf numFmtId="0" fontId="7" fillId="0" borderId="11" xfId="114" applyFont="1" applyBorder="1" applyAlignment="1">
      <alignment vertical="center" wrapText="1"/>
    </xf>
    <xf numFmtId="0" fontId="7" fillId="0" borderId="25" xfId="114" applyFont="1" applyBorder="1" applyAlignment="1">
      <alignment vertical="center" wrapText="1"/>
    </xf>
    <xf numFmtId="165" fontId="13" fillId="0" borderId="72" xfId="115" quotePrefix="1" applyNumberFormat="1" applyFont="1" applyBorder="1" applyAlignment="1" applyProtection="1">
      <alignment horizontal="center" vertical="center"/>
    </xf>
    <xf numFmtId="165" fontId="13" fillId="0" borderId="32" xfId="115" quotePrefix="1" applyNumberFormat="1" applyFont="1" applyBorder="1" applyAlignment="1" applyProtection="1">
      <alignment horizontal="center" vertical="center"/>
    </xf>
    <xf numFmtId="165" fontId="13" fillId="0" borderId="45" xfId="115" quotePrefix="1" applyNumberFormat="1" applyFont="1" applyBorder="1" applyAlignment="1" applyProtection="1">
      <alignment horizontal="center" vertical="center"/>
    </xf>
    <xf numFmtId="165" fontId="13" fillId="0" borderId="24" xfId="115" quotePrefix="1" applyNumberFormat="1" applyFont="1" applyBorder="1" applyAlignment="1" applyProtection="1">
      <alignment horizontal="center" vertical="center"/>
    </xf>
    <xf numFmtId="0" fontId="7" fillId="0" borderId="8" xfId="114" applyFont="1" applyBorder="1" applyAlignment="1">
      <alignment horizontal="left" vertical="center" wrapText="1"/>
    </xf>
    <xf numFmtId="0" fontId="7" fillId="0" borderId="10" xfId="114" applyFont="1" applyBorder="1" applyAlignment="1">
      <alignment horizontal="left" vertical="center" wrapText="1"/>
    </xf>
    <xf numFmtId="0" fontId="7" fillId="0" borderId="71" xfId="114" applyFont="1" applyBorder="1" applyAlignment="1">
      <alignment horizontal="left" vertical="center" wrapText="1"/>
    </xf>
    <xf numFmtId="0" fontId="7" fillId="0" borderId="29" xfId="114" applyFont="1" applyBorder="1" applyAlignment="1">
      <alignment horizontal="left" vertical="center" wrapText="1"/>
    </xf>
    <xf numFmtId="0" fontId="7" fillId="0" borderId="26" xfId="114" applyFont="1" applyBorder="1" applyAlignment="1">
      <alignment horizontal="left" vertical="center" wrapText="1"/>
    </xf>
    <xf numFmtId="0" fontId="7" fillId="0" borderId="31" xfId="114" applyFont="1" applyBorder="1" applyAlignment="1">
      <alignment horizontal="left" vertical="center" wrapText="1"/>
    </xf>
    <xf numFmtId="0" fontId="7" fillId="0" borderId="42" xfId="114" applyFont="1" applyBorder="1" applyAlignment="1">
      <alignment horizontal="left" vertical="center" wrapText="1"/>
    </xf>
    <xf numFmtId="0" fontId="7" fillId="0" borderId="44" xfId="114" applyFont="1" applyBorder="1" applyAlignment="1">
      <alignment horizontal="left" vertical="center" wrapText="1"/>
    </xf>
    <xf numFmtId="0" fontId="7" fillId="0" borderId="43" xfId="114" applyFont="1" applyBorder="1" applyAlignment="1">
      <alignment horizontal="left" vertical="center" wrapText="1"/>
    </xf>
    <xf numFmtId="0" fontId="7" fillId="0" borderId="5" xfId="114" applyFont="1" applyBorder="1" applyAlignment="1">
      <alignment horizontal="left" vertical="center" wrapText="1"/>
    </xf>
    <xf numFmtId="0" fontId="7" fillId="0" borderId="11" xfId="114" applyFont="1" applyBorder="1" applyAlignment="1">
      <alignment horizontal="left" vertical="center" wrapText="1"/>
    </xf>
    <xf numFmtId="0" fontId="7" fillId="0" borderId="25" xfId="114" applyFont="1" applyBorder="1" applyAlignment="1">
      <alignment horizontal="left" vertical="center" wrapText="1"/>
    </xf>
    <xf numFmtId="164" fontId="3" fillId="0" borderId="46" xfId="65" applyNumberFormat="1" applyFont="1" applyBorder="1" applyAlignment="1" applyProtection="1">
      <alignment horizontal="center" vertical="center"/>
    </xf>
    <xf numFmtId="164" fontId="3" fillId="0" borderId="23" xfId="65" applyNumberFormat="1" applyFont="1" applyBorder="1" applyAlignment="1" applyProtection="1">
      <alignment horizontal="center" vertical="center"/>
    </xf>
    <xf numFmtId="164" fontId="3" fillId="0" borderId="73" xfId="65" applyNumberFormat="1" applyFont="1" applyBorder="1" applyAlignment="1" applyProtection="1">
      <alignment horizontal="center" vertical="center"/>
    </xf>
    <xf numFmtId="164" fontId="3" fillId="0" borderId="15" xfId="65" applyNumberFormat="1" applyFont="1" applyBorder="1" applyAlignment="1" applyProtection="1">
      <alignment horizontal="center" vertical="center"/>
    </xf>
    <xf numFmtId="0" fontId="13" fillId="6" borderId="16" xfId="114" applyFont="1" applyFill="1" applyBorder="1" applyAlignment="1">
      <alignment horizontal="center" vertical="center"/>
    </xf>
    <xf numFmtId="0" fontId="13" fillId="6" borderId="35" xfId="114" applyFont="1" applyFill="1" applyBorder="1" applyAlignment="1">
      <alignment horizontal="center" vertical="center"/>
    </xf>
    <xf numFmtId="0" fontId="13" fillId="6" borderId="17" xfId="114" applyFont="1" applyFill="1" applyBorder="1" applyAlignment="1">
      <alignment horizontal="center" vertical="center"/>
    </xf>
    <xf numFmtId="0" fontId="13" fillId="4" borderId="16" xfId="114" applyFont="1" applyFill="1" applyBorder="1" applyAlignment="1">
      <alignment horizontal="left" vertical="center"/>
    </xf>
    <xf numFmtId="0" fontId="13" fillId="4" borderId="35" xfId="114" applyFont="1" applyFill="1" applyBorder="1" applyAlignment="1">
      <alignment horizontal="left" vertical="center"/>
    </xf>
    <xf numFmtId="0" fontId="13" fillId="4" borderId="17" xfId="114" applyFont="1" applyFill="1" applyBorder="1" applyAlignment="1">
      <alignment horizontal="left" vertical="center"/>
    </xf>
    <xf numFmtId="0" fontId="13" fillId="4" borderId="20" xfId="114" applyFont="1" applyFill="1" applyBorder="1" applyAlignment="1">
      <alignment horizontal="left" vertical="center" wrapText="1"/>
    </xf>
    <xf numFmtId="0" fontId="13" fillId="4" borderId="21" xfId="114" applyFont="1" applyFill="1" applyBorder="1" applyAlignment="1">
      <alignment horizontal="left" vertical="center" wrapText="1"/>
    </xf>
    <xf numFmtId="0" fontId="13" fillId="4" borderId="41" xfId="114" applyFont="1" applyFill="1" applyBorder="1" applyAlignment="1">
      <alignment horizontal="left" vertical="center" wrapText="1"/>
    </xf>
    <xf numFmtId="0" fontId="7" fillId="0" borderId="20" xfId="114" applyFont="1" applyBorder="1" applyAlignment="1">
      <alignment horizontal="left" vertical="center"/>
    </xf>
    <xf numFmtId="0" fontId="7" fillId="0" borderId="21" xfId="114" applyFont="1" applyBorder="1" applyAlignment="1">
      <alignment horizontal="left" vertical="center"/>
    </xf>
    <xf numFmtId="0" fontId="7" fillId="0" borderId="22" xfId="114" applyFont="1" applyBorder="1" applyAlignment="1">
      <alignment horizontal="left" vertical="center"/>
    </xf>
    <xf numFmtId="0" fontId="13" fillId="4" borderId="14" xfId="114" applyFont="1" applyFill="1" applyBorder="1" applyAlignment="1">
      <alignment horizontal="left" vertical="center" wrapText="1"/>
    </xf>
    <xf numFmtId="0" fontId="13" fillId="4" borderId="18" xfId="114" applyFont="1" applyFill="1" applyBorder="1" applyAlignment="1">
      <alignment horizontal="left" vertical="center" wrapText="1"/>
    </xf>
    <xf numFmtId="0" fontId="13" fillId="4" borderId="19" xfId="114" applyFont="1" applyFill="1" applyBorder="1" applyAlignment="1">
      <alignment horizontal="left" vertical="center" wrapText="1"/>
    </xf>
    <xf numFmtId="0" fontId="13" fillId="6" borderId="34" xfId="114" applyFont="1" applyFill="1" applyBorder="1" applyAlignment="1">
      <alignment horizontal="center" vertical="center"/>
    </xf>
    <xf numFmtId="0" fontId="13" fillId="6" borderId="19" xfId="114" applyFont="1" applyFill="1" applyBorder="1" applyAlignment="1">
      <alignment horizontal="center" vertical="center"/>
    </xf>
    <xf numFmtId="166" fontId="7" fillId="0" borderId="35" xfId="114" applyNumberFormat="1" applyFont="1" applyBorder="1" applyAlignment="1">
      <alignment horizontal="right" vertical="center"/>
    </xf>
    <xf numFmtId="166" fontId="7" fillId="0" borderId="17" xfId="114" applyNumberFormat="1" applyFont="1" applyBorder="1" applyAlignment="1">
      <alignment horizontal="right" vertical="center"/>
    </xf>
    <xf numFmtId="0" fontId="13" fillId="4" borderId="16" xfId="114" applyFont="1" applyFill="1" applyBorder="1" applyAlignment="1">
      <alignment vertical="center" wrapText="1"/>
    </xf>
    <xf numFmtId="0" fontId="13" fillId="4" borderId="35" xfId="114" applyFont="1" applyFill="1" applyBorder="1" applyAlignment="1">
      <alignment vertical="center" wrapText="1"/>
    </xf>
    <xf numFmtId="0" fontId="13" fillId="4" borderId="17" xfId="114" applyFont="1" applyFill="1" applyBorder="1" applyAlignment="1">
      <alignment vertical="center" wrapText="1"/>
    </xf>
    <xf numFmtId="169" fontId="13" fillId="6" borderId="8" xfId="114" applyNumberFormat="1" applyFont="1" applyFill="1" applyBorder="1" applyAlignment="1">
      <alignment horizontal="center" vertical="center" wrapText="1"/>
    </xf>
    <xf numFmtId="169" fontId="13" fillId="6" borderId="10" xfId="114" applyNumberFormat="1" applyFont="1" applyFill="1" applyBorder="1" applyAlignment="1">
      <alignment horizontal="center" vertical="center" wrapText="1"/>
    </xf>
    <xf numFmtId="169" fontId="13" fillId="6" borderId="9" xfId="114" applyNumberFormat="1" applyFont="1" applyFill="1" applyBorder="1" applyAlignment="1">
      <alignment horizontal="center" vertical="center" wrapText="1"/>
    </xf>
    <xf numFmtId="169" fontId="13" fillId="6" borderId="2" xfId="114" applyNumberFormat="1" applyFont="1" applyFill="1" applyBorder="1" applyAlignment="1">
      <alignment horizontal="center" vertical="top"/>
    </xf>
    <xf numFmtId="169" fontId="13" fillId="6" borderId="0" xfId="114" applyNumberFormat="1" applyFont="1" applyFill="1" applyAlignment="1">
      <alignment horizontal="center" vertical="top"/>
    </xf>
    <xf numFmtId="169" fontId="13" fillId="6" borderId="3" xfId="114" applyNumberFormat="1" applyFont="1" applyFill="1" applyBorder="1" applyAlignment="1">
      <alignment horizontal="center" vertical="top"/>
    </xf>
    <xf numFmtId="0" fontId="7" fillId="0" borderId="9" xfId="114" applyFont="1" applyBorder="1" applyAlignment="1">
      <alignment horizontal="left" vertical="center" wrapText="1"/>
    </xf>
    <xf numFmtId="0" fontId="7" fillId="0" borderId="30" xfId="114" applyFont="1" applyBorder="1" applyAlignment="1">
      <alignment horizontal="left" vertical="center" wrapText="1"/>
    </xf>
    <xf numFmtId="0" fontId="7" fillId="6" borderId="45" xfId="114" applyFont="1" applyFill="1" applyBorder="1" applyAlignment="1">
      <alignment horizontal="center" vertical="center" wrapText="1"/>
    </xf>
    <xf numFmtId="0" fontId="7" fillId="6" borderId="38" xfId="114" applyFont="1" applyFill="1" applyBorder="1" applyAlignment="1">
      <alignment horizontal="center" vertical="center" wrapText="1"/>
    </xf>
    <xf numFmtId="0" fontId="7" fillId="8" borderId="2" xfId="114" applyFont="1" applyFill="1" applyBorder="1" applyAlignment="1">
      <alignment horizontal="left" vertical="center" wrapText="1"/>
    </xf>
    <xf numFmtId="0" fontId="7" fillId="8" borderId="0" xfId="114" applyFont="1" applyFill="1" applyAlignment="1">
      <alignment horizontal="left" vertical="center" wrapText="1"/>
    </xf>
    <xf numFmtId="0" fontId="7" fillId="8" borderId="3" xfId="114" applyFont="1" applyFill="1" applyBorder="1" applyAlignment="1">
      <alignment horizontal="left" vertical="center" wrapText="1"/>
    </xf>
    <xf numFmtId="0" fontId="13" fillId="8" borderId="11" xfId="114" applyFont="1" applyFill="1" applyBorder="1" applyAlignment="1">
      <alignment horizontal="right" vertical="center" wrapText="1"/>
    </xf>
    <xf numFmtId="0" fontId="7" fillId="6" borderId="46" xfId="114" applyFont="1" applyFill="1" applyBorder="1" applyAlignment="1">
      <alignment horizontal="center" vertical="center" wrapText="1"/>
    </xf>
    <xf numFmtId="0" fontId="7" fillId="6" borderId="39" xfId="114" applyFont="1" applyFill="1" applyBorder="1" applyAlignment="1">
      <alignment horizontal="center" vertical="center" wrapText="1"/>
    </xf>
    <xf numFmtId="0" fontId="7" fillId="6" borderId="42" xfId="114" applyFont="1" applyFill="1" applyBorder="1" applyAlignment="1">
      <alignment horizontal="center" vertical="center" wrapText="1"/>
    </xf>
    <xf numFmtId="0" fontId="7" fillId="6" borderId="43" xfId="114" applyFont="1" applyFill="1" applyBorder="1" applyAlignment="1">
      <alignment horizontal="center" vertical="center" wrapText="1"/>
    </xf>
    <xf numFmtId="0" fontId="7" fillId="6" borderId="2" xfId="114" applyFont="1" applyFill="1" applyBorder="1" applyAlignment="1">
      <alignment horizontal="center" vertical="center" wrapText="1"/>
    </xf>
    <xf numFmtId="0" fontId="7" fillId="6" borderId="58" xfId="114" applyFont="1" applyFill="1" applyBorder="1" applyAlignment="1">
      <alignment horizontal="center" vertical="center" wrapText="1"/>
    </xf>
    <xf numFmtId="0" fontId="7" fillId="6" borderId="29" xfId="114" applyFont="1" applyFill="1" applyBorder="1" applyAlignment="1">
      <alignment horizontal="center" vertical="center" wrapText="1"/>
    </xf>
    <xf numFmtId="0" fontId="7" fillId="6" borderId="31" xfId="114" applyFont="1" applyFill="1" applyBorder="1" applyAlignment="1">
      <alignment horizontal="center" vertical="center" wrapText="1"/>
    </xf>
    <xf numFmtId="0" fontId="7" fillId="0" borderId="21" xfId="114" applyFont="1" applyBorder="1" applyAlignment="1">
      <alignment horizontal="left"/>
    </xf>
    <xf numFmtId="0" fontId="7" fillId="0" borderId="41" xfId="114" applyFont="1" applyBorder="1" applyAlignment="1">
      <alignment horizontal="left"/>
    </xf>
    <xf numFmtId="0" fontId="7" fillId="10" borderId="14" xfId="114" applyFont="1" applyFill="1" applyBorder="1" applyAlignment="1" applyProtection="1">
      <alignment horizontal="left"/>
      <protection locked="0"/>
    </xf>
    <xf numFmtId="0" fontId="7" fillId="10" borderId="19" xfId="114" applyFont="1" applyFill="1" applyBorder="1" applyAlignment="1" applyProtection="1">
      <alignment horizontal="left"/>
      <protection locked="0"/>
    </xf>
    <xf numFmtId="0" fontId="13" fillId="8" borderId="0" xfId="114" applyFont="1" applyFill="1" applyAlignment="1">
      <alignment horizontal="right" vertical="center" wrapText="1"/>
    </xf>
    <xf numFmtId="0" fontId="13" fillId="3" borderId="14" xfId="114" applyFont="1" applyFill="1" applyBorder="1" applyAlignment="1">
      <alignment horizontal="left"/>
    </xf>
    <xf numFmtId="0" fontId="13" fillId="3" borderId="18" xfId="114" applyFont="1" applyFill="1" applyBorder="1" applyAlignment="1">
      <alignment horizontal="left"/>
    </xf>
    <xf numFmtId="0" fontId="13" fillId="3" borderId="19" xfId="114" applyFont="1" applyFill="1" applyBorder="1" applyAlignment="1">
      <alignment horizontal="left"/>
    </xf>
    <xf numFmtId="0" fontId="13" fillId="8" borderId="5" xfId="114" applyFont="1" applyFill="1" applyBorder="1" applyAlignment="1">
      <alignment horizontal="left" vertical="center" wrapText="1"/>
    </xf>
    <xf numFmtId="0" fontId="13" fillId="8" borderId="11" xfId="114" applyFont="1" applyFill="1" applyBorder="1" applyAlignment="1">
      <alignment horizontal="left" vertical="center" wrapText="1"/>
    </xf>
    <xf numFmtId="0" fontId="13" fillId="3" borderId="52" xfId="114" applyFont="1" applyFill="1" applyBorder="1" applyAlignment="1">
      <alignment horizontal="left"/>
    </xf>
    <xf numFmtId="0" fontId="13" fillId="3" borderId="36" xfId="114" applyFont="1" applyFill="1" applyBorder="1" applyAlignment="1">
      <alignment horizontal="left"/>
    </xf>
    <xf numFmtId="0" fontId="13" fillId="3" borderId="48" xfId="114" applyFont="1" applyFill="1" applyBorder="1" applyAlignment="1">
      <alignment horizontal="left"/>
    </xf>
    <xf numFmtId="0" fontId="13" fillId="3" borderId="5" xfId="114" applyFont="1" applyFill="1" applyBorder="1" applyAlignment="1">
      <alignment horizontal="left"/>
    </xf>
    <xf numFmtId="0" fontId="13" fillId="3" borderId="11" xfId="114" applyFont="1" applyFill="1" applyBorder="1" applyAlignment="1">
      <alignment horizontal="left"/>
    </xf>
    <xf numFmtId="0" fontId="13" fillId="3" borderId="25" xfId="114" applyFont="1" applyFill="1" applyBorder="1" applyAlignment="1">
      <alignment horizontal="left"/>
    </xf>
    <xf numFmtId="0" fontId="7" fillId="10" borderId="34" xfId="114" applyFont="1" applyFill="1" applyBorder="1" applyAlignment="1" applyProtection="1">
      <alignment horizontal="center"/>
      <protection locked="0"/>
    </xf>
    <xf numFmtId="0" fontId="7" fillId="10" borderId="18" xfId="114" applyFont="1" applyFill="1" applyBorder="1" applyAlignment="1" applyProtection="1">
      <alignment horizontal="center"/>
      <protection locked="0"/>
    </xf>
    <xf numFmtId="0" fontId="7" fillId="10" borderId="47" xfId="114" applyFont="1" applyFill="1" applyBorder="1" applyAlignment="1" applyProtection="1">
      <alignment horizontal="center"/>
      <protection locked="0"/>
    </xf>
    <xf numFmtId="0" fontId="0" fillId="10" borderId="57" xfId="0" applyFill="1" applyBorder="1" applyAlignment="1" applyProtection="1">
      <alignment horizontal="center" vertical="center"/>
      <protection locked="0"/>
    </xf>
    <xf numFmtId="0" fontId="0" fillId="10" borderId="44" xfId="0" applyFill="1" applyBorder="1" applyAlignment="1" applyProtection="1">
      <alignment horizontal="center" vertical="center"/>
      <protection locked="0"/>
    </xf>
    <xf numFmtId="0" fontId="0" fillId="10" borderId="59" xfId="0" applyFill="1" applyBorder="1" applyAlignment="1" applyProtection="1">
      <alignment horizontal="center" vertical="center"/>
      <protection locked="0"/>
    </xf>
    <xf numFmtId="0" fontId="0" fillId="10" borderId="54" xfId="0" applyFill="1" applyBorder="1" applyAlignment="1" applyProtection="1">
      <alignment horizontal="center" vertical="center"/>
      <protection locked="0"/>
    </xf>
    <xf numFmtId="0" fontId="0" fillId="10" borderId="0" xfId="0" applyFill="1" applyAlignment="1" applyProtection="1">
      <alignment horizontal="center" vertical="center"/>
      <protection locked="0"/>
    </xf>
    <xf numFmtId="0" fontId="0" fillId="10" borderId="3" xfId="0" applyFill="1" applyBorder="1" applyAlignment="1" applyProtection="1">
      <alignment horizontal="center" vertical="center"/>
      <protection locked="0"/>
    </xf>
    <xf numFmtId="0" fontId="0" fillId="10" borderId="56" xfId="0" applyFill="1" applyBorder="1" applyAlignment="1" applyProtection="1">
      <alignment horizontal="center" vertical="center"/>
      <protection locked="0"/>
    </xf>
    <xf numFmtId="0" fontId="0" fillId="10" borderId="26" xfId="0" applyFill="1" applyBorder="1" applyAlignment="1" applyProtection="1">
      <alignment horizontal="center" vertical="center"/>
      <protection locked="0"/>
    </xf>
    <xf numFmtId="0" fontId="0" fillId="10" borderId="30" xfId="0" applyFill="1" applyBorder="1" applyAlignment="1" applyProtection="1">
      <alignment horizontal="center" vertical="center"/>
      <protection locked="0"/>
    </xf>
    <xf numFmtId="0" fontId="13" fillId="3" borderId="34" xfId="114" applyFont="1" applyFill="1" applyBorder="1" applyAlignment="1">
      <alignment horizontal="left"/>
    </xf>
    <xf numFmtId="0" fontId="13" fillId="3" borderId="47" xfId="114" applyFont="1" applyFill="1" applyBorder="1" applyAlignment="1">
      <alignment horizontal="left"/>
    </xf>
    <xf numFmtId="170" fontId="7" fillId="10" borderId="46" xfId="114" applyNumberFormat="1" applyFont="1" applyFill="1" applyBorder="1" applyAlignment="1" applyProtection="1">
      <alignment horizontal="center" vertical="center" wrapText="1"/>
      <protection locked="0"/>
    </xf>
    <xf numFmtId="170" fontId="7" fillId="10" borderId="15" xfId="114" applyNumberFormat="1" applyFont="1" applyFill="1" applyBorder="1" applyAlignment="1" applyProtection="1">
      <alignment horizontal="center" vertical="center" wrapText="1"/>
      <protection locked="0"/>
    </xf>
    <xf numFmtId="0" fontId="13" fillId="3" borderId="34" xfId="114" applyFont="1" applyFill="1" applyBorder="1"/>
    <xf numFmtId="0" fontId="13" fillId="3" borderId="19" xfId="114" applyFont="1" applyFill="1" applyBorder="1"/>
    <xf numFmtId="0" fontId="7" fillId="10" borderId="57" xfId="114" applyFont="1" applyFill="1" applyBorder="1" applyAlignment="1" applyProtection="1">
      <alignment horizontal="center" vertical="center" wrapText="1"/>
      <protection locked="0"/>
    </xf>
    <xf numFmtId="0" fontId="7" fillId="10" borderId="43" xfId="114" applyFont="1" applyFill="1" applyBorder="1" applyAlignment="1" applyProtection="1">
      <alignment horizontal="center" vertical="center" wrapText="1"/>
      <protection locked="0"/>
    </xf>
    <xf numFmtId="0" fontId="7" fillId="10" borderId="56" xfId="114" applyFont="1" applyFill="1" applyBorder="1" applyAlignment="1" applyProtection="1">
      <alignment horizontal="center" vertical="center" wrapText="1"/>
      <protection locked="0"/>
    </xf>
    <xf numFmtId="0" fontId="7" fillId="10" borderId="31" xfId="114" applyFont="1" applyFill="1" applyBorder="1" applyAlignment="1" applyProtection="1">
      <alignment horizontal="center" vertical="center" wrapText="1"/>
      <protection locked="0"/>
    </xf>
    <xf numFmtId="0" fontId="13" fillId="3" borderId="14" xfId="114" applyFont="1" applyFill="1" applyBorder="1"/>
    <xf numFmtId="0" fontId="7" fillId="10" borderId="42" xfId="114" applyFont="1" applyFill="1" applyBorder="1" applyAlignment="1" applyProtection="1">
      <alignment horizontal="center" vertical="center" wrapText="1"/>
      <protection locked="0"/>
    </xf>
    <xf numFmtId="0" fontId="7" fillId="10" borderId="29" xfId="114" applyFont="1" applyFill="1" applyBorder="1" applyAlignment="1" applyProtection="1">
      <alignment horizontal="center" vertical="center" wrapText="1"/>
      <protection locked="0"/>
    </xf>
    <xf numFmtId="0" fontId="7" fillId="10" borderId="29" xfId="114" applyFont="1" applyFill="1" applyBorder="1" applyAlignment="1" applyProtection="1">
      <alignment horizontal="center" wrapText="1"/>
      <protection locked="0"/>
    </xf>
    <xf numFmtId="0" fontId="7" fillId="10" borderId="26" xfId="114" applyFont="1" applyFill="1" applyBorder="1" applyAlignment="1" applyProtection="1">
      <alignment horizontal="center"/>
      <protection locked="0"/>
    </xf>
    <xf numFmtId="0" fontId="7" fillId="10" borderId="31" xfId="114" applyFont="1" applyFill="1" applyBorder="1" applyAlignment="1" applyProtection="1">
      <alignment horizontal="center"/>
      <protection locked="0"/>
    </xf>
    <xf numFmtId="0" fontId="7" fillId="10" borderId="2" xfId="114" applyFont="1" applyFill="1" applyBorder="1" applyAlignment="1" applyProtection="1">
      <alignment horizontal="center"/>
      <protection locked="0"/>
    </xf>
    <xf numFmtId="0" fontId="7" fillId="10" borderId="0" xfId="114" applyFont="1" applyFill="1" applyAlignment="1" applyProtection="1">
      <alignment horizontal="center"/>
      <protection locked="0"/>
    </xf>
    <xf numFmtId="0" fontId="7" fillId="10" borderId="58" xfId="114" applyFont="1" applyFill="1" applyBorder="1" applyAlignment="1" applyProtection="1">
      <alignment horizontal="center"/>
      <protection locked="0"/>
    </xf>
    <xf numFmtId="0" fontId="7" fillId="10" borderId="42" xfId="114" applyFont="1" applyFill="1" applyBorder="1" applyAlignment="1" applyProtection="1">
      <alignment horizontal="center" wrapText="1"/>
      <protection locked="0"/>
    </xf>
    <xf numFmtId="0" fontId="7" fillId="10" borderId="44" xfId="114" applyFont="1" applyFill="1" applyBorder="1" applyAlignment="1" applyProtection="1">
      <alignment horizontal="center" wrapText="1"/>
      <protection locked="0"/>
    </xf>
    <xf numFmtId="0" fontId="7" fillId="10" borderId="43" xfId="114" applyFont="1" applyFill="1" applyBorder="1" applyAlignment="1" applyProtection="1">
      <alignment horizontal="center" wrapText="1"/>
      <protection locked="0"/>
    </xf>
    <xf numFmtId="0" fontId="13" fillId="0" borderId="14" xfId="114" applyFont="1" applyBorder="1" applyAlignment="1">
      <alignment horizontal="left"/>
    </xf>
    <xf numFmtId="0" fontId="13" fillId="0" borderId="19" xfId="114" applyFont="1" applyBorder="1" applyAlignment="1">
      <alignment horizontal="left"/>
    </xf>
    <xf numFmtId="0" fontId="24" fillId="0" borderId="35" xfId="114" applyFont="1" applyBorder="1" applyAlignment="1">
      <alignment horizontal="right"/>
    </xf>
    <xf numFmtId="0" fontId="13" fillId="6" borderId="5" xfId="114" applyFont="1" applyFill="1" applyBorder="1" applyAlignment="1">
      <alignment horizontal="center" vertical="center"/>
    </xf>
    <xf numFmtId="0" fontId="13" fillId="6" borderId="11" xfId="114" applyFont="1" applyFill="1" applyBorder="1" applyAlignment="1">
      <alignment horizontal="center" vertical="center"/>
    </xf>
    <xf numFmtId="0" fontId="13" fillId="6" borderId="6" xfId="114" applyFont="1" applyFill="1" applyBorder="1" applyAlignment="1">
      <alignment horizontal="center" vertical="center"/>
    </xf>
    <xf numFmtId="0" fontId="7" fillId="0" borderId="27" xfId="114" applyFont="1" applyBorder="1" applyAlignment="1">
      <alignment horizontal="left"/>
    </xf>
    <xf numFmtId="0" fontId="7" fillId="0" borderId="28" xfId="114" applyFont="1" applyBorder="1" applyAlignment="1">
      <alignment horizontal="left"/>
    </xf>
    <xf numFmtId="0" fontId="7" fillId="10" borderId="14" xfId="114" applyFont="1" applyFill="1" applyBorder="1" applyAlignment="1" applyProtection="1">
      <alignment horizontal="center"/>
      <protection locked="0"/>
    </xf>
    <xf numFmtId="0" fontId="7" fillId="10" borderId="19" xfId="114" applyFont="1" applyFill="1" applyBorder="1" applyAlignment="1" applyProtection="1">
      <alignment horizontal="center"/>
      <protection locked="0"/>
    </xf>
    <xf numFmtId="0" fontId="7" fillId="10" borderId="20" xfId="114" applyFont="1" applyFill="1" applyBorder="1" applyAlignment="1" applyProtection="1">
      <alignment horizontal="left"/>
      <protection locked="0"/>
    </xf>
    <xf numFmtId="0" fontId="7" fillId="10" borderId="22" xfId="114" applyFont="1" applyFill="1" applyBorder="1" applyAlignment="1" applyProtection="1">
      <alignment horizontal="left"/>
      <protection locked="0"/>
    </xf>
    <xf numFmtId="0" fontId="7" fillId="3" borderId="77" xfId="114" applyFont="1" applyFill="1" applyBorder="1" applyAlignment="1">
      <alignment horizontal="left"/>
    </xf>
    <xf numFmtId="0" fontId="7" fillId="3" borderId="69" xfId="114" applyFont="1" applyFill="1" applyBorder="1" applyAlignment="1">
      <alignment horizontal="left"/>
    </xf>
    <xf numFmtId="0" fontId="25" fillId="6" borderId="8" xfId="114" applyFont="1" applyFill="1" applyBorder="1" applyAlignment="1">
      <alignment horizontal="center"/>
    </xf>
    <xf numFmtId="0" fontId="25" fillId="6" borderId="10" xfId="114" applyFont="1" applyFill="1" applyBorder="1" applyAlignment="1">
      <alignment horizontal="center"/>
    </xf>
    <xf numFmtId="0" fontId="25" fillId="6" borderId="9" xfId="114" applyFont="1" applyFill="1" applyBorder="1" applyAlignment="1">
      <alignment horizontal="center"/>
    </xf>
    <xf numFmtId="0" fontId="13" fillId="3" borderId="16" xfId="114" applyFont="1" applyFill="1" applyBorder="1"/>
    <xf numFmtId="0" fontId="13" fillId="3" borderId="35" xfId="114" applyFont="1" applyFill="1" applyBorder="1"/>
    <xf numFmtId="0" fontId="7" fillId="3" borderId="14" xfId="114" applyFont="1" applyFill="1" applyBorder="1" applyAlignment="1">
      <alignment horizontal="center"/>
    </xf>
    <xf numFmtId="0" fontId="7" fillId="3" borderId="19" xfId="114" applyFont="1" applyFill="1" applyBorder="1" applyAlignment="1">
      <alignment horizontal="center"/>
    </xf>
    <xf numFmtId="167" fontId="7" fillId="0" borderId="2" xfId="114" applyNumberFormat="1" applyFont="1" applyBorder="1" applyAlignment="1">
      <alignment horizontal="left"/>
    </xf>
    <xf numFmtId="167" fontId="7" fillId="0" borderId="0" xfId="114" applyNumberFormat="1" applyFont="1" applyAlignment="1">
      <alignment horizontal="left"/>
    </xf>
    <xf numFmtId="0" fontId="7" fillId="0" borderId="2" xfId="114" applyFont="1" applyBorder="1"/>
    <xf numFmtId="0" fontId="7" fillId="0" borderId="0" xfId="114" applyFont="1"/>
    <xf numFmtId="0" fontId="13" fillId="9" borderId="33" xfId="114" applyFont="1" applyFill="1" applyBorder="1" applyAlignment="1">
      <alignment horizontal="center"/>
    </xf>
    <xf numFmtId="0" fontId="13" fillId="9" borderId="11" xfId="114" applyFont="1" applyFill="1" applyBorder="1" applyAlignment="1">
      <alignment horizontal="center"/>
    </xf>
    <xf numFmtId="0" fontId="13" fillId="9" borderId="6" xfId="114" applyFont="1" applyFill="1" applyBorder="1" applyAlignment="1">
      <alignment horizontal="center"/>
    </xf>
    <xf numFmtId="0" fontId="7" fillId="3" borderId="34" xfId="114" applyFont="1" applyFill="1" applyBorder="1" applyAlignment="1">
      <alignment horizontal="center"/>
    </xf>
    <xf numFmtId="0" fontId="7" fillId="3" borderId="47" xfId="114" applyFont="1" applyFill="1" applyBorder="1" applyAlignment="1">
      <alignment horizontal="center"/>
    </xf>
    <xf numFmtId="0" fontId="7" fillId="3" borderId="56" xfId="114" applyFont="1" applyFill="1" applyBorder="1" applyAlignment="1">
      <alignment horizontal="center"/>
    </xf>
    <xf numFmtId="0" fontId="7" fillId="3" borderId="30" xfId="114" applyFont="1" applyFill="1" applyBorder="1" applyAlignment="1">
      <alignment horizontal="center"/>
    </xf>
    <xf numFmtId="0" fontId="13" fillId="6" borderId="16" xfId="114" applyFont="1" applyFill="1" applyBorder="1" applyAlignment="1">
      <alignment horizontal="center"/>
    </xf>
    <xf numFmtId="0" fontId="13" fillId="6" borderId="35" xfId="114" applyFont="1" applyFill="1" applyBorder="1" applyAlignment="1">
      <alignment horizontal="center"/>
    </xf>
    <xf numFmtId="0" fontId="13" fillId="6" borderId="17" xfId="114" applyFont="1" applyFill="1" applyBorder="1" applyAlignment="1">
      <alignment horizontal="center"/>
    </xf>
    <xf numFmtId="37" fontId="13" fillId="9" borderId="33" xfId="65" applyNumberFormat="1" applyFont="1" applyFill="1" applyBorder="1" applyAlignment="1" applyProtection="1">
      <alignment horizontal="center"/>
    </xf>
    <xf numFmtId="37" fontId="13" fillId="9" borderId="25" xfId="65" applyNumberFormat="1" applyFont="1" applyFill="1" applyBorder="1" applyAlignment="1" applyProtection="1">
      <alignment horizontal="center"/>
    </xf>
    <xf numFmtId="37" fontId="7" fillId="9" borderId="33" xfId="65" applyNumberFormat="1" applyFont="1" applyFill="1" applyBorder="1" applyAlignment="1" applyProtection="1">
      <alignment horizontal="center"/>
    </xf>
    <xf numFmtId="37" fontId="7" fillId="9" borderId="25" xfId="65" applyNumberFormat="1" applyFont="1" applyFill="1" applyBorder="1" applyAlignment="1" applyProtection="1">
      <alignment horizontal="center"/>
    </xf>
    <xf numFmtId="0" fontId="7" fillId="9" borderId="33" xfId="114" applyFont="1" applyFill="1" applyBorder="1" applyAlignment="1">
      <alignment horizontal="center"/>
    </xf>
    <xf numFmtId="0" fontId="7" fillId="9" borderId="11" xfId="114" applyFont="1" applyFill="1" applyBorder="1" applyAlignment="1">
      <alignment horizontal="center"/>
    </xf>
    <xf numFmtId="0" fontId="7" fillId="9" borderId="6" xfId="114" applyFont="1" applyFill="1" applyBorder="1" applyAlignment="1">
      <alignment horizontal="center"/>
    </xf>
    <xf numFmtId="0" fontId="7" fillId="9" borderId="70" xfId="114" applyFont="1" applyFill="1" applyBorder="1" applyAlignment="1">
      <alignment horizontal="center"/>
    </xf>
    <xf numFmtId="0" fontId="7" fillId="9" borderId="74" xfId="114" applyFont="1" applyFill="1" applyBorder="1" applyAlignment="1">
      <alignment horizontal="center"/>
    </xf>
    <xf numFmtId="0" fontId="7" fillId="9" borderId="76" xfId="114" applyFont="1" applyFill="1" applyBorder="1" applyAlignment="1">
      <alignment horizontal="center"/>
    </xf>
    <xf numFmtId="0" fontId="7" fillId="10" borderId="1" xfId="114" applyFont="1" applyFill="1" applyBorder="1" applyAlignment="1" applyProtection="1">
      <alignment horizontal="center"/>
      <protection locked="0"/>
    </xf>
    <xf numFmtId="0" fontId="7" fillId="10" borderId="80" xfId="114" applyFont="1" applyFill="1" applyBorder="1" applyAlignment="1" applyProtection="1">
      <alignment horizontal="center"/>
      <protection locked="0"/>
    </xf>
    <xf numFmtId="0" fontId="7" fillId="10" borderId="81" xfId="114" applyFont="1" applyFill="1" applyBorder="1" applyAlignment="1" applyProtection="1">
      <alignment horizontal="center"/>
      <protection locked="0"/>
    </xf>
    <xf numFmtId="0" fontId="7" fillId="3" borderId="80" xfId="114" applyFont="1" applyFill="1" applyBorder="1" applyAlignment="1">
      <alignment horizontal="center"/>
    </xf>
    <xf numFmtId="0" fontId="7" fillId="3" borderId="82" xfId="114" applyFont="1" applyFill="1" applyBorder="1" applyAlignment="1">
      <alignment horizontal="center"/>
    </xf>
    <xf numFmtId="0" fontId="7" fillId="3" borderId="1" xfId="114" applyFont="1" applyFill="1" applyBorder="1" applyAlignment="1">
      <alignment horizontal="center"/>
    </xf>
    <xf numFmtId="0" fontId="7" fillId="3" borderId="4" xfId="114" applyFont="1" applyFill="1" applyBorder="1" applyAlignment="1">
      <alignment horizontal="center"/>
    </xf>
    <xf numFmtId="0" fontId="13" fillId="6" borderId="8" xfId="114" applyFont="1" applyFill="1" applyBorder="1" applyAlignment="1">
      <alignment horizontal="center" wrapText="1"/>
    </xf>
    <xf numFmtId="0" fontId="13" fillId="6" borderId="10" xfId="114" applyFont="1" applyFill="1" applyBorder="1" applyAlignment="1">
      <alignment horizontal="center" wrapText="1"/>
    </xf>
    <xf numFmtId="0" fontId="13" fillId="6" borderId="9" xfId="114" applyFont="1" applyFill="1" applyBorder="1" applyAlignment="1">
      <alignment horizontal="center" wrapText="1"/>
    </xf>
    <xf numFmtId="0" fontId="13" fillId="6" borderId="5" xfId="114" applyFont="1" applyFill="1" applyBorder="1" applyAlignment="1">
      <alignment horizontal="center" wrapText="1"/>
    </xf>
    <xf numFmtId="0" fontId="13" fillId="6" borderId="11" xfId="114" applyFont="1" applyFill="1" applyBorder="1" applyAlignment="1">
      <alignment horizontal="center" wrapText="1"/>
    </xf>
    <xf numFmtId="0" fontId="13" fillId="6" borderId="6" xfId="114" applyFont="1" applyFill="1" applyBorder="1" applyAlignment="1">
      <alignment horizontal="center" wrapText="1"/>
    </xf>
    <xf numFmtId="0" fontId="13" fillId="4" borderId="63" xfId="120" applyFont="1" applyFill="1" applyBorder="1" applyAlignment="1">
      <alignment horizontal="center" vertical="center"/>
    </xf>
    <xf numFmtId="0" fontId="13" fillId="4" borderId="65" xfId="120" applyFont="1" applyFill="1" applyBorder="1" applyAlignment="1">
      <alignment horizontal="center" vertical="center"/>
    </xf>
    <xf numFmtId="0" fontId="13" fillId="6" borderId="40" xfId="114" applyFont="1" applyFill="1" applyBorder="1" applyAlignment="1">
      <alignment horizontal="center"/>
    </xf>
    <xf numFmtId="0" fontId="7" fillId="0" borderId="8" xfId="120" applyFont="1" applyBorder="1" applyAlignment="1">
      <alignment horizontal="left" vertical="center" wrapText="1"/>
    </xf>
    <xf numFmtId="0" fontId="7" fillId="0" borderId="10" xfId="120" applyFont="1" applyBorder="1" applyAlignment="1">
      <alignment horizontal="left" vertical="center" wrapText="1"/>
    </xf>
    <xf numFmtId="0" fontId="7" fillId="0" borderId="9" xfId="120" applyFont="1" applyBorder="1" applyAlignment="1">
      <alignment horizontal="left" vertical="center" wrapText="1"/>
    </xf>
    <xf numFmtId="0" fontId="7" fillId="0" borderId="2" xfId="120" applyFont="1" applyBorder="1" applyAlignment="1">
      <alignment horizontal="left" vertical="center" wrapText="1"/>
    </xf>
    <xf numFmtId="0" fontId="7" fillId="0" borderId="0" xfId="120" applyFont="1" applyAlignment="1">
      <alignment horizontal="left" vertical="center" wrapText="1"/>
    </xf>
    <xf numFmtId="0" fontId="7" fillId="0" borderId="3" xfId="120" applyFont="1" applyBorder="1" applyAlignment="1">
      <alignment horizontal="left" vertical="center" wrapText="1"/>
    </xf>
    <xf numFmtId="0" fontId="7" fillId="0" borderId="29" xfId="120" applyFont="1" applyBorder="1" applyAlignment="1">
      <alignment horizontal="left" vertical="center" wrapText="1"/>
    </xf>
    <xf numFmtId="0" fontId="7" fillId="0" borderId="26" xfId="120" applyFont="1" applyBorder="1" applyAlignment="1">
      <alignment horizontal="left" vertical="center" wrapText="1"/>
    </xf>
    <xf numFmtId="0" fontId="7" fillId="0" borderId="30" xfId="120" applyFont="1" applyBorder="1" applyAlignment="1">
      <alignment horizontal="left" vertical="center" wrapText="1"/>
    </xf>
    <xf numFmtId="0" fontId="7" fillId="0" borderId="35" xfId="114" applyFont="1" applyBorder="1" applyAlignment="1">
      <alignment horizontal="left"/>
    </xf>
    <xf numFmtId="0" fontId="7" fillId="0" borderId="17" xfId="114" applyFont="1" applyBorder="1" applyAlignment="1">
      <alignment horizontal="left"/>
    </xf>
    <xf numFmtId="0" fontId="13" fillId="4" borderId="57" xfId="120" applyFont="1" applyFill="1" applyBorder="1" applyAlignment="1">
      <alignment horizontal="center" vertical="center"/>
    </xf>
    <xf numFmtId="0" fontId="13" fillId="4" borderId="44" xfId="120" applyFont="1" applyFill="1" applyBorder="1" applyAlignment="1">
      <alignment horizontal="center" vertical="center"/>
    </xf>
    <xf numFmtId="0" fontId="13" fillId="4" borderId="59" xfId="120" applyFont="1" applyFill="1" applyBorder="1" applyAlignment="1">
      <alignment horizontal="center" vertical="center"/>
    </xf>
    <xf numFmtId="0" fontId="13" fillId="4" borderId="56" xfId="120" applyFont="1" applyFill="1" applyBorder="1" applyAlignment="1">
      <alignment horizontal="center" vertical="center"/>
    </xf>
    <xf numFmtId="0" fontId="13" fillId="4" borderId="26" xfId="120" applyFont="1" applyFill="1" applyBorder="1" applyAlignment="1">
      <alignment horizontal="center" vertical="center"/>
    </xf>
    <xf numFmtId="0" fontId="13" fillId="4" borderId="30" xfId="120" applyFont="1" applyFill="1" applyBorder="1" applyAlignment="1">
      <alignment horizontal="center" vertical="center"/>
    </xf>
    <xf numFmtId="0" fontId="13" fillId="4" borderId="45" xfId="120" applyFont="1" applyFill="1" applyBorder="1" applyAlignment="1">
      <alignment horizontal="center" vertical="center" wrapText="1"/>
    </xf>
    <xf numFmtId="0" fontId="13" fillId="4" borderId="38" xfId="120" applyFont="1" applyFill="1" applyBorder="1" applyAlignment="1">
      <alignment horizontal="center" vertical="center" wrapText="1"/>
    </xf>
    <xf numFmtId="0" fontId="13" fillId="4" borderId="46" xfId="120" applyFont="1" applyFill="1" applyBorder="1" applyAlignment="1">
      <alignment horizontal="center" vertical="center" wrapText="1"/>
    </xf>
    <xf numFmtId="0" fontId="13" fillId="4" borderId="39" xfId="120" applyFont="1" applyFill="1" applyBorder="1" applyAlignment="1">
      <alignment horizontal="center" vertical="center" wrapText="1"/>
    </xf>
    <xf numFmtId="0" fontId="7" fillId="9" borderId="27" xfId="114" applyFont="1" applyFill="1" applyBorder="1" applyAlignment="1">
      <alignment horizontal="center"/>
    </xf>
    <xf numFmtId="0" fontId="7" fillId="9" borderId="36" xfId="114" applyFont="1" applyFill="1" applyBorder="1" applyAlignment="1">
      <alignment horizontal="center"/>
    </xf>
    <xf numFmtId="0" fontId="13" fillId="3" borderId="14" xfId="114" applyFont="1" applyFill="1" applyBorder="1" applyAlignment="1">
      <alignment horizontal="center"/>
    </xf>
    <xf numFmtId="0" fontId="13" fillId="3" borderId="19" xfId="114" applyFont="1" applyFill="1" applyBorder="1" applyAlignment="1">
      <alignment horizontal="center"/>
    </xf>
    <xf numFmtId="0" fontId="13" fillId="6" borderId="75" xfId="114" applyFont="1" applyFill="1" applyBorder="1" applyAlignment="1">
      <alignment horizontal="center"/>
    </xf>
    <xf numFmtId="0" fontId="13" fillId="6" borderId="41" xfId="114" applyFont="1" applyFill="1" applyBorder="1" applyAlignment="1">
      <alignment horizontal="center"/>
    </xf>
    <xf numFmtId="0" fontId="13" fillId="6" borderId="1" xfId="114" applyFont="1" applyFill="1" applyBorder="1" applyAlignment="1">
      <alignment horizontal="center"/>
    </xf>
    <xf numFmtId="0" fontId="13" fillId="4" borderId="1" xfId="120" applyFont="1" applyFill="1" applyBorder="1" applyAlignment="1">
      <alignment horizontal="center"/>
    </xf>
    <xf numFmtId="0" fontId="7" fillId="0" borderId="1" xfId="114" applyFont="1" applyBorder="1"/>
    <xf numFmtId="0" fontId="7" fillId="10" borderId="75" xfId="114" applyFont="1" applyFill="1" applyBorder="1" applyAlignment="1" applyProtection="1">
      <alignment horizontal="center"/>
      <protection locked="0"/>
    </xf>
    <xf numFmtId="0" fontId="7" fillId="10" borderId="22" xfId="114" applyFont="1" applyFill="1" applyBorder="1" applyAlignment="1" applyProtection="1">
      <alignment horizontal="center"/>
      <protection locked="0"/>
    </xf>
    <xf numFmtId="0" fontId="7" fillId="3" borderId="75" xfId="114" applyFont="1" applyFill="1" applyBorder="1" applyAlignment="1">
      <alignment horizontal="center"/>
    </xf>
    <xf numFmtId="0" fontId="7" fillId="3" borderId="41" xfId="114" applyFont="1" applyFill="1" applyBorder="1" applyAlignment="1">
      <alignment horizontal="center"/>
    </xf>
    <xf numFmtId="0" fontId="7" fillId="10" borderId="56" xfId="114" applyFont="1" applyFill="1" applyBorder="1" applyAlignment="1" applyProtection="1">
      <alignment horizontal="center"/>
      <protection locked="0"/>
    </xf>
    <xf numFmtId="0" fontId="7" fillId="0" borderId="0" xfId="114" applyFont="1" applyAlignment="1">
      <alignment horizontal="center"/>
    </xf>
    <xf numFmtId="0" fontId="7" fillId="0" borderId="0" xfId="114" applyFont="1" applyAlignment="1">
      <alignment horizontal="left"/>
    </xf>
    <xf numFmtId="0" fontId="7" fillId="0" borderId="44" xfId="114" applyFont="1" applyBorder="1" applyAlignment="1">
      <alignment horizontal="right"/>
    </xf>
    <xf numFmtId="0" fontId="7" fillId="0" borderId="27" xfId="114" applyFont="1" applyBorder="1" applyAlignment="1">
      <alignment horizontal="left" wrapText="1"/>
    </xf>
    <xf numFmtId="0" fontId="7" fillId="0" borderId="36" xfId="114" applyFont="1" applyBorder="1" applyAlignment="1">
      <alignment horizontal="left" wrapText="1"/>
    </xf>
    <xf numFmtId="0" fontId="7" fillId="0" borderId="28" xfId="114" applyFont="1" applyBorder="1" applyAlignment="1">
      <alignment horizontal="left" wrapText="1"/>
    </xf>
    <xf numFmtId="0" fontId="7" fillId="0" borderId="14" xfId="114" applyFont="1" applyBorder="1" applyAlignment="1">
      <alignment horizontal="left" wrapText="1"/>
    </xf>
    <xf numFmtId="0" fontId="7" fillId="0" borderId="18" xfId="114" applyFont="1" applyBorder="1" applyAlignment="1">
      <alignment horizontal="left" wrapText="1"/>
    </xf>
    <xf numFmtId="0" fontId="7" fillId="0" borderId="19" xfId="114" applyFont="1" applyBorder="1" applyAlignment="1">
      <alignment horizontal="left" wrapText="1"/>
    </xf>
    <xf numFmtId="0" fontId="7" fillId="10" borderId="56" xfId="114" applyFont="1" applyFill="1" applyBorder="1" applyAlignment="1" applyProtection="1">
      <alignment horizontal="left" vertical="top" wrapText="1"/>
      <protection locked="0"/>
    </xf>
    <xf numFmtId="0" fontId="7" fillId="10" borderId="26" xfId="114" applyFont="1" applyFill="1" applyBorder="1" applyAlignment="1" applyProtection="1">
      <alignment horizontal="left" vertical="top" wrapText="1"/>
      <protection locked="0"/>
    </xf>
    <xf numFmtId="0" fontId="7" fillId="10" borderId="31" xfId="114" applyFont="1" applyFill="1" applyBorder="1" applyAlignment="1" applyProtection="1">
      <alignment horizontal="left" vertical="top" wrapText="1"/>
      <protection locked="0"/>
    </xf>
    <xf numFmtId="0" fontId="7" fillId="10" borderId="54" xfId="114" applyFont="1" applyFill="1" applyBorder="1" applyAlignment="1" applyProtection="1">
      <alignment horizontal="left" vertical="top" wrapText="1"/>
      <protection locked="0"/>
    </xf>
    <xf numFmtId="0" fontId="7" fillId="10" borderId="0" xfId="114" applyFont="1" applyFill="1" applyAlignment="1" applyProtection="1">
      <alignment horizontal="left" vertical="top" wrapText="1"/>
      <protection locked="0"/>
    </xf>
    <xf numFmtId="0" fontId="7" fillId="10" borderId="58" xfId="114" applyFont="1" applyFill="1" applyBorder="1" applyAlignment="1" applyProtection="1">
      <alignment horizontal="left" vertical="top" wrapText="1"/>
      <protection locked="0"/>
    </xf>
    <xf numFmtId="0" fontId="7" fillId="10" borderId="57" xfId="114" applyFont="1" applyFill="1" applyBorder="1" applyAlignment="1" applyProtection="1">
      <alignment horizontal="left" vertical="top" wrapText="1"/>
      <protection locked="0"/>
    </xf>
    <xf numFmtId="0" fontId="7" fillId="10" borderId="44" xfId="114" applyFont="1" applyFill="1" applyBorder="1" applyAlignment="1" applyProtection="1">
      <alignment horizontal="left" vertical="top" wrapText="1"/>
      <protection locked="0"/>
    </xf>
    <xf numFmtId="0" fontId="7" fillId="10" borderId="43" xfId="114" applyFont="1" applyFill="1" applyBorder="1" applyAlignment="1" applyProtection="1">
      <alignment horizontal="left" vertical="top" wrapText="1"/>
      <protection locked="0"/>
    </xf>
    <xf numFmtId="0" fontId="4" fillId="6" borderId="46" xfId="114" applyFont="1" applyFill="1" applyBorder="1" applyAlignment="1">
      <alignment horizontal="center" vertical="center" wrapText="1"/>
    </xf>
    <xf numFmtId="0" fontId="4" fillId="6" borderId="39" xfId="114" applyFont="1" applyFill="1" applyBorder="1" applyAlignment="1">
      <alignment horizontal="center" vertical="center" wrapText="1"/>
    </xf>
    <xf numFmtId="0" fontId="4" fillId="6" borderId="23" xfId="114" applyFont="1" applyFill="1" applyBorder="1" applyAlignment="1">
      <alignment horizontal="center" vertical="center" wrapText="1"/>
    </xf>
    <xf numFmtId="0" fontId="4" fillId="6" borderId="45" xfId="114" applyFont="1" applyFill="1" applyBorder="1" applyAlignment="1">
      <alignment horizontal="center" vertical="center" wrapText="1"/>
    </xf>
    <xf numFmtId="0" fontId="4" fillId="6" borderId="38" xfId="114" applyFont="1" applyFill="1" applyBorder="1" applyAlignment="1">
      <alignment horizontal="center" vertical="center" wrapText="1"/>
    </xf>
    <xf numFmtId="0" fontId="4" fillId="6" borderId="24" xfId="114" applyFont="1" applyFill="1" applyBorder="1" applyAlignment="1">
      <alignment horizontal="center" vertical="center" wrapText="1"/>
    </xf>
    <xf numFmtId="0" fontId="4" fillId="6" borderId="12" xfId="114" applyFont="1" applyFill="1" applyBorder="1" applyAlignment="1">
      <alignment horizontal="center" vertical="center" wrapText="1"/>
    </xf>
    <xf numFmtId="0" fontId="4" fillId="6" borderId="4" xfId="114" applyFont="1" applyFill="1" applyBorder="1" applyAlignment="1">
      <alignment horizontal="center" vertical="center" wrapText="1"/>
    </xf>
    <xf numFmtId="0" fontId="7" fillId="3" borderId="51" xfId="114" applyFont="1" applyFill="1" applyBorder="1" applyAlignment="1">
      <alignment horizontal="right" wrapText="1"/>
    </xf>
    <xf numFmtId="0" fontId="7" fillId="3" borderId="24" xfId="114" applyFont="1" applyFill="1" applyBorder="1" applyAlignment="1">
      <alignment horizontal="right" wrapText="1"/>
    </xf>
    <xf numFmtId="0" fontId="7" fillId="3" borderId="24" xfId="114" applyFont="1" applyFill="1" applyBorder="1" applyAlignment="1">
      <alignment horizontal="right"/>
    </xf>
    <xf numFmtId="0" fontId="4" fillId="6" borderId="49" xfId="114" applyFont="1" applyFill="1" applyBorder="1" applyAlignment="1">
      <alignment horizontal="center" vertical="center" wrapText="1"/>
    </xf>
    <xf numFmtId="0" fontId="4" fillId="6" borderId="13" xfId="114" applyFont="1" applyFill="1" applyBorder="1" applyAlignment="1">
      <alignment horizontal="center" vertical="center" wrapText="1"/>
    </xf>
    <xf numFmtId="0" fontId="4" fillId="6" borderId="40" xfId="114" applyFont="1" applyFill="1" applyBorder="1" applyAlignment="1">
      <alignment horizontal="center" vertical="center" wrapText="1"/>
    </xf>
    <xf numFmtId="0" fontId="4" fillId="6" borderId="1" xfId="114" applyFont="1" applyFill="1" applyBorder="1" applyAlignment="1">
      <alignment horizontal="center" vertical="center" wrapText="1"/>
    </xf>
    <xf numFmtId="9" fontId="7" fillId="9" borderId="24" xfId="117" applyFont="1" applyFill="1" applyBorder="1" applyAlignment="1">
      <alignment horizontal="center"/>
    </xf>
    <xf numFmtId="9" fontId="7" fillId="9" borderId="23" xfId="117" applyFont="1" applyFill="1" applyBorder="1" applyAlignment="1">
      <alignment horizontal="center"/>
    </xf>
    <xf numFmtId="0" fontId="4" fillId="6" borderId="16" xfId="114" applyFont="1" applyFill="1" applyBorder="1" applyAlignment="1">
      <alignment horizontal="center"/>
    </xf>
    <xf numFmtId="0" fontId="4" fillId="6" borderId="35" xfId="114" applyFont="1" applyFill="1" applyBorder="1" applyAlignment="1">
      <alignment horizontal="center"/>
    </xf>
    <xf numFmtId="0" fontId="4" fillId="6" borderId="17" xfId="114" applyFont="1" applyFill="1" applyBorder="1" applyAlignment="1">
      <alignment horizontal="center"/>
    </xf>
    <xf numFmtId="0" fontId="7" fillId="0" borderId="13" xfId="114" applyFont="1" applyBorder="1" applyAlignment="1">
      <alignment horizontal="left" wrapText="1"/>
    </xf>
    <xf numFmtId="0" fontId="7" fillId="0" borderId="1" xfId="114" applyFont="1" applyBorder="1" applyAlignment="1">
      <alignment horizontal="left" wrapText="1"/>
    </xf>
    <xf numFmtId="0" fontId="7" fillId="0" borderId="29" xfId="114" applyFont="1" applyBorder="1" applyAlignment="1">
      <alignment horizontal="left" wrapText="1"/>
    </xf>
    <xf numFmtId="0" fontId="7" fillId="0" borderId="26" xfId="114" applyFont="1" applyBorder="1" applyAlignment="1">
      <alignment horizontal="left" wrapText="1"/>
    </xf>
    <xf numFmtId="0" fontId="7" fillId="0" borderId="31" xfId="114" applyFont="1" applyBorder="1" applyAlignment="1">
      <alignment horizontal="left" wrapText="1"/>
    </xf>
    <xf numFmtId="0" fontId="4" fillId="6" borderId="8" xfId="114" applyFont="1" applyFill="1" applyBorder="1" applyAlignment="1">
      <alignment horizontal="center" wrapText="1"/>
    </xf>
    <xf numFmtId="0" fontId="4" fillId="6" borderId="10" xfId="114" applyFont="1" applyFill="1" applyBorder="1" applyAlignment="1">
      <alignment horizontal="center" wrapText="1"/>
    </xf>
    <xf numFmtId="0" fontId="4" fillId="6" borderId="9" xfId="114" applyFont="1" applyFill="1" applyBorder="1" applyAlignment="1">
      <alignment horizontal="center" wrapText="1"/>
    </xf>
    <xf numFmtId="0" fontId="4" fillId="6" borderId="5" xfId="114" applyFont="1" applyFill="1" applyBorder="1" applyAlignment="1">
      <alignment horizontal="center" wrapText="1"/>
    </xf>
    <xf numFmtId="0" fontId="4" fillId="6" borderId="11" xfId="114" applyFont="1" applyFill="1" applyBorder="1" applyAlignment="1">
      <alignment horizontal="center" wrapText="1"/>
    </xf>
    <xf numFmtId="0" fontId="4" fillId="6" borderId="6" xfId="114" applyFont="1" applyFill="1" applyBorder="1" applyAlignment="1">
      <alignment horizontal="center" wrapText="1"/>
    </xf>
    <xf numFmtId="0" fontId="7" fillId="0" borderId="0" xfId="114" applyFont="1" applyAlignment="1">
      <alignment horizontal="left" wrapText="1"/>
    </xf>
    <xf numFmtId="0" fontId="7" fillId="0" borderId="49" xfId="114" applyFont="1" applyBorder="1" applyAlignment="1">
      <alignment horizontal="left"/>
    </xf>
    <xf numFmtId="0" fontId="7" fillId="0" borderId="40" xfId="114" applyFont="1" applyBorder="1" applyAlignment="1">
      <alignment horizontal="left"/>
    </xf>
    <xf numFmtId="0" fontId="7" fillId="0" borderId="55" xfId="114" applyFont="1" applyBorder="1" applyAlignment="1">
      <alignment horizontal="left" wrapText="1" indent="3"/>
    </xf>
    <xf numFmtId="0" fontId="7" fillId="0" borderId="37" xfId="114" applyFont="1" applyBorder="1" applyAlignment="1">
      <alignment horizontal="left" wrapText="1" indent="3"/>
    </xf>
    <xf numFmtId="0" fontId="4" fillId="6" borderId="42" xfId="114" applyFont="1" applyFill="1" applyBorder="1" applyAlignment="1">
      <alignment horizontal="center" vertical="center"/>
    </xf>
    <xf numFmtId="0" fontId="4" fillId="6" borderId="44" xfId="114" applyFont="1" applyFill="1" applyBorder="1" applyAlignment="1">
      <alignment horizontal="center" vertical="center"/>
    </xf>
    <xf numFmtId="0" fontId="4" fillId="6" borderId="43" xfId="114" applyFont="1" applyFill="1" applyBorder="1" applyAlignment="1">
      <alignment horizontal="center" vertical="center"/>
    </xf>
    <xf numFmtId="0" fontId="4" fillId="6" borderId="2" xfId="114" applyFont="1" applyFill="1" applyBorder="1" applyAlignment="1">
      <alignment horizontal="center" vertical="center"/>
    </xf>
    <xf numFmtId="0" fontId="4" fillId="6" borderId="0" xfId="114" applyFont="1" applyFill="1" applyAlignment="1">
      <alignment horizontal="center" vertical="center"/>
    </xf>
    <xf numFmtId="0" fontId="4" fillId="6" borderId="58" xfId="114" applyFont="1" applyFill="1" applyBorder="1" applyAlignment="1">
      <alignment horizontal="center" vertical="center"/>
    </xf>
    <xf numFmtId="0" fontId="4" fillId="6" borderId="5" xfId="114" applyFont="1" applyFill="1" applyBorder="1" applyAlignment="1">
      <alignment horizontal="center" vertical="center"/>
    </xf>
    <xf numFmtId="0" fontId="4" fillId="6" borderId="11" xfId="114" applyFont="1" applyFill="1" applyBorder="1" applyAlignment="1">
      <alignment horizontal="center" vertical="center"/>
    </xf>
    <xf numFmtId="0" fontId="4" fillId="6" borderId="25" xfId="114" applyFont="1" applyFill="1" applyBorder="1" applyAlignment="1">
      <alignment horizontal="center" vertical="center"/>
    </xf>
    <xf numFmtId="0" fontId="7" fillId="0" borderId="49" xfId="114" applyFont="1" applyBorder="1" applyAlignment="1">
      <alignment horizontal="left" wrapText="1"/>
    </xf>
    <xf numFmtId="0" fontId="7" fillId="0" borderId="40" xfId="114" applyFont="1" applyBorder="1" applyAlignment="1">
      <alignment horizontal="left" wrapText="1"/>
    </xf>
    <xf numFmtId="0" fontId="4" fillId="6" borderId="38" xfId="114" applyFont="1" applyFill="1" applyBorder="1" applyAlignment="1">
      <alignment horizontal="center" vertical="top" wrapText="1"/>
    </xf>
    <xf numFmtId="0" fontId="4" fillId="6" borderId="24" xfId="114" applyFont="1" applyFill="1" applyBorder="1" applyAlignment="1">
      <alignment horizontal="center" vertical="top" wrapText="1"/>
    </xf>
    <xf numFmtId="0" fontId="3" fillId="3" borderId="11" xfId="0" applyFont="1" applyFill="1" applyBorder="1" applyAlignment="1">
      <alignment horizontal="center"/>
    </xf>
    <xf numFmtId="0" fontId="7" fillId="10" borderId="29" xfId="0" applyFont="1" applyFill="1" applyBorder="1" applyAlignment="1" applyProtection="1">
      <alignment horizontal="left" wrapText="1"/>
      <protection locked="0"/>
    </xf>
    <xf numFmtId="0" fontId="3" fillId="10" borderId="26" xfId="0" applyFont="1" applyFill="1" applyBorder="1" applyAlignment="1" applyProtection="1">
      <alignment horizontal="left" wrapText="1"/>
      <protection locked="0"/>
    </xf>
    <xf numFmtId="0" fontId="3" fillId="10" borderId="31" xfId="0" applyFont="1" applyFill="1" applyBorder="1" applyAlignment="1" applyProtection="1">
      <alignment horizontal="left" wrapText="1"/>
      <protection locked="0"/>
    </xf>
    <xf numFmtId="0" fontId="7" fillId="10" borderId="14" xfId="0" applyFont="1" applyFill="1" applyBorder="1" applyAlignment="1" applyProtection="1">
      <alignment horizontal="left" wrapText="1"/>
      <protection locked="0"/>
    </xf>
    <xf numFmtId="0" fontId="3" fillId="10" borderId="18" xfId="0" applyFont="1" applyFill="1" applyBorder="1" applyAlignment="1" applyProtection="1">
      <alignment horizontal="left" wrapText="1"/>
      <protection locked="0"/>
    </xf>
    <xf numFmtId="0" fontId="3" fillId="10" borderId="19" xfId="0" applyFont="1" applyFill="1" applyBorder="1" applyAlignment="1" applyProtection="1">
      <alignment horizontal="left" wrapText="1"/>
      <protection locked="0"/>
    </xf>
    <xf numFmtId="0" fontId="3" fillId="10" borderId="14" xfId="0" applyFont="1" applyFill="1" applyBorder="1" applyAlignment="1" applyProtection="1">
      <alignment horizontal="left" wrapText="1"/>
      <protection locked="0"/>
    </xf>
    <xf numFmtId="0" fontId="3" fillId="10" borderId="27" xfId="0" applyFont="1" applyFill="1" applyBorder="1" applyAlignment="1" applyProtection="1">
      <alignment horizontal="left" wrapText="1"/>
      <protection locked="0"/>
    </xf>
    <xf numFmtId="0" fontId="3" fillId="10" borderId="36" xfId="0" applyFont="1" applyFill="1" applyBorder="1" applyAlignment="1" applyProtection="1">
      <alignment horizontal="left" wrapText="1"/>
      <protection locked="0"/>
    </xf>
    <xf numFmtId="0" fontId="3" fillId="10" borderId="28" xfId="0" applyFont="1" applyFill="1" applyBorder="1" applyAlignment="1" applyProtection="1">
      <alignment horizontal="left" wrapText="1"/>
      <protection locked="0"/>
    </xf>
    <xf numFmtId="0" fontId="4" fillId="6" borderId="8" xfId="0" applyFont="1" applyFill="1" applyBorder="1" applyAlignment="1">
      <alignment horizontal="center" vertical="center" wrapText="1"/>
    </xf>
    <xf numFmtId="0" fontId="4" fillId="6" borderId="10"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6" xfId="0" applyFont="1" applyFill="1" applyBorder="1" applyAlignment="1">
      <alignment horizontal="center" vertical="center"/>
    </xf>
    <xf numFmtId="170" fontId="3" fillId="10" borderId="40" xfId="0" applyNumberFormat="1" applyFont="1" applyFill="1" applyBorder="1" applyAlignment="1" applyProtection="1">
      <alignment horizontal="left"/>
      <protection locked="0"/>
    </xf>
    <xf numFmtId="170" fontId="3" fillId="10" borderId="12" xfId="0" applyNumberFormat="1" applyFont="1" applyFill="1" applyBorder="1" applyAlignment="1" applyProtection="1">
      <alignment horizontal="left"/>
      <protection locked="0"/>
    </xf>
    <xf numFmtId="0" fontId="7" fillId="3" borderId="21" xfId="0" applyFont="1" applyFill="1" applyBorder="1" applyAlignment="1">
      <alignment horizontal="left"/>
    </xf>
    <xf numFmtId="0" fontId="3" fillId="3"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0"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 xfId="0" applyFont="1" applyFill="1" applyBorder="1" applyAlignment="1">
      <alignment horizontal="center" vertical="center"/>
    </xf>
    <xf numFmtId="0" fontId="4" fillId="6" borderId="16" xfId="0" applyFont="1" applyFill="1" applyBorder="1" applyAlignment="1">
      <alignment horizontal="center"/>
    </xf>
    <xf numFmtId="0" fontId="4" fillId="6" borderId="35" xfId="0" applyFont="1" applyFill="1" applyBorder="1" applyAlignment="1">
      <alignment horizontal="center"/>
    </xf>
    <xf numFmtId="0" fontId="4" fillId="6" borderId="17" xfId="0" applyFont="1" applyFill="1" applyBorder="1" applyAlignment="1">
      <alignment horizontal="center"/>
    </xf>
    <xf numFmtId="0" fontId="4" fillId="6" borderId="64" xfId="0" applyFont="1" applyFill="1" applyBorder="1" applyAlignment="1">
      <alignment horizontal="center"/>
    </xf>
    <xf numFmtId="0" fontId="4" fillId="6" borderId="60" xfId="0" applyFont="1" applyFill="1" applyBorder="1" applyAlignment="1">
      <alignment horizontal="center"/>
    </xf>
    <xf numFmtId="0" fontId="4" fillId="6" borderId="53" xfId="0" applyFont="1" applyFill="1" applyBorder="1" applyAlignment="1">
      <alignment horizontal="center"/>
    </xf>
    <xf numFmtId="0" fontId="13" fillId="3" borderId="10" xfId="0" applyFont="1" applyFill="1" applyBorder="1" applyAlignment="1">
      <alignment horizontal="left"/>
    </xf>
    <xf numFmtId="0" fontId="3" fillId="3" borderId="49" xfId="0" applyFont="1" applyFill="1" applyBorder="1" applyAlignment="1">
      <alignment horizontal="center" vertical="center" wrapText="1"/>
    </xf>
    <xf numFmtId="0" fontId="3" fillId="3" borderId="13" xfId="0" applyFont="1" applyFill="1" applyBorder="1" applyAlignment="1">
      <alignment horizontal="center" vertical="center" wrapText="1"/>
    </xf>
    <xf numFmtId="172" fontId="7" fillId="3" borderId="16" xfId="0" applyNumberFormat="1" applyFont="1" applyFill="1" applyBorder="1" applyAlignment="1">
      <alignment horizontal="center"/>
    </xf>
    <xf numFmtId="172" fontId="7" fillId="3" borderId="35" xfId="0" applyNumberFormat="1" applyFont="1" applyFill="1" applyBorder="1" applyAlignment="1">
      <alignment horizontal="center"/>
    </xf>
    <xf numFmtId="172" fontId="7" fillId="3" borderId="62" xfId="0" applyNumberFormat="1" applyFont="1" applyFill="1" applyBorder="1" applyAlignment="1">
      <alignment horizontal="center"/>
    </xf>
    <xf numFmtId="173" fontId="7" fillId="3" borderId="61" xfId="0" applyNumberFormat="1" applyFont="1" applyFill="1" applyBorder="1" applyAlignment="1">
      <alignment horizontal="center"/>
    </xf>
    <xf numFmtId="173" fontId="7" fillId="3" borderId="35" xfId="0" applyNumberFormat="1" applyFont="1" applyFill="1" applyBorder="1" applyAlignment="1">
      <alignment horizontal="center"/>
    </xf>
    <xf numFmtId="173" fontId="7" fillId="3" borderId="17" xfId="0" applyNumberFormat="1" applyFont="1" applyFill="1" applyBorder="1" applyAlignment="1">
      <alignment horizontal="center"/>
    </xf>
    <xf numFmtId="0" fontId="3" fillId="3" borderId="29" xfId="0" applyFont="1" applyFill="1" applyBorder="1" applyAlignment="1">
      <alignment horizontal="center"/>
    </xf>
    <xf numFmtId="0" fontId="3" fillId="3" borderId="26" xfId="0" applyFont="1" applyFill="1" applyBorder="1" applyAlignment="1">
      <alignment horizontal="center"/>
    </xf>
    <xf numFmtId="0" fontId="3" fillId="3" borderId="31" xfId="0" applyFont="1" applyFill="1" applyBorder="1" applyAlignment="1">
      <alignment horizontal="center"/>
    </xf>
    <xf numFmtId="0" fontId="13" fillId="3" borderId="27" xfId="0" applyFont="1" applyFill="1" applyBorder="1" applyAlignment="1">
      <alignment horizontal="center" wrapText="1"/>
    </xf>
    <xf numFmtId="0" fontId="13" fillId="3" borderId="36" xfId="0" applyFont="1" applyFill="1" applyBorder="1" applyAlignment="1">
      <alignment horizontal="center" wrapText="1"/>
    </xf>
    <xf numFmtId="0" fontId="13" fillId="3" borderId="28" xfId="0" applyFont="1" applyFill="1" applyBorder="1" applyAlignment="1">
      <alignment horizontal="center" wrapText="1"/>
    </xf>
    <xf numFmtId="164" fontId="13" fillId="7" borderId="52" xfId="0" applyNumberFormat="1" applyFont="1" applyFill="1" applyBorder="1" applyAlignment="1">
      <alignment horizontal="center"/>
    </xf>
    <xf numFmtId="164" fontId="13" fillId="7" borderId="36" xfId="0" applyNumberFormat="1" applyFont="1" applyFill="1" applyBorder="1" applyAlignment="1">
      <alignment horizontal="center"/>
    </xf>
    <xf numFmtId="164" fontId="13" fillId="7" borderId="48" xfId="0" applyNumberFormat="1" applyFont="1" applyFill="1" applyBorder="1" applyAlignment="1">
      <alignment horizontal="center"/>
    </xf>
    <xf numFmtId="0" fontId="3" fillId="3" borderId="12" xfId="0" applyFont="1" applyFill="1" applyBorder="1" applyAlignment="1">
      <alignment horizontal="center" vertical="center" wrapText="1"/>
    </xf>
    <xf numFmtId="0" fontId="3" fillId="3" borderId="40" xfId="0" applyFont="1" applyFill="1" applyBorder="1" applyAlignment="1">
      <alignment horizontal="center" vertical="center" wrapText="1"/>
    </xf>
  </cellXfs>
  <cellStyles count="125">
    <cellStyle name="Comma" xfId="123" builtinId="3"/>
    <cellStyle name="Comma 2" xfId="65" xr:uid="{00000000-0005-0000-0000-000000000000}"/>
    <cellStyle name="Comma 4 2 2" xfId="115" xr:uid="{90B53A6F-0A06-F74A-ACF8-BE580DE2478C}"/>
    <cellStyle name="Comma 5" xfId="122" xr:uid="{1FF493CB-A9E7-D648-A8C2-D2BAEDE04D89}"/>
    <cellStyle name="Currency" xfId="116" builtinId="4"/>
    <cellStyle name="Currency 2" xfId="119" xr:uid="{316EB3B6-9BE6-B841-B1CF-00C7C34A6AA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Normal" xfId="0" builtinId="0"/>
    <cellStyle name="Normal 2" xfId="114" xr:uid="{44466CC3-824E-2E42-8EE6-CF69FBEED035}"/>
    <cellStyle name="Normal 3 2 2" xfId="120" xr:uid="{194BDBCE-BA1B-C046-9F7F-EB2F344A9385}"/>
    <cellStyle name="Normal 4" xfId="118" xr:uid="{7F057FDD-08E9-344C-A80D-91787657AE6F}"/>
    <cellStyle name="Normal 4 2 2" xfId="121" xr:uid="{1AAD1CBE-1EA5-6B4A-87D9-4F59E898606B}"/>
    <cellStyle name="Percent" xfId="124" builtinId="5"/>
    <cellStyle name="Percent 2" xfId="117" xr:uid="{06A1D79A-64DA-DE40-8121-CD8064733871}"/>
  </cellStyles>
  <dxfs count="101">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border>
    </dxf>
    <dxf>
      <font>
        <color auto="1"/>
      </font>
      <fill>
        <patternFill patternType="solid">
          <bgColor theme="0"/>
        </patternFill>
      </fill>
      <border>
        <left/>
        <right/>
        <top/>
        <bottom/>
      </border>
    </dxf>
    <dxf>
      <font>
        <color auto="1"/>
      </font>
      <fill>
        <patternFill patternType="solid">
          <bgColor auto="1"/>
        </patternFill>
      </fill>
      <border>
        <left/>
        <right/>
        <bottom/>
      </border>
    </dxf>
    <dxf>
      <font>
        <color theme="1"/>
      </font>
      <fill>
        <patternFill>
          <bgColor theme="1"/>
        </patternFill>
      </fill>
    </dxf>
    <dxf>
      <font>
        <b/>
        <i val="0"/>
      </font>
      <fill>
        <patternFill>
          <bgColor rgb="FFFFFF99"/>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auto="1"/>
      </font>
      <fill>
        <patternFill>
          <bgColor theme="9" tint="0.79998168889431442"/>
        </patternFill>
      </fill>
      <border>
        <left style="thin">
          <color auto="1"/>
        </left>
      </border>
    </dxf>
    <dxf>
      <font>
        <color auto="1"/>
      </font>
      <fill>
        <patternFill>
          <bgColor theme="5" tint="0.79998168889431442"/>
        </patternFill>
      </fill>
      <border>
        <left/>
        <top/>
      </border>
    </dxf>
    <dxf>
      <font>
        <color auto="1"/>
      </font>
      <fill>
        <patternFill>
          <bgColor theme="5" tint="0.79998168889431442"/>
        </patternFill>
      </fill>
      <border>
        <left/>
        <top/>
        <bottom/>
      </border>
    </dxf>
    <dxf>
      <font>
        <color rgb="FF9C0006"/>
      </font>
      <fill>
        <patternFill>
          <bgColor rgb="FFFFC7CE"/>
        </patternFill>
      </fill>
    </dxf>
    <dxf>
      <font>
        <color auto="1"/>
      </font>
      <fill>
        <patternFill>
          <bgColor theme="5" tint="0.79998168889431442"/>
        </patternFill>
      </fill>
      <border>
        <left/>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0"/>
        </patternFill>
      </fill>
    </dxf>
    <dxf>
      <font>
        <color rgb="FF9C0006"/>
      </font>
      <fill>
        <patternFill>
          <bgColor rgb="FFFFC7CE"/>
        </patternFill>
      </fill>
    </dxf>
    <dxf>
      <font>
        <color rgb="FF9C0006"/>
      </font>
      <fill>
        <patternFill>
          <bgColor rgb="FFFFC7CE"/>
        </patternFill>
      </fill>
    </dxf>
    <dxf>
      <font>
        <strike val="0"/>
      </font>
    </dxf>
    <dxf>
      <font>
        <color rgb="FF9C0006"/>
      </font>
      <fill>
        <patternFill>
          <bgColor rgb="FFFFC7CE"/>
        </patternFill>
      </fill>
    </dxf>
    <dxf>
      <font>
        <strike val="0"/>
      </font>
    </dxf>
    <dxf>
      <font>
        <strike val="0"/>
      </font>
    </dxf>
    <dxf>
      <font>
        <b/>
        <i val="0"/>
      </font>
    </dxf>
    <dxf>
      <font>
        <strike val="0"/>
      </font>
    </dxf>
    <dxf>
      <font>
        <strike val="0"/>
      </font>
    </dxf>
    <dxf>
      <font>
        <strike val="0"/>
      </font>
    </dxf>
    <dxf>
      <font>
        <strike val="0"/>
      </font>
    </dxf>
    <dxf>
      <font>
        <color rgb="FFFF0000"/>
      </font>
      <fill>
        <patternFill>
          <bgColor theme="0"/>
        </patternFill>
      </fill>
    </dxf>
    <dxf>
      <font>
        <color rgb="FFFF0000"/>
      </font>
    </dxf>
    <dxf>
      <font>
        <color rgb="FFFF0000"/>
      </font>
      <fill>
        <patternFill>
          <bgColor theme="0"/>
        </patternFill>
      </fill>
    </dxf>
    <dxf>
      <font>
        <color rgb="FFFF0000"/>
      </font>
    </dxf>
    <dxf>
      <font>
        <color rgb="FFFF0000"/>
      </font>
      <fill>
        <patternFill>
          <bgColor theme="0"/>
        </patternFill>
      </fill>
    </dxf>
    <dxf>
      <font>
        <color rgb="FFFF0000"/>
      </font>
      <fill>
        <patternFill>
          <bgColor theme="0"/>
        </patternFill>
      </fill>
    </dxf>
    <dxf>
      <font>
        <color rgb="FFFF0000"/>
      </font>
    </dxf>
    <dxf>
      <font>
        <color auto="1"/>
      </font>
      <fill>
        <patternFill>
          <bgColor theme="0"/>
        </patternFill>
      </fill>
    </dxf>
    <dxf>
      <font>
        <color rgb="FFFF0000"/>
      </font>
      <fill>
        <patternFill>
          <bgColor theme="0"/>
        </patternFill>
      </fill>
    </dxf>
    <dxf>
      <font>
        <color rgb="FFFF0000"/>
      </font>
      <fill>
        <patternFill>
          <bgColor theme="0"/>
        </patternFill>
      </fill>
    </dxf>
    <dxf>
      <font>
        <color rgb="FFFF0000"/>
      </font>
      <fill>
        <patternFill>
          <bgColor theme="0"/>
        </patternFill>
      </fill>
    </dxf>
    <dxf>
      <font>
        <color rgb="FFFF0000"/>
      </font>
    </dxf>
    <dxf>
      <font>
        <color rgb="FFFF0000"/>
      </font>
      <fill>
        <patternFill>
          <bgColor theme="0"/>
        </patternFill>
      </fill>
      <border>
        <left style="thin">
          <color auto="1"/>
        </left>
        <right style="thin">
          <color auto="1"/>
        </right>
        <top style="thin">
          <color auto="1"/>
        </top>
        <bottom style="thin">
          <color auto="1"/>
        </bottom>
        <vertical/>
        <horizontal/>
      </border>
    </dxf>
    <dxf>
      <font>
        <color rgb="FFFF0000"/>
      </font>
      <fill>
        <patternFill>
          <bgColor theme="0"/>
        </patternFill>
      </fill>
      <border>
        <vertical/>
        <horizontal/>
      </border>
    </dxf>
    <dxf>
      <font>
        <color rgb="FFFF0000"/>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0"/>
        </patternFill>
      </fill>
    </dxf>
    <dxf>
      <font>
        <color theme="0"/>
      </font>
    </dxf>
    <dxf>
      <font>
        <color theme="0"/>
      </font>
    </dxf>
    <dxf>
      <font>
        <color rgb="FFFF0000"/>
      </font>
      <fill>
        <patternFill>
          <bgColor theme="0"/>
        </patternFill>
      </fill>
    </dxf>
    <dxf>
      <font>
        <color rgb="FFFF0000"/>
      </font>
      <fill>
        <patternFill>
          <bgColor theme="0"/>
        </patternFill>
      </fill>
    </dxf>
    <dxf>
      <font>
        <color rgb="FFFF0000"/>
      </font>
      <fill>
        <patternFill>
          <bgColor theme="0"/>
        </patternFill>
      </fill>
    </dxf>
    <dxf>
      <font>
        <color auto="1"/>
      </font>
      <fill>
        <patternFill>
          <bgColor theme="0"/>
        </patternFill>
      </fill>
      <border>
        <vertical/>
        <horizontal/>
      </border>
    </dxf>
    <dxf>
      <font>
        <color auto="1"/>
      </font>
      <fill>
        <patternFill>
          <fgColor theme="0"/>
          <bgColor theme="0"/>
        </patternFill>
      </fill>
    </dxf>
    <dxf>
      <font>
        <color auto="1"/>
      </font>
      <fill>
        <patternFill>
          <bgColor theme="0"/>
        </patternFill>
      </fill>
    </dxf>
    <dxf>
      <font>
        <color rgb="FFFF0000"/>
      </font>
      <fill>
        <patternFill>
          <bgColor theme="0"/>
        </patternFill>
      </fill>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auto="1"/>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theme="0"/>
      </font>
    </dxf>
    <dxf>
      <font>
        <color rgb="FFFF0000"/>
      </font>
      <fill>
        <patternFill>
          <bgColor theme="0"/>
        </patternFill>
      </fill>
    </dxf>
    <dxf>
      <font>
        <color rgb="FFFF0000"/>
      </font>
      <fill>
        <patternFill>
          <bgColor theme="0"/>
        </patternFill>
      </fill>
    </dxf>
    <dxf>
      <font>
        <color theme="0"/>
      </font>
    </dxf>
    <dxf>
      <font>
        <color theme="0"/>
      </font>
    </dxf>
    <dxf>
      <font>
        <color theme="0"/>
      </font>
      <fill>
        <patternFill>
          <bgColor theme="0"/>
        </patternFill>
      </fill>
      <border>
        <left style="thin">
          <color auto="1"/>
        </left>
        <right style="thin">
          <color auto="1"/>
        </right>
        <top style="thin">
          <color auto="1"/>
        </top>
        <bottom style="thin">
          <color auto="1"/>
        </bottom>
        <vertical/>
        <horizontal/>
      </border>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vertical/>
        <horizontal/>
      </border>
    </dxf>
    <dxf>
      <font>
        <color theme="0"/>
      </font>
      <fill>
        <patternFill>
          <bgColor theme="0"/>
        </patternFill>
      </fill>
    </dxf>
    <dxf>
      <font>
        <color theme="0"/>
      </font>
      <fill>
        <patternFill>
          <bgColor theme="0"/>
        </patternFill>
      </fill>
      <border>
        <vertical/>
        <horizontal/>
      </border>
    </dxf>
    <dxf>
      <font>
        <color theme="0"/>
      </font>
      <fill>
        <patternFill>
          <fgColor theme="0"/>
          <bgColor theme="0"/>
        </patternFill>
      </fill>
    </dxf>
    <dxf>
      <font>
        <color auto="1"/>
      </font>
      <fill>
        <patternFill>
          <bgColor theme="0"/>
        </patternFill>
      </fill>
      <border>
        <vertical/>
        <horizontal/>
      </border>
    </dxf>
    <dxf>
      <font>
        <color auto="1"/>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9C0006"/>
      </font>
    </dxf>
  </dxfs>
  <tableStyles count="0" defaultTableStyle="TableStyleMedium2" defaultPivotStyle="PivotStyleLight16"/>
  <colors>
    <mruColors>
      <color rgb="FFFFC7CE"/>
      <color rgb="FF9C0006"/>
      <color rgb="FFFFFF99"/>
      <color rgb="FFFCE4D6"/>
      <color rgb="FFEFBAC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9525</xdr:colOff>
      <xdr:row>13</xdr:row>
      <xdr:rowOff>47625</xdr:rowOff>
    </xdr:from>
    <xdr:to>
      <xdr:col>19</xdr:col>
      <xdr:colOff>38100</xdr:colOff>
      <xdr:row>14</xdr:row>
      <xdr:rowOff>14067</xdr:rowOff>
    </xdr:to>
    <xdr:pic>
      <xdr:nvPicPr>
        <xdr:cNvPr id="2" name="Picture 1">
          <a:extLst>
            <a:ext uri="{FF2B5EF4-FFF2-40B4-BE49-F238E27FC236}">
              <a16:creationId xmlns:a16="http://schemas.microsoft.com/office/drawing/2014/main" id="{73AA8533-2620-48AB-A699-3874A1F4B394}"/>
            </a:ext>
          </a:extLst>
        </xdr:cNvPr>
        <xdr:cNvPicPr>
          <a:picLocks noChangeAspect="1"/>
        </xdr:cNvPicPr>
      </xdr:nvPicPr>
      <xdr:blipFill>
        <a:blip xmlns:r="http://schemas.openxmlformats.org/officeDocument/2006/relationships" r:embed="rId1"/>
        <a:stretch>
          <a:fillRect/>
        </a:stretch>
      </xdr:blipFill>
      <xdr:spPr>
        <a:xfrm>
          <a:off x="6303645" y="2630805"/>
          <a:ext cx="6650355" cy="47698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en Seloske" id="{4C56F39F-21B0-42D4-B3A7-5AA65911BEB8}" userId="S::bseloske@ics.idaho.gov::323a4393-0192-4f0a-bd81-77746bdb0b73"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 dT="2022-01-31T18:09:24.05" personId="{4C56F39F-21B0-42D4-B3A7-5AA65911BEB8}" id="{3E94F99E-BBF6-4BBB-8D7F-A9385964CBF8}">
    <text>For the formulas to match values correctly, BearLake, NezPerce, and TwinFalls counties cannot have spaces in their names.</text>
  </threadedComment>
  <threadedComment ref="F1" dT="2024-02-21T23:12:52.65" personId="{4C56F39F-21B0-42D4-B3A7-5AA65911BEB8}" id="{4B3CFCC2-5D43-42FC-8231-6DFCF7FEB07E}">
    <text>DistNums have been reviewed and fixed to match datasource file - 2/21/24</text>
  </threadedComment>
  <threadedComment ref="G1" dT="2022-01-03T22:30:22.81" personId="{4C56F39F-21B0-42D4-B3A7-5AA65911BEB8}" id="{887874F3-6649-4294-83E8-26D277E7E1B8}">
    <text>For the L-2 to fill data correctly, this tab must remain sorted alphabetically by DistName.</text>
  </threadedComment>
  <threadedComment ref="H1" dT="2022-04-25T18:01:02.06" personId="{4C56F39F-21B0-42D4-B3A7-5AA65911BEB8}" id="{5DCE5089-F8CF-4D3B-A705-DF6872294F2C}">
    <text>Forgone amounts updated - 2/21/2024</text>
  </threadedComment>
  <threadedComment ref="H1" dT="2024-02-21T20:55:56.38" personId="{4C56F39F-21B0-42D4-B3A7-5AA65911BEB8}" id="{402F397D-A12D-471C-99DC-B7B49656AAE9}" parentId="{5DCE5089-F8CF-4D3B-A705-DF6872294F2C}">
    <text>Some districts' numbers were wrong and values had to be updated after fixing the DistNums.</text>
  </threadedComment>
  <threadedComment ref="I1" dT="2023-12-18T16:59:57.00" personId="{4C56F39F-21B0-42D4-B3A7-5AA65911BEB8}" id="{76AE3756-0E04-4C3B-975F-BACAE633783C}">
    <text>Updated to 2023 OP values on 1/21/24.</text>
  </threadedComment>
  <threadedComment ref="I1" dT="2024-02-21T22:43:33.14" personId="{4C56F39F-21B0-42D4-B3A7-5AA65911BEB8}" id="{0119A129-FFAD-4711-AAB0-93D5162D283F}" parentId="{76AE3756-0E04-4C3B-975F-BACAE633783C}">
    <text>Values should be fixed after the DistNum corrections.</text>
  </threadedComment>
  <threadedComment ref="K1" dT="2024-02-21T22:52:39.64" personId="{4C56F39F-21B0-42D4-B3A7-5AA65911BEB8}" id="{3BADC231-5B49-4916-8691-0528ED11FDF1}">
    <text>All replacements updated 1/21/24 after DistNum corrections</text>
  </threadedComment>
  <threadedComment ref="N1" dT="2024-02-21T23:21:37.50" personId="{4C56F39F-21B0-42D4-B3A7-5AA65911BEB8}" id="{E014D4E8-CB9C-4858-9321-10EC44C13153}">
    <text>Updated on 2/21/24</text>
  </threadedComment>
  <threadedComment ref="Q1" dT="2023-12-18T17:07:37.78" personId="{4C56F39F-21B0-42D4-B3A7-5AA65911BEB8}" id="{D6DBD0EF-E84E-43DC-9C70-90CF12F43951}">
    <text>All budget figures updated 1/24/24</text>
  </threadedComment>
  <threadedComment ref="Q1" dT="2023-12-18T18:34:15.34" personId="{4C56F39F-21B0-42D4-B3A7-5AA65911BEB8}" id="{6D43B22F-FF4D-4C28-A18A-471D55FA26CD}" parentId="{D6DBD0EF-E84E-43DC-9C70-90CF12F43951}">
    <text>All budget figures include replacements for that year to simplify formula here (formula in data source file).</text>
  </threadedComment>
  <threadedComment ref="R1" dT="2022-06-02T15:47:22.04" personId="{4C56F39F-21B0-42D4-B3A7-5AA65911BEB8}" id="{DD73BD38-593E-4A01-B2AF-83509AB92AEA}">
    <text>Need to review after Max Budget &amp; Forgone is published.</text>
  </threadedComment>
  <threadedComment ref="R1" dT="2024-01-24T17:38:27.74" personId="{4C56F39F-21B0-42D4-B3A7-5AA65911BEB8}" id="{81229037-CC80-40D8-931A-9421F96D7D6F}" parentId="{DD73BD38-593E-4A01-B2AF-83509AB92AEA}">
    <text>All values filled from the Max Budget &amp; Forgone Excel worksheet on 1/24/24</text>
  </threadedComment>
  <threadedComment ref="R1" dT="2024-02-22T18:59:28.10" personId="{4C56F39F-21B0-42D4-B3A7-5AA65911BEB8}" id="{F2FCE417-FB9F-4DC0-BCCD-933CBBBF6286}" parentId="{DD73BD38-593E-4A01-B2AF-83509AB92AEA}">
    <text>All values reviewed and correctly reflect Max Budget &amp; Forgone Excel worksheet after 2/21/2024 corrections.</text>
  </threadedComment>
  <threadedComment ref="G40" dT="2023-03-20T21:04:32.35" personId="{4C56F39F-21B0-42D4-B3A7-5AA65911BEB8}" id="{FD1A43F5-CE21-4708-B31B-7296A1CDE0FB}">
    <text>Has a county R&amp;B that is NOT county-wide.</text>
  </threadedComment>
  <threadedComment ref="G55" dT="2023-03-20T21:04:15.20" personId="{4C56F39F-21B0-42D4-B3A7-5AA65911BEB8}" id="{CA122BF3-EB67-411E-A7F6-71D7F28D6A5E}">
    <text>Has a County R&amp;B that is NOT county-wide</text>
  </threadedComment>
  <threadedComment ref="G87" dT="2023-03-20T21:05:33.64" personId="{4C56F39F-21B0-42D4-B3A7-5AA65911BEB8}" id="{EE76200F-5F65-4D3F-BA4F-473EA90042FE}">
    <text>Has a county R&amp;B that is NOT county-wide</text>
  </threadedComment>
  <threadedComment ref="G142" dT="2023-03-20T21:06:02.78" personId="{4C56F39F-21B0-42D4-B3A7-5AA65911BEB8}" id="{68D0F1CE-55D5-4BF9-91CE-E8FCEA15194D}">
    <text>Has a county R&amp;B that is NOT county-wide</text>
  </threadedComment>
  <threadedComment ref="G483" dT="2023-03-20T21:06:38.33" personId="{4C56F39F-21B0-42D4-B3A7-5AA65911BEB8}" id="{068FCDC1-21C3-4975-9F81-9A161E4450CB}">
    <text>Has a county R&amp;B that is NOT county-wide</text>
  </threadedComment>
  <threadedComment ref="G590" dT="2023-03-20T21:07:01.45" personId="{4C56F39F-21B0-42D4-B3A7-5AA65911BEB8}" id="{47586830-3C4B-4D63-94AE-20D458AF0243}">
    <text>Has a county R&amp;B that is NOT county-wide.</text>
  </threadedComment>
  <threadedComment ref="G798" dT="2023-03-20T21:07:34.97" personId="{4C56F39F-21B0-42D4-B3A7-5AA65911BEB8}" id="{AB9E3240-34D9-468B-86D8-CB47056F242F}">
    <text>Has a county R&amp;B that is NOT county-wide</text>
  </threadedComment>
  <threadedComment ref="G840" dT="2023-03-20T21:08:00.27" personId="{4C56F39F-21B0-42D4-B3A7-5AA65911BEB8}" id="{8F7D9713-7D87-402A-9C3B-580243BC5AAE}">
    <text>Has a county R&amp;B that is NOT county-wide</text>
  </threadedComment>
  <threadedComment ref="G853" dT="2023-03-20T21:08:24.93" personId="{4C56F39F-21B0-42D4-B3A7-5AA65911BEB8}" id="{8AB046E5-1182-4A55-B89F-9DD73470A012}">
    <text>Has a county R&amp;B that is NOT county-wide</text>
  </threadedComment>
  <threadedComment ref="G963" dT="2023-03-20T21:08:52.05" personId="{4C56F39F-21B0-42D4-B3A7-5AA65911BEB8}" id="{9C5AF2AB-4E45-4768-A970-A396EE12CCD3}">
    <text>Has a county R&amp;B that is NOT county-wide.</text>
  </threadedComment>
  <threadedComment ref="G1082" dT="2023-03-20T21:09:13.87" personId="{4C56F39F-21B0-42D4-B3A7-5AA65911BEB8}" id="{15126004-63D7-4096-9E82-32DC46E2A7D2}">
    <text>Has a county R&amp;B that is NOT county-wide.</text>
  </threadedComment>
</ThreadedComments>
</file>

<file path=xl/threadedComments/threadedComment2.xml><?xml version="1.0" encoding="utf-8"?>
<ThreadedComments xmlns="http://schemas.microsoft.com/office/spreadsheetml/2018/threadedcomments" xmlns:x="http://schemas.openxmlformats.org/spreadsheetml/2006/main">
  <threadedComment ref="H20" dT="2022-05-13T21:45:23.54" personId="{4C56F39F-21B0-42D4-B3A7-5AA65911BEB8}" id="{A4FD59C1-2187-4B16-9053-4383C7A8A331}">
    <text>Change this value if you would like to calculate a maximum using less than 3% base budget growth.
The default is set to 3% because that is the maximum value and the purpose of the form is to calculate the legal maximum.</text>
  </threadedComment>
  <threadedComment ref="B49" dT="2022-07-13T16:57:21.25" personId="{4C56F39F-21B0-42D4-B3A7-5AA65911BEB8}" id="{6DFD9BE5-835D-41E1-AD7B-BEE19DA72B8C}">
    <text>Once all the above boxes are completed, you can look at the L-2 Worksheet tab to review what the maximum property tax budget would be without using forgone amounts. This information can be used to guide your decision in this box.</text>
  </threadedComment>
  <threadedComment ref="H68" dT="2024-01-29T23:26:45.18" personId="{4C56F39F-21B0-42D4-B3A7-5AA65911BEB8}" id="{BD0E45B3-77FD-40A9-9EF8-2F579CAA2EDB}">
    <text>If forgone amounts have been recovered into the budget, then this figure will not equal the sum of the above percentages because forgone recovery percentages (1% &amp; 3%) are based on the budget after the initial increases have been allowed.</text>
  </threadedComment>
</ThreadedComments>
</file>

<file path=xl/threadedComments/threadedComment3.xml><?xml version="1.0" encoding="utf-8"?>
<ThreadedComments xmlns="http://schemas.microsoft.com/office/spreadsheetml/2018/threadedcomments" xmlns:x="http://schemas.openxmlformats.org/spreadsheetml/2006/main">
  <threadedComment ref="H42" dT="2021-09-09T16:36:47.40" personId="{4C56F39F-21B0-42D4-B3A7-5AA65911BEB8}" id="{690176EA-5F06-4F30-B8A6-206AB8A10730}">
    <text>This amount should be the sum of the 3% base growth, new construction, annexations, and expiring urban renewal growth minus the amount of growth being taken.</text>
  </threadedComment>
  <threadedComment ref="H43" dT="2022-04-04T19:48:53.02" personId="{4C56F39F-21B0-42D4-B3A7-5AA65911BEB8}" id="{A4425859-192B-478C-A2AA-BFB58207FFC6}">
    <text>If there is an amount in the box below, this box should be blank (the box below expands your budget growth this year and this amount reserves excess growth for the future; there should not be excess growth to reserve for the future if extra budget growth is needed via recovering forgone).</text>
  </threadedComment>
</ThreadedComments>
</file>

<file path=xl/threadedComments/threadedComment4.xml><?xml version="1.0" encoding="utf-8"?>
<ThreadedComments xmlns="http://schemas.microsoft.com/office/spreadsheetml/2018/threadedcomments" xmlns:x="http://schemas.openxmlformats.org/spreadsheetml/2006/main">
  <threadedComment ref="C11" dT="2021-09-02T21:10:16.19" personId="{4C56F39F-21B0-42D4-B3A7-5AA65911BEB8}" id="{B35BE7D1-5967-46F7-BA21-1948AD263E39}">
    <text>This is supposed to include Operating Property Value from current year.
In 2022, this also must include the amount of newly exempted personal property (&gt;$100,000) so that the levy rate is not inflated by this exemption and the replacement monies are properly paid.</text>
  </threadedComment>
  <threadedComment ref="E11" dT="2021-09-29T17:27:22.54" personId="{4C56F39F-21B0-42D4-B3A7-5AA65911BEB8}" id="{7ECD08EC-5B00-4401-8244-6968C636105A}">
    <text>Increment Value for RAAs established after 2007</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962A6-9FDB-4A0B-B4D1-F9B10C9951C3}">
  <dimension ref="A1:AI5"/>
  <sheetViews>
    <sheetView workbookViewId="0">
      <pane xSplit="2" ySplit="1" topLeftCell="C2" activePane="bottomRight" state="frozen"/>
      <selection pane="topRight" activeCell="C1" sqref="C1"/>
      <selection pane="bottomLeft" activeCell="A2" sqref="A2"/>
      <selection pane="bottomRight" activeCell="B2" sqref="B2"/>
    </sheetView>
  </sheetViews>
  <sheetFormatPr defaultRowHeight="15.75" x14ac:dyDescent="0.25"/>
  <cols>
    <col min="2" max="2" width="18.875" customWidth="1"/>
    <col min="3" max="3" width="27" customWidth="1"/>
    <col min="4" max="4" width="15.375" bestFit="1" customWidth="1"/>
    <col min="5" max="5" width="17.25" customWidth="1"/>
    <col min="6" max="6" width="8.5" customWidth="1"/>
    <col min="7" max="7" width="14" customWidth="1"/>
    <col min="8" max="8" width="22.875" customWidth="1"/>
    <col min="9" max="9" width="28.5" customWidth="1"/>
    <col min="10" max="10" width="17.125" bestFit="1" customWidth="1"/>
    <col min="11" max="11" width="15" bestFit="1" customWidth="1"/>
    <col min="12" max="12" width="13.75" customWidth="1"/>
    <col min="13" max="13" width="28" bestFit="1" customWidth="1"/>
    <col min="14" max="14" width="11.125" bestFit="1" customWidth="1"/>
    <col min="15" max="15" width="15.625" customWidth="1"/>
    <col min="16" max="16" width="18.875" bestFit="1" customWidth="1"/>
    <col min="17" max="17" width="9.75" customWidth="1"/>
    <col min="18" max="18" width="17.875" bestFit="1" customWidth="1"/>
    <col min="19" max="19" width="9.75" customWidth="1"/>
    <col min="20" max="20" width="23.875" bestFit="1" customWidth="1"/>
    <col min="21" max="21" width="17.625" bestFit="1" customWidth="1"/>
    <col min="22" max="22" width="21.875" customWidth="1"/>
    <col min="23" max="23" width="18.75" bestFit="1" customWidth="1"/>
    <col min="24" max="24" width="23.875" customWidth="1"/>
    <col min="25" max="25" width="18.75" customWidth="1"/>
    <col min="26" max="26" width="18.625" customWidth="1"/>
    <col min="27" max="27" width="16.75" bestFit="1" customWidth="1"/>
    <col min="28" max="28" width="19.25" bestFit="1" customWidth="1"/>
    <col min="29" max="29" width="27.375" customWidth="1"/>
    <col min="30" max="30" width="14.25" bestFit="1" customWidth="1"/>
    <col min="31" max="31" width="19.125" customWidth="1"/>
    <col min="32" max="32" width="17" customWidth="1"/>
    <col min="33" max="33" width="14" customWidth="1"/>
    <col min="34" max="34" width="12.625" bestFit="1" customWidth="1"/>
    <col min="35" max="35" width="17.125" bestFit="1" customWidth="1"/>
  </cols>
  <sheetData>
    <row r="1" spans="1:35" s="247" customFormat="1" x14ac:dyDescent="0.25">
      <c r="A1" s="247" t="s">
        <v>110</v>
      </c>
      <c r="B1" s="247" t="s">
        <v>692</v>
      </c>
      <c r="C1" s="247" t="s">
        <v>1287</v>
      </c>
      <c r="D1" s="247" t="s">
        <v>1291</v>
      </c>
      <c r="E1" s="247" t="s">
        <v>1292</v>
      </c>
      <c r="F1" s="247" t="s">
        <v>1293</v>
      </c>
      <c r="G1" s="247" t="s">
        <v>1294</v>
      </c>
      <c r="H1" s="247" t="s">
        <v>1295</v>
      </c>
      <c r="I1" s="247" t="s">
        <v>1296</v>
      </c>
      <c r="J1" s="247" t="s">
        <v>1315</v>
      </c>
      <c r="K1" s="247" t="s">
        <v>1288</v>
      </c>
      <c r="L1" s="247" t="s">
        <v>1316</v>
      </c>
      <c r="M1" s="247" t="s">
        <v>1297</v>
      </c>
      <c r="N1" s="247" t="s">
        <v>1289</v>
      </c>
      <c r="O1" s="247" t="s">
        <v>1317</v>
      </c>
      <c r="P1" s="247" t="s">
        <v>1298</v>
      </c>
      <c r="Q1" s="247" t="s">
        <v>1299</v>
      </c>
      <c r="R1" s="247" t="s">
        <v>1311</v>
      </c>
      <c r="S1" s="247" t="s">
        <v>1290</v>
      </c>
      <c r="T1" s="247" t="s">
        <v>1300</v>
      </c>
      <c r="U1" s="247" t="s">
        <v>1301</v>
      </c>
      <c r="V1" s="247" t="s">
        <v>1303</v>
      </c>
      <c r="W1" s="247" t="s">
        <v>1302</v>
      </c>
      <c r="X1" s="247" t="s">
        <v>1312</v>
      </c>
      <c r="Y1" s="247" t="s">
        <v>1313</v>
      </c>
      <c r="Z1" s="247" t="s">
        <v>1306</v>
      </c>
      <c r="AA1" s="247" t="s">
        <v>1304</v>
      </c>
      <c r="AB1" s="247" t="s">
        <v>1305</v>
      </c>
      <c r="AC1" s="247" t="s">
        <v>1320</v>
      </c>
      <c r="AD1" s="247" t="s">
        <v>1321</v>
      </c>
      <c r="AE1" s="247" t="s">
        <v>1322</v>
      </c>
      <c r="AF1" s="247" t="s">
        <v>1323</v>
      </c>
      <c r="AG1" s="247" t="s">
        <v>1324</v>
      </c>
      <c r="AH1" s="247" t="s">
        <v>1325</v>
      </c>
      <c r="AI1" s="247" t="s">
        <v>1401</v>
      </c>
    </row>
    <row r="2" spans="1:35" s="150" customFormat="1" x14ac:dyDescent="0.25">
      <c r="A2" s="150">
        <f>'1. Dashboard'!G21</f>
        <v>0</v>
      </c>
      <c r="B2" s="150">
        <f>'1. Dashboard'!G13</f>
        <v>0</v>
      </c>
      <c r="C2" s="150">
        <f>'1. Dashboard'!H21</f>
        <v>0</v>
      </c>
      <c r="D2" s="150" t="str">
        <f>'2. L-2 Worksheet'!F52</f>
        <v xml:space="preserve"> </v>
      </c>
      <c r="E2" s="150">
        <f>'1. Dashboard'!H41</f>
        <v>0</v>
      </c>
      <c r="F2" s="150">
        <f>'1. Dashboard'!H43</f>
        <v>0</v>
      </c>
      <c r="G2" s="150">
        <f>'1. Dashboard'!H45</f>
        <v>0</v>
      </c>
      <c r="H2" s="150">
        <f>'1. Dashboard'!H51</f>
        <v>0</v>
      </c>
      <c r="I2" s="150">
        <f>'1. Dashboard'!H53</f>
        <v>0</v>
      </c>
      <c r="J2" s="150" t="str">
        <f>'2. L-2 Worksheet'!$F$6</f>
        <v/>
      </c>
      <c r="K2" s="150">
        <f>'1. Dashboard'!H25</f>
        <v>0</v>
      </c>
      <c r="L2" s="252" t="str">
        <f>'2. L-2 Worksheet'!D21</f>
        <v/>
      </c>
      <c r="M2" s="150">
        <f>'2. L-2 Worksheet'!F28</f>
        <v>0</v>
      </c>
      <c r="N2" s="150">
        <f>'1. Dashboard'!H30</f>
        <v>0</v>
      </c>
      <c r="O2" s="253" t="str">
        <f>'2. L-2 Worksheet'!D33</f>
        <v/>
      </c>
      <c r="P2" s="150">
        <f>'2. L-2 Worksheet'!F34</f>
        <v>0</v>
      </c>
      <c r="Q2" s="150" t="str">
        <f>IF('1. Dashboard'!G13&lt;&gt;0,IF('2. L-2 Worksheet'!$D$41&lt;'2. L-2 Worksheet'!$D$40,"Yes","No"),"")</f>
        <v/>
      </c>
      <c r="R2" s="150">
        <f>IF(Q2="Yes",'2. L-2 Worksheet'!D40-'2. L-2 Worksheet'!D41,0)</f>
        <v>0</v>
      </c>
      <c r="S2" s="150">
        <f>'1. Dashboard'!H35</f>
        <v>0</v>
      </c>
      <c r="T2" s="150">
        <f>'2. L-2 Worksheet'!F38</f>
        <v>0</v>
      </c>
      <c r="U2" s="150" t="str">
        <f>'2. L-2 Worksheet'!F67</f>
        <v/>
      </c>
      <c r="V2" s="150">
        <f>'3. L-2 Dollar Certification'!H28</f>
        <v>0</v>
      </c>
      <c r="W2" s="150">
        <f>'3. L-2 Dollar Certification'!H39</f>
        <v>0</v>
      </c>
      <c r="X2" s="150">
        <f>'3. L-2 Dollar Certification'!F40</f>
        <v>0</v>
      </c>
      <c r="Y2" s="150">
        <f>'3. L-2 Dollar Certification'!G40</f>
        <v>0</v>
      </c>
      <c r="Z2" s="150">
        <f>'2. L-2 Worksheet'!F58</f>
        <v>0</v>
      </c>
      <c r="AA2" s="150" t="str">
        <f>'3. L-2 Dollar Certification'!H42</f>
        <v/>
      </c>
      <c r="AB2" s="150">
        <f>'3. L-2 Dollar Certification'!H43</f>
        <v>0</v>
      </c>
      <c r="AC2" s="150">
        <f>'4. Levy Rate Calculation'!C13</f>
        <v>0</v>
      </c>
      <c r="AD2" s="150">
        <f>'4. Levy Rate Calculation'!D13</f>
        <v>0</v>
      </c>
      <c r="AE2" s="150">
        <f>'4. Levy Rate Calculation'!E13</f>
        <v>0</v>
      </c>
      <c r="AF2" s="252">
        <f>'4. Levy Rate Calculation'!F40</f>
        <v>0</v>
      </c>
      <c r="AG2" s="252">
        <f>'4. Levy Rate Calculation'!F49</f>
        <v>0</v>
      </c>
      <c r="AH2" s="252">
        <f>'4. Levy Rate Calculation'!F50</f>
        <v>0</v>
      </c>
      <c r="AI2" s="252" t="str">
        <f>'4. Levy Rate Calculation'!J50</f>
        <v/>
      </c>
    </row>
    <row r="3" spans="1:35" s="150" customFormat="1" x14ac:dyDescent="0.25">
      <c r="A3" s="150" t="str">
        <f>'1. Dashboard'!G22</f>
        <v xml:space="preserve"> </v>
      </c>
      <c r="B3" s="150" t="str">
        <f>IF('1. Dashboard'!F16="NO","",$B$2)</f>
        <v/>
      </c>
      <c r="C3" s="150" t="str">
        <f>IF('1. Dashboard'!F16="NO","",'1. Dashboard'!H22)</f>
        <v/>
      </c>
      <c r="D3" s="150" t="str">
        <f>IF('1. Dashboard'!F16="NO","",'2. L-2 Worksheet'!F52)</f>
        <v/>
      </c>
      <c r="E3" s="150" t="str">
        <f>IF('1. Dashboard'!F16="NO","",'1. Dashboard'!H41)</f>
        <v/>
      </c>
      <c r="F3" s="150" t="str">
        <f>IF('1. Dashboard'!F16="NO","",'1. Dashboard'!H43)</f>
        <v/>
      </c>
      <c r="G3" s="150" t="str">
        <f>IF('1. Dashboard'!F16="NO","",'1. Dashboard'!H45)</f>
        <v/>
      </c>
      <c r="H3" s="250" t="str">
        <f>IF('1. Dashboard'!$F16="NO","",H$2)</f>
        <v/>
      </c>
      <c r="I3" s="250" t="str">
        <f>IF('1. Dashboard'!$F16="NO","",I$2)</f>
        <v/>
      </c>
      <c r="J3" s="250" t="str">
        <f>IF('1. Dashboard'!$F16="NO","",J$2)</f>
        <v/>
      </c>
      <c r="K3" s="150" t="str">
        <f>IF('1. Dashboard'!F16="NO","",'1. Dashboard'!H26)</f>
        <v/>
      </c>
      <c r="L3" s="253" t="str">
        <f>IF('1. Dashboard'!$F16="NO","",L$2)</f>
        <v/>
      </c>
      <c r="M3" s="250" t="str">
        <f>IF('1. Dashboard'!$F16="NO","",M$2)</f>
        <v/>
      </c>
      <c r="N3" s="150" t="str">
        <f>IF('1. Dashboard'!F16="NO","",'1. Dashboard'!H31)</f>
        <v/>
      </c>
      <c r="O3" s="253" t="str">
        <f>IF('1. Dashboard'!$F16="NO","",O$2)</f>
        <v/>
      </c>
      <c r="P3" s="250" t="str">
        <f>IF('1. Dashboard'!$F16="NO","",P$2)</f>
        <v/>
      </c>
      <c r="Q3" s="250" t="str">
        <f>IF('1. Dashboard'!$F16="NO","",Q$2)</f>
        <v/>
      </c>
      <c r="R3" s="250" t="str">
        <f>IF('1. Dashboard'!$F16="NO","",R$2)</f>
        <v/>
      </c>
      <c r="S3" s="150" t="str">
        <f>IF('1. Dashboard'!F16="NO","",S2)</f>
        <v/>
      </c>
      <c r="T3" s="250" t="str">
        <f>IF('1. Dashboard'!$F16="NO","",T$2)</f>
        <v/>
      </c>
      <c r="U3" s="250" t="str">
        <f>IF('1. Dashboard'!$F16="NO","",U$2)</f>
        <v/>
      </c>
      <c r="V3" s="250" t="str">
        <f>IF('1. Dashboard'!$F16="NO","",V$2)</f>
        <v/>
      </c>
      <c r="W3" s="250" t="str">
        <f>IF('1. Dashboard'!$F16="NO","",W$2)</f>
        <v/>
      </c>
      <c r="X3" s="250" t="str">
        <f>IF('1. Dashboard'!$F16="NO","",X$2)</f>
        <v/>
      </c>
      <c r="Y3" s="250" t="str">
        <f>IF('1. Dashboard'!$F16="NO","",Y$2)</f>
        <v/>
      </c>
      <c r="Z3" s="250" t="str">
        <f>IF('1. Dashboard'!$F16="NO","",Z$2)</f>
        <v/>
      </c>
      <c r="AA3" s="250" t="str">
        <f>IF('1. Dashboard'!$F16="NO","",AA$2)</f>
        <v/>
      </c>
      <c r="AB3" s="250" t="str">
        <f>IF('1. Dashboard'!$F16="NO","",AB$2)</f>
        <v/>
      </c>
      <c r="AC3" s="250" t="str">
        <f>IF('1. Dashboard'!$F16="NO","",'4. Levy Rate Calculation'!C14)</f>
        <v/>
      </c>
      <c r="AD3" s="250" t="str">
        <f>IF('1. Dashboard'!$F16="NO","",'4. Levy Rate Calculation'!D14)</f>
        <v/>
      </c>
      <c r="AE3" s="250" t="str">
        <f>IF('1. Dashboard'!$F16="NO","",'4. Levy Rate Calculation'!E14)</f>
        <v/>
      </c>
      <c r="AF3" s="252" t="str">
        <f>IF('1. Dashboard'!$F16="NO","",AF$2)</f>
        <v/>
      </c>
      <c r="AG3" s="252" t="str">
        <f>IF('1. Dashboard'!$F16="NO","",AG$2)</f>
        <v/>
      </c>
      <c r="AH3" s="252" t="str">
        <f>IF('1. Dashboard'!$F16="NO","",AH$2)</f>
        <v/>
      </c>
      <c r="AI3" s="252" t="str">
        <f>IF('1. Dashboard'!$F16="NO","",AI$2)</f>
        <v/>
      </c>
    </row>
    <row r="4" spans="1:35" s="150" customFormat="1" x14ac:dyDescent="0.25">
      <c r="A4" s="150" t="str">
        <f>'1. Dashboard'!G23</f>
        <v xml:space="preserve"> </v>
      </c>
      <c r="B4" s="150" t="str">
        <f>IF('1. Dashboard'!F17="NO","",$B$2)</f>
        <v/>
      </c>
      <c r="C4" s="150" t="str">
        <f>IF('1. Dashboard'!F17="NO","",'1. Dashboard'!H23)</f>
        <v/>
      </c>
      <c r="D4" s="150" t="str">
        <f>IF('1. Dashboard'!F17="NO","",'2. L-2 Worksheet'!F52)</f>
        <v/>
      </c>
      <c r="E4" s="150" t="str">
        <f>IF('1. Dashboard'!F17="NO","",'1. Dashboard'!H41)</f>
        <v/>
      </c>
      <c r="F4" s="150" t="str">
        <f>IF('1. Dashboard'!F17="NO","",'1. Dashboard'!H43)</f>
        <v/>
      </c>
      <c r="G4" s="150" t="str">
        <f>IF('1. Dashboard'!F17="NO","",'1. Dashboard'!H45)</f>
        <v/>
      </c>
      <c r="H4" s="250" t="str">
        <f>IF('1. Dashboard'!$F17="NO","",H$2)</f>
        <v/>
      </c>
      <c r="I4" s="250" t="str">
        <f>IF('1. Dashboard'!$F17="NO","",I$2)</f>
        <v/>
      </c>
      <c r="J4" s="250" t="str">
        <f>IF('1. Dashboard'!$F17="NO","",J$2)</f>
        <v/>
      </c>
      <c r="K4" s="150" t="str">
        <f>IF('1. Dashboard'!F17="NO","",'1. Dashboard'!H27)</f>
        <v/>
      </c>
      <c r="L4" s="253" t="str">
        <f>IF('1. Dashboard'!$F17="NO","",L$2)</f>
        <v/>
      </c>
      <c r="M4" s="250" t="str">
        <f>IF('1. Dashboard'!$F17="NO","",M$2)</f>
        <v/>
      </c>
      <c r="N4" s="150" t="str">
        <f>IF('1. Dashboard'!F17="NO","",'1. Dashboard'!H32)</f>
        <v/>
      </c>
      <c r="O4" s="253" t="str">
        <f>IF('1. Dashboard'!$F17="NO","",O$2)</f>
        <v/>
      </c>
      <c r="P4" s="250" t="str">
        <f>IF('1. Dashboard'!$F17="NO","",P$2)</f>
        <v/>
      </c>
      <c r="Q4" s="250" t="str">
        <f>IF('1. Dashboard'!$F17="NO","",Q$2)</f>
        <v/>
      </c>
      <c r="R4" s="250" t="str">
        <f>IF('1. Dashboard'!$F17="NO","",R$2)</f>
        <v/>
      </c>
      <c r="S4" s="150" t="str">
        <f>IF('1. Dashboard'!F17="NO","",S2)</f>
        <v/>
      </c>
      <c r="T4" s="250" t="str">
        <f>IF('1. Dashboard'!$F17="NO","",T$2)</f>
        <v/>
      </c>
      <c r="U4" s="250" t="str">
        <f>IF('1. Dashboard'!$F17="NO","",U$2)</f>
        <v/>
      </c>
      <c r="V4" s="250" t="str">
        <f>IF('1. Dashboard'!$F17="NO","",V$2)</f>
        <v/>
      </c>
      <c r="W4" s="250" t="str">
        <f>IF('1. Dashboard'!$F17="NO","",W$2)</f>
        <v/>
      </c>
      <c r="X4" s="250" t="str">
        <f>IF('1. Dashboard'!$F17="NO","",X$2)</f>
        <v/>
      </c>
      <c r="Y4" s="250" t="str">
        <f>IF('1. Dashboard'!$F17="NO","",Y$2)</f>
        <v/>
      </c>
      <c r="Z4" s="250" t="str">
        <f>IF('1. Dashboard'!$F17="NO","",Z$2)</f>
        <v/>
      </c>
      <c r="AA4" s="250" t="str">
        <f>IF('1. Dashboard'!$F17="NO","",AA$2)</f>
        <v/>
      </c>
      <c r="AB4" s="250" t="str">
        <f>IF('1. Dashboard'!$F17="NO","",AB$2)</f>
        <v/>
      </c>
      <c r="AC4" s="250" t="str">
        <f>IF('1. Dashboard'!$F17="NO","",'4. Levy Rate Calculation'!C15)</f>
        <v/>
      </c>
      <c r="AD4" s="250" t="str">
        <f>IF('1. Dashboard'!$F17="NO","",'4. Levy Rate Calculation'!D15)</f>
        <v/>
      </c>
      <c r="AE4" s="250" t="str">
        <f>IF('1. Dashboard'!$F17="NO","",'4. Levy Rate Calculation'!E15)</f>
        <v/>
      </c>
      <c r="AF4" s="252" t="str">
        <f>IF('1. Dashboard'!$F17="NO","",AF$2)</f>
        <v/>
      </c>
      <c r="AG4" s="252" t="str">
        <f>IF('1. Dashboard'!$F17="NO","",AG$2)</f>
        <v/>
      </c>
      <c r="AH4" s="252" t="str">
        <f>IF('1. Dashboard'!$F17="NO","",AH$2)</f>
        <v/>
      </c>
      <c r="AI4" s="252" t="str">
        <f>IF('1. Dashboard'!$F17="NO","",AI$2)</f>
        <v/>
      </c>
    </row>
    <row r="5" spans="1:35" s="248" customFormat="1" x14ac:dyDescent="0.25">
      <c r="A5" s="248" t="str">
        <f>'1. Dashboard'!G24</f>
        <v xml:space="preserve"> </v>
      </c>
      <c r="B5" s="248" t="str">
        <f>IF('1. Dashboard'!F18="NO","",$B$2)</f>
        <v/>
      </c>
      <c r="C5" s="248" t="str">
        <f>IF('1. Dashboard'!F18="NO","",'1. Dashboard'!H24)</f>
        <v/>
      </c>
      <c r="D5" s="248" t="str">
        <f>IF('1. Dashboard'!F18="NO","",'2. L-2 Worksheet'!F52)</f>
        <v/>
      </c>
      <c r="E5" s="248" t="str">
        <f>IF('1. Dashboard'!F18="NO","",'1. Dashboard'!H41)</f>
        <v/>
      </c>
      <c r="F5" s="248" t="str">
        <f>IF('1. Dashboard'!F18="NO","",'1. Dashboard'!H43)</f>
        <v/>
      </c>
      <c r="G5" s="248" t="str">
        <f>IF('1. Dashboard'!F18="NO","",'1. Dashboard'!H45)</f>
        <v/>
      </c>
      <c r="H5" s="248" t="str">
        <f>IF('1. Dashboard'!$F18="NO","",H$2)</f>
        <v/>
      </c>
      <c r="I5" s="248" t="str">
        <f>IF('1. Dashboard'!$F18="NO","",I$2)</f>
        <v/>
      </c>
      <c r="J5" s="248" t="str">
        <f>IF('1. Dashboard'!$F18="NO","",J$2)</f>
        <v/>
      </c>
      <c r="K5" s="248" t="str">
        <f>IF('1. Dashboard'!F18="NO","",'1. Dashboard'!H28)</f>
        <v/>
      </c>
      <c r="L5" s="254" t="str">
        <f>IF('1. Dashboard'!$F18="NO","",L$2)</f>
        <v/>
      </c>
      <c r="M5" s="248" t="str">
        <f>IF('1. Dashboard'!$F18="NO","",M$2)</f>
        <v/>
      </c>
      <c r="N5" s="248" t="str">
        <f>IF('1. Dashboard'!F18="NO","",'1. Dashboard'!H33)</f>
        <v/>
      </c>
      <c r="O5" s="254" t="str">
        <f>IF('1. Dashboard'!$F18="NO","",O$2)</f>
        <v/>
      </c>
      <c r="P5" s="248" t="str">
        <f>IF('1. Dashboard'!$F18="NO","",P$2)</f>
        <v/>
      </c>
      <c r="Q5" s="248" t="str">
        <f>IF('1. Dashboard'!$F18="NO","",Q$2)</f>
        <v/>
      </c>
      <c r="R5" s="248" t="str">
        <f>IF('1. Dashboard'!$F18="NO","",R$2)</f>
        <v/>
      </c>
      <c r="S5" s="248" t="str">
        <f>IF('1. Dashboard'!F18="NO","",S2)</f>
        <v/>
      </c>
      <c r="T5" s="248" t="str">
        <f>IF('1. Dashboard'!$F18="NO","",T$2)</f>
        <v/>
      </c>
      <c r="U5" s="248" t="str">
        <f>IF('1. Dashboard'!$F18="NO","",U$2)</f>
        <v/>
      </c>
      <c r="V5" s="248" t="str">
        <f>IF('1. Dashboard'!$F18="NO","",V$2)</f>
        <v/>
      </c>
      <c r="W5" s="248" t="str">
        <f>IF('1. Dashboard'!$F18="NO","",W$2)</f>
        <v/>
      </c>
      <c r="X5" s="248" t="str">
        <f>IF('1. Dashboard'!$F18="NO","",X$2)</f>
        <v/>
      </c>
      <c r="Y5" s="248" t="str">
        <f>IF('1. Dashboard'!$F18="NO","",Y$2)</f>
        <v/>
      </c>
      <c r="Z5" s="248" t="str">
        <f>IF('1. Dashboard'!$F18="NO","",Z$2)</f>
        <v/>
      </c>
      <c r="AA5" s="248" t="str">
        <f>IF('1. Dashboard'!$F18="NO","",AA$2)</f>
        <v/>
      </c>
      <c r="AB5" s="248" t="str">
        <f>IF('1. Dashboard'!$F18="NO","",AB$2)</f>
        <v/>
      </c>
      <c r="AC5" s="248" t="str">
        <f>IF('1. Dashboard'!$F18="NO","",'4. Levy Rate Calculation'!C16)</f>
        <v/>
      </c>
      <c r="AD5" s="248" t="str">
        <f>IF('1. Dashboard'!$F18="NO","",'4. Levy Rate Calculation'!D16)</f>
        <v/>
      </c>
      <c r="AE5" s="248" t="str">
        <f>IF('1. Dashboard'!$F18="NO","",'4. Levy Rate Calculation'!E16)</f>
        <v/>
      </c>
      <c r="AF5" s="254" t="str">
        <f>IF('1. Dashboard'!$F18="NO","",AF$2)</f>
        <v/>
      </c>
      <c r="AG5" s="254" t="str">
        <f>IF('1. Dashboard'!$F18="NO","",AG$2)</f>
        <v/>
      </c>
      <c r="AH5" s="254" t="str">
        <f>IF('1. Dashboard'!$F18="NO","",AH$2)</f>
        <v/>
      </c>
      <c r="AI5" s="254" t="str">
        <f>IF('1. Dashboard'!$F18="NO","",AI$2)</f>
        <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89A29-5E5E-43AB-BCF2-5F746508E22C}">
  <sheetPr codeName="Sheet6"/>
  <dimension ref="A1:S1139"/>
  <sheetViews>
    <sheetView zoomScale="80" zoomScaleNormal="80" workbookViewId="0">
      <pane xSplit="7" ySplit="1" topLeftCell="N209" activePane="bottomRight" state="frozen"/>
      <selection pane="topRight" activeCell="D1" sqref="D1"/>
      <selection pane="bottomLeft" activeCell="A2" sqref="A2"/>
      <selection pane="bottomRight" activeCell="A335" sqref="A335:XFD336"/>
    </sheetView>
  </sheetViews>
  <sheetFormatPr defaultRowHeight="15.75" x14ac:dyDescent="0.25"/>
  <cols>
    <col min="1" max="1" width="10.625" customWidth="1"/>
    <col min="2" max="2" width="6.625" customWidth="1"/>
    <col min="3" max="3" width="12.5" bestFit="1" customWidth="1"/>
    <col min="4" max="4" width="9.875" customWidth="1"/>
    <col min="5" max="5" width="21.875" bestFit="1" customWidth="1"/>
    <col min="6" max="6" width="10.25" customWidth="1"/>
    <col min="7" max="7" width="32.25" bestFit="1" customWidth="1"/>
    <col min="8" max="8" width="15.75" style="150" customWidth="1"/>
    <col min="9" max="9" width="24.25" customWidth="1"/>
    <col min="10" max="10" width="12.875" customWidth="1"/>
    <col min="11" max="11" width="20" customWidth="1"/>
    <col min="12" max="14" width="23.125" customWidth="1"/>
    <col min="15" max="15" width="33.125" customWidth="1"/>
    <col min="16" max="16" width="32.375" customWidth="1"/>
    <col min="17" max="17" width="32.625" customWidth="1"/>
    <col min="18" max="18" width="22.25" style="150" customWidth="1"/>
  </cols>
  <sheetData>
    <row r="1" spans="1:18" x14ac:dyDescent="0.25">
      <c r="A1" t="s">
        <v>1371</v>
      </c>
      <c r="B1" t="s">
        <v>1283</v>
      </c>
      <c r="C1" s="150" t="s">
        <v>1200</v>
      </c>
      <c r="D1" s="150" t="s">
        <v>1284</v>
      </c>
      <c r="E1" s="150" t="s">
        <v>1201</v>
      </c>
      <c r="F1" s="150" t="s">
        <v>1285</v>
      </c>
      <c r="G1" s="150" t="s">
        <v>692</v>
      </c>
      <c r="H1" s="150" t="s">
        <v>1380</v>
      </c>
      <c r="I1" s="150" t="s">
        <v>1410</v>
      </c>
      <c r="J1" s="150" t="s">
        <v>1202</v>
      </c>
      <c r="K1" s="150" t="s">
        <v>1206</v>
      </c>
      <c r="L1" s="150" t="s">
        <v>1273</v>
      </c>
      <c r="M1" s="150" t="s">
        <v>1274</v>
      </c>
      <c r="N1" s="150" t="s">
        <v>1403</v>
      </c>
      <c r="O1" s="150" t="s">
        <v>1378</v>
      </c>
      <c r="P1" s="150" t="s">
        <v>1379</v>
      </c>
      <c r="Q1" s="150" t="s">
        <v>1377</v>
      </c>
      <c r="R1" s="150" t="s">
        <v>1398</v>
      </c>
    </row>
    <row r="2" spans="1:18" x14ac:dyDescent="0.25">
      <c r="A2" t="str">
        <f t="shared" ref="A2:A67" si="0">B2&amp;"-"&amp;D2&amp;"-"&amp;F2</f>
        <v>6-7-1</v>
      </c>
      <c r="B2">
        <v>6</v>
      </c>
      <c r="C2" s="150" t="s">
        <v>1159</v>
      </c>
      <c r="D2" s="150">
        <v>7</v>
      </c>
      <c r="E2" s="150" t="s">
        <v>681</v>
      </c>
      <c r="F2" s="150">
        <v>1</v>
      </c>
      <c r="G2" s="150" t="s">
        <v>224</v>
      </c>
      <c r="H2" s="150">
        <v>0</v>
      </c>
      <c r="I2" s="150">
        <v>15022271</v>
      </c>
      <c r="J2" s="150" t="s">
        <v>1203</v>
      </c>
      <c r="K2" s="150">
        <v>2804</v>
      </c>
      <c r="L2" s="150">
        <v>338</v>
      </c>
      <c r="M2" s="150">
        <v>198.23000000000002</v>
      </c>
      <c r="N2" s="150">
        <v>0</v>
      </c>
      <c r="O2" s="150">
        <v>44340</v>
      </c>
      <c r="P2" s="150">
        <v>45777</v>
      </c>
      <c r="Q2" s="150">
        <v>47383.23</v>
      </c>
      <c r="R2" s="150">
        <v>47383.23</v>
      </c>
    </row>
    <row r="3" spans="1:18" x14ac:dyDescent="0.25">
      <c r="A3" t="str">
        <f t="shared" si="0"/>
        <v>6-14-61</v>
      </c>
      <c r="B3">
        <v>6</v>
      </c>
      <c r="C3" s="150" t="s">
        <v>1159</v>
      </c>
      <c r="D3" s="150">
        <v>14</v>
      </c>
      <c r="E3" s="150" t="s">
        <v>665</v>
      </c>
      <c r="F3" s="150">
        <v>61</v>
      </c>
      <c r="G3" s="150" t="s">
        <v>235</v>
      </c>
      <c r="H3" s="150">
        <v>43442</v>
      </c>
      <c r="I3" s="150">
        <v>25861935</v>
      </c>
      <c r="J3" s="150" t="s">
        <v>1203</v>
      </c>
      <c r="K3" s="150">
        <v>13177</v>
      </c>
      <c r="L3" s="150">
        <v>1737</v>
      </c>
      <c r="M3" s="150">
        <v>837.02</v>
      </c>
      <c r="N3" s="150">
        <v>0</v>
      </c>
      <c r="O3" s="150">
        <v>166713</v>
      </c>
      <c r="P3" s="150">
        <v>175756</v>
      </c>
      <c r="Q3" s="150">
        <v>182021.02</v>
      </c>
      <c r="R3" s="150">
        <v>182021.02</v>
      </c>
    </row>
    <row r="4" spans="1:18" x14ac:dyDescent="0.25">
      <c r="A4" t="str">
        <f t="shared" si="0"/>
        <v>6-4-20</v>
      </c>
      <c r="B4">
        <v>6</v>
      </c>
      <c r="C4" s="150" t="s">
        <v>1159</v>
      </c>
      <c r="D4" s="150">
        <v>4</v>
      </c>
      <c r="E4" s="150" t="s">
        <v>146</v>
      </c>
      <c r="F4" s="150">
        <v>20</v>
      </c>
      <c r="G4" s="150" t="s">
        <v>773</v>
      </c>
      <c r="H4" s="150">
        <v>0</v>
      </c>
      <c r="I4" s="150">
        <v>25861935</v>
      </c>
      <c r="J4" s="150" t="s">
        <v>1203</v>
      </c>
      <c r="K4" s="150">
        <v>41646</v>
      </c>
      <c r="L4" s="150">
        <v>19347</v>
      </c>
      <c r="M4" s="150">
        <v>7989.3700000000008</v>
      </c>
      <c r="N4" s="150">
        <v>0</v>
      </c>
      <c r="O4" s="150">
        <v>60993</v>
      </c>
      <c r="P4" s="150">
        <v>60993</v>
      </c>
      <c r="Q4" s="150">
        <v>63167</v>
      </c>
      <c r="R4" s="150">
        <v>63167</v>
      </c>
    </row>
    <row r="5" spans="1:18" x14ac:dyDescent="0.25">
      <c r="A5" t="str">
        <f t="shared" si="0"/>
        <v>6-9-2</v>
      </c>
      <c r="B5">
        <v>6</v>
      </c>
      <c r="C5" s="150" t="s">
        <v>1159</v>
      </c>
      <c r="D5" s="150">
        <v>9</v>
      </c>
      <c r="E5" s="150" t="s">
        <v>683</v>
      </c>
      <c r="F5" s="150">
        <v>2</v>
      </c>
      <c r="G5" s="150" t="s">
        <v>779</v>
      </c>
      <c r="H5" s="150">
        <v>9586</v>
      </c>
      <c r="I5" s="150">
        <v>0</v>
      </c>
      <c r="J5" s="150" t="s">
        <v>1203</v>
      </c>
      <c r="K5" s="150">
        <v>6747</v>
      </c>
      <c r="L5" s="150">
        <v>747</v>
      </c>
      <c r="M5" s="150">
        <v>303.83999999999997</v>
      </c>
      <c r="N5" s="150">
        <v>0</v>
      </c>
      <c r="O5" s="150">
        <v>93242</v>
      </c>
      <c r="P5" s="150">
        <v>93473</v>
      </c>
      <c r="Q5" s="150">
        <v>96863.84</v>
      </c>
      <c r="R5" s="150">
        <v>96863.84</v>
      </c>
    </row>
    <row r="6" spans="1:18" x14ac:dyDescent="0.25">
      <c r="A6" t="str">
        <f t="shared" si="0"/>
        <v>16-9-192</v>
      </c>
      <c r="B6">
        <v>16</v>
      </c>
      <c r="C6" s="150" t="s">
        <v>1168</v>
      </c>
      <c r="D6" s="150">
        <v>9</v>
      </c>
      <c r="E6" s="150" t="s">
        <v>683</v>
      </c>
      <c r="F6" s="150">
        <v>192</v>
      </c>
      <c r="G6" s="150" t="s">
        <v>882</v>
      </c>
      <c r="H6" s="150">
        <v>0</v>
      </c>
      <c r="I6" s="150">
        <v>0</v>
      </c>
      <c r="J6" s="150" t="s">
        <v>1203</v>
      </c>
      <c r="K6" s="150">
        <v>0</v>
      </c>
      <c r="L6" s="150">
        <v>0</v>
      </c>
      <c r="M6" s="150">
        <v>0</v>
      </c>
      <c r="N6" s="150">
        <v>0</v>
      </c>
      <c r="O6" s="150">
        <v>12500</v>
      </c>
      <c r="P6" s="150">
        <v>12969</v>
      </c>
      <c r="Q6" s="150">
        <v>13450</v>
      </c>
      <c r="R6" s="150">
        <v>13450</v>
      </c>
    </row>
    <row r="7" spans="1:18" x14ac:dyDescent="0.25">
      <c r="A7" t="str">
        <f t="shared" si="0"/>
        <v>1-2-1</v>
      </c>
      <c r="B7">
        <v>1</v>
      </c>
      <c r="C7" s="150" t="s">
        <v>1155</v>
      </c>
      <c r="D7" s="150">
        <v>2</v>
      </c>
      <c r="E7" s="150" t="s">
        <v>110</v>
      </c>
      <c r="F7" s="150">
        <v>1</v>
      </c>
      <c r="G7" s="150" t="s">
        <v>165</v>
      </c>
      <c r="H7" s="150">
        <v>26428681</v>
      </c>
      <c r="I7" s="150">
        <v>912021734</v>
      </c>
      <c r="J7" s="150" t="s">
        <v>1203</v>
      </c>
      <c r="K7" s="150">
        <v>37976</v>
      </c>
      <c r="L7" s="150">
        <v>710933</v>
      </c>
      <c r="M7" s="150">
        <v>165768.06999999998</v>
      </c>
      <c r="N7" s="150">
        <v>65343</v>
      </c>
      <c r="O7" s="150">
        <v>124204887</v>
      </c>
      <c r="P7" s="150">
        <v>149158899</v>
      </c>
      <c r="Q7" s="150">
        <v>155746202.06999999</v>
      </c>
      <c r="R7" s="150">
        <v>155746202.06999999</v>
      </c>
    </row>
    <row r="8" spans="1:18" x14ac:dyDescent="0.25">
      <c r="A8" t="str">
        <f t="shared" si="0"/>
        <v>1-5-1</v>
      </c>
      <c r="B8">
        <v>1</v>
      </c>
      <c r="C8" s="150" t="s">
        <v>1155</v>
      </c>
      <c r="D8" s="150">
        <v>5</v>
      </c>
      <c r="E8" s="150" t="s">
        <v>286</v>
      </c>
      <c r="F8" s="150">
        <v>1</v>
      </c>
      <c r="G8" s="150" t="s">
        <v>167</v>
      </c>
      <c r="H8" s="150">
        <v>94060</v>
      </c>
      <c r="I8" s="150">
        <v>912021734</v>
      </c>
      <c r="J8" s="150" t="s">
        <v>1203</v>
      </c>
      <c r="K8" s="150">
        <v>1572</v>
      </c>
      <c r="L8" s="150">
        <v>37611</v>
      </c>
      <c r="M8" s="150">
        <v>8925.43</v>
      </c>
      <c r="N8" s="150">
        <v>3737</v>
      </c>
      <c r="O8" s="150">
        <v>7595975</v>
      </c>
      <c r="P8" s="150">
        <v>8029936</v>
      </c>
      <c r="Q8" s="150">
        <v>8440309.4299999997</v>
      </c>
      <c r="R8" s="150">
        <v>8440309.4299999997</v>
      </c>
    </row>
    <row r="9" spans="1:18" x14ac:dyDescent="0.25">
      <c r="A9" t="str">
        <f t="shared" si="0"/>
        <v>1-14-51</v>
      </c>
      <c r="B9">
        <v>1</v>
      </c>
      <c r="C9" s="150" t="s">
        <v>1155</v>
      </c>
      <c r="D9" s="150">
        <v>14</v>
      </c>
      <c r="E9" s="150" t="s">
        <v>665</v>
      </c>
      <c r="F9" s="150">
        <v>51</v>
      </c>
      <c r="G9" s="150" t="s">
        <v>175</v>
      </c>
      <c r="H9" s="150">
        <v>650153</v>
      </c>
      <c r="I9" s="150">
        <v>242058117</v>
      </c>
      <c r="J9" s="150" t="s">
        <v>1203</v>
      </c>
      <c r="K9" s="150">
        <v>2246</v>
      </c>
      <c r="L9" s="150">
        <v>5564</v>
      </c>
      <c r="M9" s="150">
        <v>1208.8600000000001</v>
      </c>
      <c r="N9" s="150">
        <v>4526</v>
      </c>
      <c r="O9" s="150">
        <v>2893810</v>
      </c>
      <c r="P9" s="150">
        <v>3104314</v>
      </c>
      <c r="Q9" s="150">
        <v>3306082.86</v>
      </c>
      <c r="R9" s="150">
        <v>3306082.86</v>
      </c>
    </row>
    <row r="10" spans="1:18" x14ac:dyDescent="0.25">
      <c r="A10" t="str">
        <f t="shared" si="0"/>
        <v>1-8-6</v>
      </c>
      <c r="B10">
        <v>1</v>
      </c>
      <c r="C10" s="150" t="s">
        <v>1155</v>
      </c>
      <c r="D10" s="150">
        <v>8</v>
      </c>
      <c r="E10" s="150" t="s">
        <v>682</v>
      </c>
      <c r="F10" s="150">
        <v>6</v>
      </c>
      <c r="G10" s="150" t="s">
        <v>704</v>
      </c>
      <c r="H10" s="150">
        <v>155443</v>
      </c>
      <c r="I10" s="150">
        <v>320077398</v>
      </c>
      <c r="J10" s="150" t="s">
        <v>1203</v>
      </c>
      <c r="K10" s="150">
        <v>1278</v>
      </c>
      <c r="L10" s="150">
        <v>2308</v>
      </c>
      <c r="M10" s="150">
        <v>411.28999999999996</v>
      </c>
      <c r="N10" s="150">
        <v>2449</v>
      </c>
      <c r="O10" s="150">
        <v>710510</v>
      </c>
      <c r="P10" s="150">
        <v>746828</v>
      </c>
      <c r="Q10" s="150">
        <v>784426.29</v>
      </c>
      <c r="R10" s="150">
        <v>784426.29</v>
      </c>
    </row>
    <row r="11" spans="1:18" x14ac:dyDescent="0.25">
      <c r="A11" t="str">
        <f t="shared" si="0"/>
        <v>1-11-69</v>
      </c>
      <c r="B11">
        <v>1</v>
      </c>
      <c r="C11" s="150" t="s">
        <v>1155</v>
      </c>
      <c r="D11" s="150">
        <v>11</v>
      </c>
      <c r="E11" s="150" t="s">
        <v>1204</v>
      </c>
      <c r="F11" s="150">
        <v>69</v>
      </c>
      <c r="G11" s="150" t="s">
        <v>710</v>
      </c>
      <c r="H11" s="150">
        <v>12448323</v>
      </c>
      <c r="I11" s="150">
        <v>912021734</v>
      </c>
      <c r="J11" s="150" t="s">
        <v>1203</v>
      </c>
      <c r="K11" s="150">
        <v>13554</v>
      </c>
      <c r="L11" s="150">
        <v>265060</v>
      </c>
      <c r="M11" s="150">
        <v>51758.350000000006</v>
      </c>
      <c r="N11" s="150">
        <v>22366</v>
      </c>
      <c r="O11" s="150">
        <v>45503549</v>
      </c>
      <c r="P11" s="150">
        <v>46617328</v>
      </c>
      <c r="Q11" s="150">
        <v>47535007.350000001</v>
      </c>
      <c r="R11" s="150">
        <v>47535007.350000001</v>
      </c>
    </row>
    <row r="12" spans="1:18" x14ac:dyDescent="0.25">
      <c r="A12" t="str">
        <f t="shared" si="0"/>
        <v>2-2-2</v>
      </c>
      <c r="B12">
        <v>2</v>
      </c>
      <c r="C12" s="150" t="s">
        <v>1156</v>
      </c>
      <c r="D12" s="150">
        <v>2</v>
      </c>
      <c r="E12" s="150" t="s">
        <v>110</v>
      </c>
      <c r="F12" s="150">
        <v>2</v>
      </c>
      <c r="G12" s="150" t="s">
        <v>179</v>
      </c>
      <c r="H12" s="150">
        <v>687281</v>
      </c>
      <c r="I12" s="150">
        <v>80205597</v>
      </c>
      <c r="J12" s="150" t="s">
        <v>1203</v>
      </c>
      <c r="K12" s="150">
        <v>23520</v>
      </c>
      <c r="L12" s="150">
        <v>32828</v>
      </c>
      <c r="M12" s="150">
        <v>3637.62</v>
      </c>
      <c r="N12" s="150">
        <v>0</v>
      </c>
      <c r="O12" s="150">
        <v>2606714</v>
      </c>
      <c r="P12" s="150">
        <v>2757296</v>
      </c>
      <c r="Q12" s="150">
        <v>2866469.62</v>
      </c>
      <c r="R12" s="150">
        <v>2866469.62</v>
      </c>
    </row>
    <row r="13" spans="1:18" x14ac:dyDescent="0.25">
      <c r="A13" t="str">
        <f t="shared" si="0"/>
        <v>16-7-2</v>
      </c>
      <c r="B13">
        <v>16</v>
      </c>
      <c r="C13" s="150" t="s">
        <v>1168</v>
      </c>
      <c r="D13" s="150">
        <v>7</v>
      </c>
      <c r="E13" s="150" t="s">
        <v>681</v>
      </c>
      <c r="F13" s="150">
        <v>2</v>
      </c>
      <c r="G13" s="150" t="s">
        <v>359</v>
      </c>
      <c r="H13" s="150">
        <v>0</v>
      </c>
      <c r="I13" s="150">
        <v>747358</v>
      </c>
      <c r="J13" s="150" t="s">
        <v>1203</v>
      </c>
      <c r="K13" s="150">
        <v>109</v>
      </c>
      <c r="L13" s="150">
        <v>78</v>
      </c>
      <c r="M13" s="150">
        <v>4.37</v>
      </c>
      <c r="N13" s="150">
        <v>0</v>
      </c>
      <c r="O13" s="150">
        <v>7443</v>
      </c>
      <c r="P13" s="150">
        <v>7751</v>
      </c>
      <c r="Q13" s="150">
        <v>7755.37</v>
      </c>
      <c r="R13" s="150">
        <v>7755.37</v>
      </c>
    </row>
    <row r="14" spans="1:18" x14ac:dyDescent="0.25">
      <c r="A14" t="str">
        <f t="shared" si="0"/>
        <v>16-9-1</v>
      </c>
      <c r="B14">
        <v>16</v>
      </c>
      <c r="C14" s="150" t="s">
        <v>1168</v>
      </c>
      <c r="D14" s="150">
        <v>9</v>
      </c>
      <c r="E14" s="150" t="s">
        <v>683</v>
      </c>
      <c r="F14" s="150">
        <v>1</v>
      </c>
      <c r="G14" s="150" t="s">
        <v>877</v>
      </c>
      <c r="H14" s="150">
        <v>0</v>
      </c>
      <c r="I14" s="150">
        <v>0</v>
      </c>
      <c r="J14" s="150" t="s">
        <v>1203</v>
      </c>
      <c r="K14" s="150">
        <v>419</v>
      </c>
      <c r="L14" s="150">
        <v>264</v>
      </c>
      <c r="M14" s="150">
        <v>17.79</v>
      </c>
      <c r="N14" s="150">
        <v>0</v>
      </c>
      <c r="O14" s="150">
        <v>27648</v>
      </c>
      <c r="P14" s="150">
        <v>28797</v>
      </c>
      <c r="Q14" s="150">
        <v>30255.79</v>
      </c>
      <c r="R14" s="150">
        <v>30255.79</v>
      </c>
    </row>
    <row r="15" spans="1:18" x14ac:dyDescent="0.25">
      <c r="A15" t="str">
        <f t="shared" si="0"/>
        <v>16-11-1</v>
      </c>
      <c r="B15">
        <v>16</v>
      </c>
      <c r="C15" s="150" t="s">
        <v>1168</v>
      </c>
      <c r="D15" s="150">
        <v>11</v>
      </c>
      <c r="E15" s="150" t="s">
        <v>1204</v>
      </c>
      <c r="F15" s="150">
        <v>1</v>
      </c>
      <c r="G15" s="150" t="s">
        <v>883</v>
      </c>
      <c r="H15" s="150">
        <v>14</v>
      </c>
      <c r="I15" s="150">
        <v>747358</v>
      </c>
      <c r="J15" s="150" t="s">
        <v>1203</v>
      </c>
      <c r="K15" s="150">
        <v>0</v>
      </c>
      <c r="L15" s="150">
        <v>67</v>
      </c>
      <c r="M15" s="150">
        <v>4.9800000000000004</v>
      </c>
      <c r="N15" s="150">
        <v>0</v>
      </c>
      <c r="O15" s="150">
        <v>8464</v>
      </c>
      <c r="P15" s="150">
        <v>8716</v>
      </c>
      <c r="Q15" s="150">
        <v>8972.98</v>
      </c>
      <c r="R15" s="150">
        <v>8972.98</v>
      </c>
    </row>
    <row r="16" spans="1:18" x14ac:dyDescent="0.25">
      <c r="A16" t="str">
        <f t="shared" si="0"/>
        <v>16-17-19</v>
      </c>
      <c r="B16">
        <v>16</v>
      </c>
      <c r="C16" s="150" t="s">
        <v>1168</v>
      </c>
      <c r="D16" s="150">
        <v>17</v>
      </c>
      <c r="E16" s="150" t="s">
        <v>688</v>
      </c>
      <c r="F16" s="150">
        <v>19</v>
      </c>
      <c r="G16" s="150" t="s">
        <v>366</v>
      </c>
      <c r="H16" s="150">
        <v>0</v>
      </c>
      <c r="I16" s="150">
        <v>874970</v>
      </c>
      <c r="J16" s="150" t="s">
        <v>1203</v>
      </c>
      <c r="K16" s="150">
        <v>302</v>
      </c>
      <c r="L16" s="150">
        <v>9</v>
      </c>
      <c r="M16" s="150">
        <v>0</v>
      </c>
      <c r="N16" s="150">
        <v>0</v>
      </c>
      <c r="O16" s="150">
        <v>3711</v>
      </c>
      <c r="P16" s="150">
        <v>3854</v>
      </c>
      <c r="Q16" s="150">
        <v>4133</v>
      </c>
      <c r="R16" s="150">
        <v>4133</v>
      </c>
    </row>
    <row r="17" spans="1:18" x14ac:dyDescent="0.25">
      <c r="A17" t="str">
        <f t="shared" si="0"/>
        <v>39-9-3</v>
      </c>
      <c r="B17">
        <v>39</v>
      </c>
      <c r="C17" s="150" t="s">
        <v>164</v>
      </c>
      <c r="D17" s="150">
        <v>9</v>
      </c>
      <c r="E17" s="150" t="s">
        <v>683</v>
      </c>
      <c r="F17" s="150">
        <v>3</v>
      </c>
      <c r="G17" s="150" t="s">
        <v>1102</v>
      </c>
      <c r="H17" s="150">
        <v>0</v>
      </c>
      <c r="I17" s="150">
        <v>0</v>
      </c>
      <c r="J17" s="150" t="s">
        <v>1203</v>
      </c>
      <c r="K17" s="150">
        <v>4244</v>
      </c>
      <c r="L17" s="150">
        <v>427</v>
      </c>
      <c r="M17" s="150">
        <v>158.83000000000001</v>
      </c>
      <c r="N17" s="150">
        <v>2410.2151689740567</v>
      </c>
      <c r="O17" s="150">
        <v>67542</v>
      </c>
      <c r="P17" s="150">
        <v>69671</v>
      </c>
      <c r="Q17" s="150">
        <v>72153.83</v>
      </c>
      <c r="R17" s="150">
        <v>72153.83</v>
      </c>
    </row>
    <row r="18" spans="1:18" x14ac:dyDescent="0.25">
      <c r="A18" t="str">
        <f t="shared" si="0"/>
        <v>39-14-44</v>
      </c>
      <c r="B18">
        <v>39</v>
      </c>
      <c r="C18" s="150" t="s">
        <v>164</v>
      </c>
      <c r="D18" s="150">
        <v>14</v>
      </c>
      <c r="E18" s="150" t="s">
        <v>665</v>
      </c>
      <c r="F18" s="150">
        <v>44</v>
      </c>
      <c r="G18" s="150" t="s">
        <v>622</v>
      </c>
      <c r="H18" s="150">
        <v>0</v>
      </c>
      <c r="I18" s="150">
        <v>212995015</v>
      </c>
      <c r="J18" s="150" t="s">
        <v>1203</v>
      </c>
      <c r="K18" s="150">
        <v>8694</v>
      </c>
      <c r="L18" s="150">
        <v>5420</v>
      </c>
      <c r="M18" s="150">
        <v>2826.73</v>
      </c>
      <c r="N18" s="150">
        <v>6472.4487688374102</v>
      </c>
      <c r="O18" s="150">
        <v>424884</v>
      </c>
      <c r="P18" s="150">
        <v>438659</v>
      </c>
      <c r="Q18" s="150">
        <v>454664.73</v>
      </c>
      <c r="R18" s="150">
        <v>454664.73</v>
      </c>
    </row>
    <row r="19" spans="1:18" x14ac:dyDescent="0.25">
      <c r="A19" t="str">
        <f t="shared" si="0"/>
        <v>16-4-155</v>
      </c>
      <c r="B19">
        <v>16</v>
      </c>
      <c r="C19" s="150" t="s">
        <v>1168</v>
      </c>
      <c r="D19" s="150">
        <v>4</v>
      </c>
      <c r="E19" s="150" t="s">
        <v>146</v>
      </c>
      <c r="F19" s="150">
        <v>155</v>
      </c>
      <c r="G19" s="150" t="s">
        <v>873</v>
      </c>
      <c r="H19" s="150">
        <v>0</v>
      </c>
      <c r="I19" s="150">
        <v>3108926</v>
      </c>
      <c r="J19" s="150">
        <v>1</v>
      </c>
      <c r="K19" s="150">
        <v>74106</v>
      </c>
      <c r="L19" s="150">
        <v>50350</v>
      </c>
      <c r="M19" s="150">
        <v>20779.739999999998</v>
      </c>
      <c r="N19" s="150">
        <v>46347.054128681186</v>
      </c>
      <c r="O19" s="150">
        <v>48518</v>
      </c>
      <c r="P19" s="150">
        <v>48518</v>
      </c>
      <c r="Q19" s="150">
        <v>87788</v>
      </c>
      <c r="R19" s="150">
        <v>87788</v>
      </c>
    </row>
    <row r="20" spans="1:18" x14ac:dyDescent="0.25">
      <c r="A20" t="str">
        <f t="shared" si="0"/>
        <v>39-4-155</v>
      </c>
      <c r="B20">
        <v>39</v>
      </c>
      <c r="C20" s="150" t="s">
        <v>164</v>
      </c>
      <c r="D20" s="150">
        <v>4</v>
      </c>
      <c r="E20" s="150" t="s">
        <v>146</v>
      </c>
      <c r="F20" s="150">
        <v>155</v>
      </c>
      <c r="G20" s="150" t="s">
        <v>873</v>
      </c>
      <c r="H20" s="150">
        <v>0</v>
      </c>
      <c r="I20" s="150">
        <v>212995015</v>
      </c>
      <c r="J20" s="150">
        <v>1</v>
      </c>
      <c r="K20" s="150">
        <v>74106</v>
      </c>
      <c r="L20" s="150">
        <v>50350</v>
      </c>
      <c r="M20" s="150">
        <v>20779.739999999998</v>
      </c>
      <c r="N20" s="150">
        <v>46347.054128681186</v>
      </c>
      <c r="O20" s="150">
        <v>48518</v>
      </c>
      <c r="P20" s="150">
        <v>48518</v>
      </c>
      <c r="Q20" s="150">
        <v>87788</v>
      </c>
      <c r="R20" s="150">
        <v>87788</v>
      </c>
    </row>
    <row r="21" spans="1:18" x14ac:dyDescent="0.25">
      <c r="A21" t="str">
        <f t="shared" si="0"/>
        <v>10-7-3</v>
      </c>
      <c r="B21">
        <v>10</v>
      </c>
      <c r="C21" s="150" t="s">
        <v>1162</v>
      </c>
      <c r="D21" s="150">
        <v>7</v>
      </c>
      <c r="E21" s="150" t="s">
        <v>681</v>
      </c>
      <c r="F21" s="150">
        <v>3</v>
      </c>
      <c r="G21" s="150" t="s">
        <v>287</v>
      </c>
      <c r="H21" s="150">
        <v>0</v>
      </c>
      <c r="I21" s="150">
        <v>16869183</v>
      </c>
      <c r="J21" s="150" t="s">
        <v>1203</v>
      </c>
      <c r="K21" s="150">
        <v>64</v>
      </c>
      <c r="L21" s="150">
        <v>1501</v>
      </c>
      <c r="M21" s="150">
        <v>465.78</v>
      </c>
      <c r="N21" s="150">
        <v>0</v>
      </c>
      <c r="O21" s="150">
        <v>142069</v>
      </c>
      <c r="P21" s="150">
        <v>148776</v>
      </c>
      <c r="Q21" s="150">
        <v>157463.78</v>
      </c>
      <c r="R21" s="150">
        <v>157463.78</v>
      </c>
    </row>
    <row r="22" spans="1:18" x14ac:dyDescent="0.25">
      <c r="A22" t="str">
        <f t="shared" si="0"/>
        <v>39-4-158</v>
      </c>
      <c r="B22">
        <v>39</v>
      </c>
      <c r="C22" s="150" t="s">
        <v>164</v>
      </c>
      <c r="D22" s="150">
        <v>4</v>
      </c>
      <c r="E22" s="150" t="s">
        <v>146</v>
      </c>
      <c r="F22" s="150">
        <v>158</v>
      </c>
      <c r="G22" s="150" t="s">
        <v>1099</v>
      </c>
      <c r="H22" s="150">
        <v>0</v>
      </c>
      <c r="I22" s="150">
        <v>9111651</v>
      </c>
      <c r="J22" s="150" t="s">
        <v>1203</v>
      </c>
      <c r="K22" s="150">
        <v>2770</v>
      </c>
      <c r="L22" s="150">
        <v>74</v>
      </c>
      <c r="M22" s="150">
        <v>30.909999999999997</v>
      </c>
      <c r="N22" s="150">
        <v>0</v>
      </c>
      <c r="O22" s="150">
        <v>562</v>
      </c>
      <c r="P22" s="150">
        <v>587</v>
      </c>
      <c r="Q22" s="150">
        <v>605</v>
      </c>
      <c r="R22" s="150">
        <v>605</v>
      </c>
    </row>
    <row r="23" spans="1:18" x14ac:dyDescent="0.25">
      <c r="A23" t="str">
        <f t="shared" si="0"/>
        <v>3-7-4</v>
      </c>
      <c r="B23">
        <v>3</v>
      </c>
      <c r="C23" s="150" t="s">
        <v>1157</v>
      </c>
      <c r="D23" s="150">
        <v>7</v>
      </c>
      <c r="E23" s="150" t="s">
        <v>681</v>
      </c>
      <c r="F23" s="150">
        <v>4</v>
      </c>
      <c r="G23" s="150" t="s">
        <v>191</v>
      </c>
      <c r="H23" s="150">
        <v>0</v>
      </c>
      <c r="I23" s="150">
        <v>41532665</v>
      </c>
      <c r="J23" s="150" t="s">
        <v>1203</v>
      </c>
      <c r="K23" s="150">
        <v>952</v>
      </c>
      <c r="L23" s="150">
        <v>40</v>
      </c>
      <c r="M23" s="150">
        <v>58.74</v>
      </c>
      <c r="N23" s="150">
        <v>0</v>
      </c>
      <c r="O23" s="150">
        <v>21504</v>
      </c>
      <c r="P23" s="150">
        <v>22272</v>
      </c>
      <c r="Q23" s="150">
        <v>19070.740000000002</v>
      </c>
      <c r="R23" s="150">
        <v>22272</v>
      </c>
    </row>
    <row r="24" spans="1:18" x14ac:dyDescent="0.25">
      <c r="A24" t="str">
        <f t="shared" si="0"/>
        <v>3-9-151</v>
      </c>
      <c r="B24">
        <v>3</v>
      </c>
      <c r="C24" s="150" t="s">
        <v>1157</v>
      </c>
      <c r="D24" s="150">
        <v>9</v>
      </c>
      <c r="E24" s="150" t="s">
        <v>683</v>
      </c>
      <c r="F24" s="150">
        <v>151</v>
      </c>
      <c r="G24" s="150" t="s">
        <v>746</v>
      </c>
      <c r="H24" s="150">
        <v>53</v>
      </c>
      <c r="I24" s="150">
        <v>0</v>
      </c>
      <c r="J24" s="150" t="s">
        <v>1203</v>
      </c>
      <c r="K24" s="150">
        <v>0</v>
      </c>
      <c r="L24" s="150">
        <v>0</v>
      </c>
      <c r="M24" s="150">
        <v>0</v>
      </c>
      <c r="N24" s="150">
        <v>0</v>
      </c>
      <c r="O24" s="150">
        <v>10787</v>
      </c>
      <c r="P24" s="150">
        <v>11437</v>
      </c>
      <c r="Q24" s="150">
        <v>12074</v>
      </c>
      <c r="R24" s="150">
        <v>12074</v>
      </c>
    </row>
    <row r="25" spans="1:18" x14ac:dyDescent="0.25">
      <c r="A25" t="str">
        <f t="shared" si="0"/>
        <v>35-9-188</v>
      </c>
      <c r="B25">
        <v>35</v>
      </c>
      <c r="C25" s="150" t="s">
        <v>1195</v>
      </c>
      <c r="D25" s="150">
        <v>9</v>
      </c>
      <c r="E25" s="150" t="s">
        <v>683</v>
      </c>
      <c r="F25" s="150">
        <v>188</v>
      </c>
      <c r="G25" s="150" t="s">
        <v>592</v>
      </c>
      <c r="H25" s="150">
        <v>1167</v>
      </c>
      <c r="I25" s="150">
        <v>0</v>
      </c>
      <c r="J25" s="150" t="s">
        <v>1203</v>
      </c>
      <c r="K25" s="150">
        <v>0</v>
      </c>
      <c r="L25" s="150">
        <v>0</v>
      </c>
      <c r="M25" s="150">
        <v>0.04</v>
      </c>
      <c r="N25" s="150">
        <v>0</v>
      </c>
      <c r="O25" s="150">
        <v>8328</v>
      </c>
      <c r="P25" s="150">
        <v>8328</v>
      </c>
      <c r="Q25" s="150">
        <v>8328.0400000000009</v>
      </c>
      <c r="R25" s="150">
        <v>8328</v>
      </c>
    </row>
    <row r="26" spans="1:18" x14ac:dyDescent="0.25">
      <c r="A26" t="str">
        <f t="shared" si="0"/>
        <v>30-21-16</v>
      </c>
      <c r="B26">
        <v>30</v>
      </c>
      <c r="C26" s="150" t="s">
        <v>1182</v>
      </c>
      <c r="D26" s="150">
        <v>21</v>
      </c>
      <c r="E26" s="150" t="s">
        <v>690</v>
      </c>
      <c r="F26" s="150">
        <v>16</v>
      </c>
      <c r="G26" s="150" t="s">
        <v>548</v>
      </c>
      <c r="H26" s="150">
        <v>3088</v>
      </c>
      <c r="I26" s="150">
        <v>20774</v>
      </c>
      <c r="J26" s="150" t="s">
        <v>1203</v>
      </c>
      <c r="K26" s="150">
        <v>0</v>
      </c>
      <c r="L26" s="150">
        <v>1</v>
      </c>
      <c r="M26" s="150">
        <v>0.13</v>
      </c>
      <c r="N26" s="150">
        <v>0</v>
      </c>
      <c r="O26" s="150">
        <v>10457</v>
      </c>
      <c r="P26" s="150">
        <v>10956</v>
      </c>
      <c r="Q26" s="150">
        <v>11285.13</v>
      </c>
      <c r="R26" s="150">
        <v>11285.13</v>
      </c>
    </row>
    <row r="27" spans="1:18" x14ac:dyDescent="0.25">
      <c r="A27" t="str">
        <f t="shared" si="0"/>
        <v>20-9-116</v>
      </c>
      <c r="B27">
        <v>20</v>
      </c>
      <c r="C27" s="150" t="s">
        <v>1172</v>
      </c>
      <c r="D27" s="150">
        <v>9</v>
      </c>
      <c r="E27" s="150" t="s">
        <v>683</v>
      </c>
      <c r="F27" s="150">
        <v>116</v>
      </c>
      <c r="G27" s="150" t="s">
        <v>934</v>
      </c>
      <c r="H27" s="150">
        <v>0</v>
      </c>
      <c r="I27" s="150">
        <v>0</v>
      </c>
      <c r="J27" s="150" t="s">
        <v>1203</v>
      </c>
      <c r="K27" s="150">
        <v>0</v>
      </c>
      <c r="L27" s="150">
        <v>33</v>
      </c>
      <c r="M27" s="150">
        <v>0</v>
      </c>
      <c r="N27" s="150">
        <v>0</v>
      </c>
      <c r="O27" s="150">
        <v>21542</v>
      </c>
      <c r="P27" s="150">
        <v>22717</v>
      </c>
      <c r="Q27" s="150">
        <v>23399</v>
      </c>
      <c r="R27" s="150">
        <v>23399</v>
      </c>
    </row>
    <row r="28" spans="1:18" x14ac:dyDescent="0.25">
      <c r="A28" t="str">
        <f t="shared" si="0"/>
        <v>20-11-108</v>
      </c>
      <c r="B28">
        <v>20</v>
      </c>
      <c r="C28" s="150" t="s">
        <v>1172</v>
      </c>
      <c r="D28" s="150">
        <v>11</v>
      </c>
      <c r="E28" s="150" t="s">
        <v>1204</v>
      </c>
      <c r="F28" s="150">
        <v>108</v>
      </c>
      <c r="G28" s="150" t="s">
        <v>399</v>
      </c>
      <c r="H28" s="150">
        <v>5380</v>
      </c>
      <c r="I28" s="150">
        <v>409</v>
      </c>
      <c r="J28" s="150" t="s">
        <v>1203</v>
      </c>
      <c r="K28" s="150">
        <v>0</v>
      </c>
      <c r="L28" s="150">
        <v>400</v>
      </c>
      <c r="M28" s="150">
        <v>0</v>
      </c>
      <c r="N28" s="150">
        <v>0</v>
      </c>
      <c r="O28" s="150">
        <v>26890</v>
      </c>
      <c r="P28" s="150">
        <v>27742</v>
      </c>
      <c r="Q28" s="150">
        <v>29449</v>
      </c>
      <c r="R28" s="150">
        <v>29449</v>
      </c>
    </row>
    <row r="29" spans="1:18" x14ac:dyDescent="0.25">
      <c r="A29" t="str">
        <f t="shared" si="0"/>
        <v>40-20-2</v>
      </c>
      <c r="B29">
        <v>40</v>
      </c>
      <c r="C29" s="150" t="s">
        <v>1190</v>
      </c>
      <c r="D29" s="150">
        <v>20</v>
      </c>
      <c r="E29" s="150" t="s">
        <v>238</v>
      </c>
      <c r="F29" s="150">
        <v>2</v>
      </c>
      <c r="G29" s="150" t="s">
        <v>1282</v>
      </c>
      <c r="H29" s="150">
        <v>329</v>
      </c>
      <c r="I29" s="150">
        <v>168240</v>
      </c>
      <c r="J29" s="150"/>
      <c r="K29" s="150">
        <v>0</v>
      </c>
      <c r="L29" s="150">
        <v>43</v>
      </c>
      <c r="M29" s="150">
        <v>0</v>
      </c>
      <c r="N29" s="150">
        <v>0</v>
      </c>
      <c r="O29" s="150">
        <v>43</v>
      </c>
      <c r="P29" s="150">
        <v>43</v>
      </c>
      <c r="Q29" s="150">
        <v>43</v>
      </c>
      <c r="R29" s="150">
        <v>43</v>
      </c>
    </row>
    <row r="30" spans="1:18" x14ac:dyDescent="0.25">
      <c r="A30" t="str">
        <f t="shared" si="0"/>
        <v>40-4-163</v>
      </c>
      <c r="B30">
        <v>40</v>
      </c>
      <c r="C30" s="150" t="s">
        <v>1190</v>
      </c>
      <c r="D30" s="150">
        <v>4</v>
      </c>
      <c r="E30" s="150" t="s">
        <v>146</v>
      </c>
      <c r="F30" s="150">
        <v>163</v>
      </c>
      <c r="G30" s="150" t="s">
        <v>1110</v>
      </c>
      <c r="H30" s="150">
        <v>0</v>
      </c>
      <c r="I30" s="150">
        <v>5231564</v>
      </c>
      <c r="J30" s="150" t="s">
        <v>1203</v>
      </c>
      <c r="K30" s="150">
        <v>0</v>
      </c>
      <c r="L30" s="150">
        <v>3063</v>
      </c>
      <c r="M30" s="150">
        <v>118.57</v>
      </c>
      <c r="N30" s="150">
        <v>0</v>
      </c>
      <c r="O30" s="150">
        <v>4256</v>
      </c>
      <c r="P30" s="150">
        <v>4256</v>
      </c>
      <c r="Q30" s="150">
        <v>4386</v>
      </c>
      <c r="R30" s="150">
        <v>4386</v>
      </c>
    </row>
    <row r="31" spans="1:18" x14ac:dyDescent="0.25">
      <c r="A31" t="str">
        <f t="shared" si="0"/>
        <v>1-30-3</v>
      </c>
      <c r="B31">
        <v>1</v>
      </c>
      <c r="C31" s="150" t="s">
        <v>1155</v>
      </c>
      <c r="D31" s="150">
        <v>30</v>
      </c>
      <c r="E31" s="150" t="s">
        <v>685</v>
      </c>
      <c r="F31" s="150">
        <v>3</v>
      </c>
      <c r="G31" s="150" t="s">
        <v>717</v>
      </c>
      <c r="H31" s="150">
        <v>0</v>
      </c>
      <c r="I31" s="150">
        <v>0</v>
      </c>
      <c r="J31" s="150">
        <v>1</v>
      </c>
      <c r="K31" s="150">
        <v>0</v>
      </c>
      <c r="L31" s="150">
        <v>0</v>
      </c>
      <c r="M31" s="150">
        <v>0</v>
      </c>
      <c r="N31" s="150">
        <v>0</v>
      </c>
      <c r="O31" s="150">
        <v>9193</v>
      </c>
      <c r="P31" s="150">
        <v>9928</v>
      </c>
      <c r="Q31" s="150">
        <v>10722</v>
      </c>
      <c r="R31" s="150">
        <v>10722</v>
      </c>
    </row>
    <row r="32" spans="1:18" x14ac:dyDescent="0.25">
      <c r="A32" s="284" t="s">
        <v>1415</v>
      </c>
      <c r="B32">
        <v>8</v>
      </c>
      <c r="C32" s="150" t="s">
        <v>1160</v>
      </c>
      <c r="D32" s="150">
        <v>30</v>
      </c>
      <c r="E32" s="150" t="s">
        <v>685</v>
      </c>
      <c r="F32" s="150">
        <v>3</v>
      </c>
      <c r="G32" s="150" t="s">
        <v>717</v>
      </c>
      <c r="H32" s="150">
        <v>0</v>
      </c>
      <c r="I32" s="150">
        <v>0</v>
      </c>
      <c r="J32" s="150">
        <v>1</v>
      </c>
      <c r="K32" s="150">
        <v>0</v>
      </c>
      <c r="L32" s="150">
        <v>0</v>
      </c>
      <c r="M32" s="150">
        <v>0</v>
      </c>
      <c r="N32" s="150">
        <v>0</v>
      </c>
      <c r="O32" s="150">
        <v>9193</v>
      </c>
      <c r="P32" s="150">
        <v>9928</v>
      </c>
      <c r="Q32" s="150">
        <v>10722</v>
      </c>
      <c r="R32" s="150">
        <v>10722</v>
      </c>
    </row>
    <row r="33" spans="1:19" x14ac:dyDescent="0.25">
      <c r="A33" s="284" t="s">
        <v>1416</v>
      </c>
      <c r="B33">
        <v>23</v>
      </c>
      <c r="C33" s="150" t="s">
        <v>1175</v>
      </c>
      <c r="D33" s="150">
        <v>30</v>
      </c>
      <c r="E33" s="150" t="s">
        <v>685</v>
      </c>
      <c r="F33" s="150">
        <v>3</v>
      </c>
      <c r="G33" s="150" t="s">
        <v>717</v>
      </c>
      <c r="H33" s="150">
        <v>0</v>
      </c>
      <c r="I33" s="150">
        <v>0</v>
      </c>
      <c r="J33" s="150">
        <v>1</v>
      </c>
      <c r="K33" s="150">
        <v>0</v>
      </c>
      <c r="L33" s="150">
        <v>0</v>
      </c>
      <c r="M33" s="150">
        <v>0</v>
      </c>
      <c r="N33" s="150">
        <v>0</v>
      </c>
      <c r="O33" s="150">
        <v>9193</v>
      </c>
      <c r="P33" s="150">
        <v>9928</v>
      </c>
      <c r="Q33" s="150">
        <v>10722</v>
      </c>
      <c r="R33" s="150">
        <v>10722</v>
      </c>
    </row>
    <row r="34" spans="1:19" x14ac:dyDescent="0.25">
      <c r="A34" t="str">
        <f t="shared" si="0"/>
        <v>4-9-108</v>
      </c>
      <c r="B34">
        <v>4</v>
      </c>
      <c r="C34" s="150" t="s">
        <v>1196</v>
      </c>
      <c r="D34" s="150">
        <v>9</v>
      </c>
      <c r="E34" s="150" t="s">
        <v>683</v>
      </c>
      <c r="F34" s="150">
        <v>108</v>
      </c>
      <c r="G34" s="150" t="s">
        <v>754</v>
      </c>
      <c r="H34" s="150">
        <v>231</v>
      </c>
      <c r="I34" s="150">
        <v>0</v>
      </c>
      <c r="J34" s="150">
        <v>1</v>
      </c>
      <c r="K34" s="150">
        <v>2</v>
      </c>
      <c r="L34" s="150">
        <v>1</v>
      </c>
      <c r="M34" s="150">
        <v>0</v>
      </c>
      <c r="N34" s="150">
        <v>0</v>
      </c>
      <c r="O34" s="150">
        <v>5918</v>
      </c>
      <c r="P34" s="150">
        <v>6096</v>
      </c>
      <c r="Q34" s="150">
        <v>6407</v>
      </c>
      <c r="R34" s="150">
        <v>6407</v>
      </c>
    </row>
    <row r="35" spans="1:19" x14ac:dyDescent="0.25">
      <c r="A35" t="str">
        <f t="shared" si="0"/>
        <v>15-9-108</v>
      </c>
      <c r="B35">
        <v>15</v>
      </c>
      <c r="C35" s="150" t="s">
        <v>1167</v>
      </c>
      <c r="D35" s="150">
        <v>9</v>
      </c>
      <c r="E35" s="150" t="s">
        <v>683</v>
      </c>
      <c r="F35" s="150">
        <v>108</v>
      </c>
      <c r="G35" s="150" t="s">
        <v>754</v>
      </c>
      <c r="H35" s="150">
        <v>231</v>
      </c>
      <c r="I35" s="150">
        <v>0</v>
      </c>
      <c r="J35" s="150">
        <v>1</v>
      </c>
      <c r="K35" s="150">
        <v>2</v>
      </c>
      <c r="L35" s="150">
        <v>1</v>
      </c>
      <c r="M35" s="150">
        <v>0</v>
      </c>
      <c r="N35" s="150">
        <v>0</v>
      </c>
      <c r="O35" s="150">
        <v>5918</v>
      </c>
      <c r="P35" s="150">
        <v>6096</v>
      </c>
      <c r="Q35" s="150">
        <v>6407</v>
      </c>
      <c r="R35" s="150">
        <v>6407</v>
      </c>
    </row>
    <row r="36" spans="1:19" x14ac:dyDescent="0.25">
      <c r="A36" t="str">
        <f t="shared" si="0"/>
        <v>15-7-5</v>
      </c>
      <c r="B36">
        <v>15</v>
      </c>
      <c r="C36" s="150" t="s">
        <v>1167</v>
      </c>
      <c r="D36" s="150">
        <v>7</v>
      </c>
      <c r="E36" s="150" t="s">
        <v>681</v>
      </c>
      <c r="F36" s="150">
        <v>5</v>
      </c>
      <c r="G36" s="150" t="s">
        <v>345</v>
      </c>
      <c r="H36" s="150">
        <v>0</v>
      </c>
      <c r="I36" s="150">
        <v>48750142</v>
      </c>
      <c r="J36" s="150" t="s">
        <v>1203</v>
      </c>
      <c r="K36" s="150">
        <v>548</v>
      </c>
      <c r="L36" s="150">
        <v>186</v>
      </c>
      <c r="M36" s="150">
        <v>68.819999999999993</v>
      </c>
      <c r="N36" s="150">
        <v>0</v>
      </c>
      <c r="O36" s="150">
        <v>5190</v>
      </c>
      <c r="P36" s="150">
        <v>5379</v>
      </c>
      <c r="Q36" s="150">
        <v>4807.82</v>
      </c>
      <c r="R36" s="150">
        <v>5379</v>
      </c>
    </row>
    <row r="37" spans="1:19" x14ac:dyDescent="0.25">
      <c r="A37" t="str">
        <f t="shared" si="0"/>
        <v>3-15-25</v>
      </c>
      <c r="B37">
        <v>3</v>
      </c>
      <c r="C37" s="150" t="s">
        <v>1157</v>
      </c>
      <c r="D37" s="150">
        <v>15</v>
      </c>
      <c r="E37" s="150" t="s">
        <v>237</v>
      </c>
      <c r="F37" s="150">
        <v>25</v>
      </c>
      <c r="G37" s="150" t="s">
        <v>750</v>
      </c>
      <c r="H37" s="150">
        <v>156179</v>
      </c>
      <c r="I37" s="150">
        <v>526944715</v>
      </c>
      <c r="J37" s="150" t="s">
        <v>1203</v>
      </c>
      <c r="K37" s="150">
        <v>0</v>
      </c>
      <c r="L37" s="150">
        <v>2805</v>
      </c>
      <c r="M37" s="150">
        <v>512.80999999999995</v>
      </c>
      <c r="N37" s="150">
        <v>0</v>
      </c>
      <c r="O37" s="150">
        <v>164515</v>
      </c>
      <c r="P37" s="150">
        <v>171552</v>
      </c>
      <c r="Q37" s="150">
        <v>180656.81</v>
      </c>
      <c r="R37" s="150">
        <v>180656.81</v>
      </c>
    </row>
    <row r="38" spans="1:19" x14ac:dyDescent="0.25">
      <c r="A38" t="str">
        <f t="shared" si="0"/>
        <v>3-5-10</v>
      </c>
      <c r="B38">
        <v>3</v>
      </c>
      <c r="C38" s="150" t="s">
        <v>1157</v>
      </c>
      <c r="D38" s="150">
        <v>5</v>
      </c>
      <c r="E38" s="150" t="s">
        <v>286</v>
      </c>
      <c r="F38" s="150">
        <v>10</v>
      </c>
      <c r="G38" s="150" t="s">
        <v>739</v>
      </c>
      <c r="H38" s="150">
        <v>290298</v>
      </c>
      <c r="I38" s="150">
        <v>526944715</v>
      </c>
      <c r="J38" s="150" t="s">
        <v>1203</v>
      </c>
      <c r="K38" s="150">
        <v>2820</v>
      </c>
      <c r="L38" s="150">
        <v>20267</v>
      </c>
      <c r="M38" s="150">
        <v>6129.5499999999993</v>
      </c>
      <c r="N38" s="150">
        <v>0</v>
      </c>
      <c r="O38" s="150">
        <v>1960277</v>
      </c>
      <c r="P38" s="150">
        <v>2039548</v>
      </c>
      <c r="Q38" s="150">
        <v>2149380.5499999998</v>
      </c>
      <c r="R38" s="150">
        <v>2149380.5499999998</v>
      </c>
    </row>
    <row r="39" spans="1:19" x14ac:dyDescent="0.25">
      <c r="A39" t="str">
        <f t="shared" si="0"/>
        <v>3-11-71</v>
      </c>
      <c r="B39">
        <v>3</v>
      </c>
      <c r="C39" s="150" t="s">
        <v>1157</v>
      </c>
      <c r="D39" s="150">
        <v>11</v>
      </c>
      <c r="E39" s="150" t="s">
        <v>1204</v>
      </c>
      <c r="F39" s="150">
        <v>71</v>
      </c>
      <c r="G39" s="150" t="s">
        <v>748</v>
      </c>
      <c r="H39" s="150">
        <v>0</v>
      </c>
      <c r="I39" s="150">
        <v>412212728</v>
      </c>
      <c r="J39" s="150"/>
      <c r="K39" s="150">
        <v>0</v>
      </c>
      <c r="L39" s="150">
        <v>0</v>
      </c>
      <c r="M39" s="150">
        <v>0</v>
      </c>
      <c r="N39" s="150">
        <v>0</v>
      </c>
      <c r="O39" s="150">
        <v>2668006</v>
      </c>
      <c r="P39" s="150">
        <v>2516329</v>
      </c>
      <c r="Q39" s="150">
        <v>2557709</v>
      </c>
    </row>
    <row r="40" spans="1:19" x14ac:dyDescent="0.25">
      <c r="A40" t="str">
        <f t="shared" si="0"/>
        <v>3-2-3</v>
      </c>
      <c r="B40">
        <v>3</v>
      </c>
      <c r="C40" s="150" t="s">
        <v>1157</v>
      </c>
      <c r="D40" s="150">
        <v>2</v>
      </c>
      <c r="E40" s="150" t="s">
        <v>110</v>
      </c>
      <c r="F40" s="150">
        <v>3</v>
      </c>
      <c r="G40" s="150" t="s">
        <v>183</v>
      </c>
      <c r="H40" s="150">
        <v>3112141</v>
      </c>
      <c r="I40" s="150">
        <v>526944715</v>
      </c>
      <c r="J40" s="150"/>
      <c r="K40" s="150">
        <v>66253</v>
      </c>
      <c r="L40" s="150">
        <v>267568</v>
      </c>
      <c r="M40" s="150">
        <v>88983.65</v>
      </c>
      <c r="N40" s="150">
        <v>0</v>
      </c>
      <c r="O40" s="150">
        <v>24229355</v>
      </c>
      <c r="P40" s="150">
        <v>25565000</v>
      </c>
      <c r="Q40" s="150">
        <v>27040982.649999999</v>
      </c>
      <c r="R40" s="150" t="s">
        <v>1314</v>
      </c>
      <c r="S40" s="150" t="s">
        <v>1314</v>
      </c>
    </row>
    <row r="41" spans="1:19" x14ac:dyDescent="0.25">
      <c r="A41" t="str">
        <f t="shared" si="0"/>
        <v>6-7-6</v>
      </c>
      <c r="B41">
        <v>6</v>
      </c>
      <c r="C41" s="150" t="s">
        <v>1159</v>
      </c>
      <c r="D41" s="150">
        <v>7</v>
      </c>
      <c r="E41" s="150" t="s">
        <v>681</v>
      </c>
      <c r="F41" s="150">
        <v>6</v>
      </c>
      <c r="G41" s="150" t="s">
        <v>225</v>
      </c>
      <c r="H41" s="150">
        <v>0</v>
      </c>
      <c r="I41" s="150">
        <v>21358871</v>
      </c>
      <c r="J41" s="150" t="s">
        <v>1203</v>
      </c>
      <c r="K41" s="150">
        <v>1253</v>
      </c>
      <c r="L41" s="150">
        <v>253</v>
      </c>
      <c r="M41" s="150">
        <v>119.95</v>
      </c>
      <c r="N41" s="150">
        <v>0</v>
      </c>
      <c r="O41" s="150">
        <v>40462</v>
      </c>
      <c r="P41" s="150">
        <v>42321</v>
      </c>
      <c r="Q41" s="150">
        <v>42625.95</v>
      </c>
      <c r="R41" s="150">
        <v>42625.95</v>
      </c>
    </row>
    <row r="42" spans="1:19" x14ac:dyDescent="0.25">
      <c r="A42" t="str">
        <f t="shared" si="0"/>
        <v>8-4-26</v>
      </c>
      <c r="B42">
        <v>8</v>
      </c>
      <c r="C42" s="150" t="s">
        <v>1160</v>
      </c>
      <c r="D42" s="150">
        <v>4</v>
      </c>
      <c r="E42" s="150" t="s">
        <v>146</v>
      </c>
      <c r="F42" s="150">
        <v>26</v>
      </c>
      <c r="G42" s="150" t="s">
        <v>797</v>
      </c>
      <c r="H42" s="150">
        <v>0</v>
      </c>
      <c r="I42" s="150">
        <v>6709294</v>
      </c>
      <c r="J42" s="150" t="s">
        <v>1203</v>
      </c>
      <c r="K42" s="150">
        <v>149</v>
      </c>
      <c r="L42" s="150">
        <v>1508</v>
      </c>
      <c r="M42" s="150">
        <v>141.6</v>
      </c>
      <c r="N42" s="150">
        <v>0</v>
      </c>
      <c r="O42" s="150">
        <v>41396</v>
      </c>
      <c r="P42" s="150">
        <v>43055</v>
      </c>
      <c r="Q42" s="150">
        <v>43780</v>
      </c>
      <c r="R42" s="150">
        <v>43780</v>
      </c>
    </row>
    <row r="43" spans="1:19" x14ac:dyDescent="0.25">
      <c r="A43" t="str">
        <f t="shared" si="0"/>
        <v>41-7-7</v>
      </c>
      <c r="B43">
        <v>41</v>
      </c>
      <c r="C43" s="150" t="s">
        <v>1191</v>
      </c>
      <c r="D43" s="150">
        <v>7</v>
      </c>
      <c r="E43" s="150" t="s">
        <v>681</v>
      </c>
      <c r="F43" s="150">
        <v>7</v>
      </c>
      <c r="G43" s="150" t="s">
        <v>639</v>
      </c>
      <c r="H43" s="150">
        <v>114</v>
      </c>
      <c r="I43" s="150">
        <v>698465</v>
      </c>
      <c r="J43" s="150" t="s">
        <v>1203</v>
      </c>
      <c r="K43" s="150">
        <v>18</v>
      </c>
      <c r="L43" s="150">
        <v>10</v>
      </c>
      <c r="M43" s="150">
        <v>0</v>
      </c>
      <c r="N43" s="150">
        <v>0</v>
      </c>
      <c r="O43" s="150">
        <v>6303</v>
      </c>
      <c r="P43" s="150">
        <v>6637</v>
      </c>
      <c r="Q43" s="150">
        <v>7008</v>
      </c>
      <c r="R43" s="150">
        <v>7008</v>
      </c>
    </row>
    <row r="44" spans="1:19" x14ac:dyDescent="0.25">
      <c r="A44" t="str">
        <f t="shared" si="0"/>
        <v>19-15-6</v>
      </c>
      <c r="B44">
        <v>19</v>
      </c>
      <c r="C44" s="150" t="s">
        <v>1171</v>
      </c>
      <c r="D44" s="150">
        <v>15</v>
      </c>
      <c r="E44" s="150" t="s">
        <v>237</v>
      </c>
      <c r="F44" s="150">
        <v>6</v>
      </c>
      <c r="G44" s="150" t="s">
        <v>925</v>
      </c>
      <c r="H44" s="150">
        <v>0</v>
      </c>
      <c r="I44" s="150">
        <v>3615183</v>
      </c>
      <c r="J44" s="150" t="s">
        <v>1203</v>
      </c>
      <c r="K44" s="150">
        <v>0</v>
      </c>
      <c r="L44" s="150">
        <v>101</v>
      </c>
      <c r="M44" s="150">
        <v>0.83</v>
      </c>
      <c r="N44" s="150">
        <v>0</v>
      </c>
      <c r="O44" s="150">
        <v>20183</v>
      </c>
      <c r="P44" s="150">
        <v>21387</v>
      </c>
      <c r="Q44" s="150">
        <v>22191.83</v>
      </c>
      <c r="R44" s="150">
        <v>22191.83</v>
      </c>
    </row>
    <row r="45" spans="1:19" x14ac:dyDescent="0.25">
      <c r="A45" t="str">
        <f t="shared" si="0"/>
        <v>9-17-37</v>
      </c>
      <c r="B45">
        <v>9</v>
      </c>
      <c r="C45" s="150" t="s">
        <v>1161</v>
      </c>
      <c r="D45" s="150">
        <v>17</v>
      </c>
      <c r="E45" s="150" t="s">
        <v>688</v>
      </c>
      <c r="F45" s="150">
        <v>37</v>
      </c>
      <c r="G45" s="150" t="s">
        <v>821</v>
      </c>
      <c r="H45" s="150">
        <v>0</v>
      </c>
      <c r="I45" s="150">
        <v>48004</v>
      </c>
      <c r="J45" s="150" t="s">
        <v>1203</v>
      </c>
      <c r="K45" s="150">
        <v>0</v>
      </c>
      <c r="L45" s="150">
        <v>0</v>
      </c>
      <c r="M45" s="150">
        <v>0.04</v>
      </c>
      <c r="N45" s="150">
        <v>0</v>
      </c>
      <c r="O45" s="150">
        <v>12163</v>
      </c>
      <c r="P45" s="150">
        <v>12590</v>
      </c>
      <c r="Q45" s="150">
        <v>13044.04</v>
      </c>
      <c r="R45" s="150">
        <v>13044.04</v>
      </c>
    </row>
    <row r="46" spans="1:19" x14ac:dyDescent="0.25">
      <c r="A46" t="str">
        <f t="shared" si="0"/>
        <v>2-7-192</v>
      </c>
      <c r="B46">
        <v>2</v>
      </c>
      <c r="C46" s="150" t="s">
        <v>1156</v>
      </c>
      <c r="D46" s="150">
        <v>7</v>
      </c>
      <c r="E46" s="150" t="s">
        <v>681</v>
      </c>
      <c r="F46" s="150">
        <v>192</v>
      </c>
      <c r="G46" s="150" t="s">
        <v>180</v>
      </c>
      <c r="H46" s="150">
        <v>263</v>
      </c>
      <c r="I46" s="150">
        <v>21349113</v>
      </c>
      <c r="J46" s="150" t="s">
        <v>1203</v>
      </c>
      <c r="K46" s="150">
        <v>3</v>
      </c>
      <c r="L46" s="150">
        <v>15</v>
      </c>
      <c r="M46" s="150">
        <v>4.78</v>
      </c>
      <c r="N46" s="150">
        <v>0</v>
      </c>
      <c r="O46" s="150">
        <v>3565</v>
      </c>
      <c r="P46" s="150">
        <v>3655</v>
      </c>
      <c r="Q46" s="150">
        <v>3739.78</v>
      </c>
      <c r="R46" s="150">
        <v>3739.78</v>
      </c>
    </row>
    <row r="47" spans="1:19" x14ac:dyDescent="0.25">
      <c r="A47" t="str">
        <f t="shared" si="0"/>
        <v>4-9-121</v>
      </c>
      <c r="B47">
        <v>4</v>
      </c>
      <c r="C47" s="150" t="s">
        <v>1196</v>
      </c>
      <c r="D47" s="150">
        <v>9</v>
      </c>
      <c r="E47" s="150" t="s">
        <v>683</v>
      </c>
      <c r="F47" s="150">
        <v>121</v>
      </c>
      <c r="G47" s="150" t="s">
        <v>755</v>
      </c>
      <c r="H47" s="150">
        <v>193171</v>
      </c>
      <c r="I47" s="150">
        <v>279000</v>
      </c>
      <c r="J47" s="150" t="s">
        <v>1203</v>
      </c>
      <c r="K47" s="150">
        <v>3617</v>
      </c>
      <c r="L47" s="150">
        <v>860</v>
      </c>
      <c r="M47" s="150">
        <v>143.85</v>
      </c>
      <c r="N47" s="150">
        <v>0</v>
      </c>
      <c r="O47" s="150">
        <v>300500</v>
      </c>
      <c r="P47" s="150">
        <v>308637</v>
      </c>
      <c r="Q47" s="150">
        <v>337898.85</v>
      </c>
      <c r="R47" s="150">
        <v>337898.85</v>
      </c>
    </row>
    <row r="48" spans="1:19" x14ac:dyDescent="0.25">
      <c r="A48" t="str">
        <f t="shared" si="0"/>
        <v>4-11-72</v>
      </c>
      <c r="B48">
        <v>4</v>
      </c>
      <c r="C48" s="150" t="s">
        <v>1196</v>
      </c>
      <c r="D48" s="150">
        <v>11</v>
      </c>
      <c r="E48" s="150" t="s">
        <v>1204</v>
      </c>
      <c r="F48" s="150">
        <v>72</v>
      </c>
      <c r="G48" s="150" t="s">
        <v>756</v>
      </c>
      <c r="H48" s="150">
        <v>0</v>
      </c>
      <c r="I48" s="150">
        <v>184145779</v>
      </c>
      <c r="J48" s="150" t="s">
        <v>1203</v>
      </c>
      <c r="K48" s="150">
        <v>0</v>
      </c>
      <c r="L48" s="150">
        <v>0</v>
      </c>
      <c r="M48" s="150">
        <v>0</v>
      </c>
      <c r="N48" s="150">
        <v>0</v>
      </c>
      <c r="O48" s="150">
        <v>390402</v>
      </c>
      <c r="P48" s="150">
        <v>647863</v>
      </c>
      <c r="Q48" s="150">
        <v>708265</v>
      </c>
    </row>
    <row r="49" spans="1:19" x14ac:dyDescent="0.25">
      <c r="A49" t="str">
        <f t="shared" si="0"/>
        <v>4-2-4</v>
      </c>
      <c r="B49">
        <v>4</v>
      </c>
      <c r="C49" s="150" t="s">
        <v>1196</v>
      </c>
      <c r="D49" s="150">
        <v>2</v>
      </c>
      <c r="E49" s="150" t="s">
        <v>110</v>
      </c>
      <c r="F49" s="150">
        <v>4</v>
      </c>
      <c r="G49" s="150" t="s">
        <v>198</v>
      </c>
      <c r="H49" s="150">
        <v>0</v>
      </c>
      <c r="I49" s="150">
        <v>184145779</v>
      </c>
      <c r="J49" s="150" t="s">
        <v>1203</v>
      </c>
      <c r="K49" s="150">
        <v>30856</v>
      </c>
      <c r="L49" s="150">
        <v>25165</v>
      </c>
      <c r="M49" s="150">
        <v>8973.7099999999991</v>
      </c>
      <c r="N49" s="150">
        <v>0</v>
      </c>
      <c r="O49" s="150">
        <f>3263328+O48</f>
        <v>3653730</v>
      </c>
      <c r="P49" s="150">
        <f>3316494+P48</f>
        <v>3964357</v>
      </c>
      <c r="Q49" s="150">
        <v>3445798.71</v>
      </c>
      <c r="R49" s="150">
        <v>4154063.71</v>
      </c>
    </row>
    <row r="50" spans="1:19" x14ac:dyDescent="0.25">
      <c r="A50" t="str">
        <f t="shared" si="0"/>
        <v>4-14-2</v>
      </c>
      <c r="B50">
        <v>4</v>
      </c>
      <c r="C50" s="150" t="s">
        <v>1196</v>
      </c>
      <c r="D50" s="150">
        <v>14</v>
      </c>
      <c r="E50" s="150" t="s">
        <v>665</v>
      </c>
      <c r="F50" s="150">
        <v>2</v>
      </c>
      <c r="G50" s="150" t="s">
        <v>757</v>
      </c>
      <c r="H50" s="150">
        <v>0</v>
      </c>
      <c r="I50" s="150">
        <v>184145779</v>
      </c>
      <c r="J50" s="150" t="s">
        <v>1203</v>
      </c>
      <c r="K50" s="150">
        <v>2775</v>
      </c>
      <c r="L50" s="150">
        <v>2365</v>
      </c>
      <c r="M50" s="150">
        <v>780.7</v>
      </c>
      <c r="N50" s="150">
        <v>0</v>
      </c>
      <c r="O50" s="150">
        <v>347270</v>
      </c>
      <c r="P50" s="150">
        <v>362705</v>
      </c>
      <c r="Q50" s="150">
        <v>380054.7</v>
      </c>
      <c r="R50" s="150">
        <v>380054.7</v>
      </c>
    </row>
    <row r="51" spans="1:19" x14ac:dyDescent="0.25">
      <c r="A51" t="str">
        <f t="shared" si="0"/>
        <v>4-4-13</v>
      </c>
      <c r="B51">
        <v>4</v>
      </c>
      <c r="C51" s="150" t="s">
        <v>1196</v>
      </c>
      <c r="D51" s="150">
        <v>4</v>
      </c>
      <c r="E51" s="150" t="s">
        <v>146</v>
      </c>
      <c r="F51" s="150">
        <v>13</v>
      </c>
      <c r="G51" s="150" t="s">
        <v>752</v>
      </c>
      <c r="H51" s="150">
        <v>0</v>
      </c>
      <c r="I51" s="150">
        <v>178766049</v>
      </c>
      <c r="J51" s="150" t="s">
        <v>1203</v>
      </c>
      <c r="K51" s="150">
        <v>2126</v>
      </c>
      <c r="L51" s="150">
        <v>12071</v>
      </c>
      <c r="M51" s="150">
        <v>2517.48</v>
      </c>
      <c r="N51" s="150">
        <v>0</v>
      </c>
      <c r="O51" s="150">
        <v>112946</v>
      </c>
      <c r="P51" s="150">
        <v>118000</v>
      </c>
      <c r="Q51" s="150">
        <v>75020</v>
      </c>
      <c r="R51" s="150">
        <v>118000</v>
      </c>
    </row>
    <row r="52" spans="1:19" x14ac:dyDescent="0.25">
      <c r="A52" t="str">
        <f t="shared" si="0"/>
        <v>4-15-1</v>
      </c>
      <c r="B52">
        <v>4</v>
      </c>
      <c r="C52" s="150" t="s">
        <v>1196</v>
      </c>
      <c r="D52" s="150">
        <v>15</v>
      </c>
      <c r="E52" s="150" t="s">
        <v>237</v>
      </c>
      <c r="F52" s="150">
        <v>1</v>
      </c>
      <c r="G52" s="150" t="s">
        <v>214</v>
      </c>
      <c r="H52" s="150">
        <v>4565</v>
      </c>
      <c r="I52" s="150">
        <v>88971358</v>
      </c>
      <c r="J52" s="150" t="s">
        <v>1203</v>
      </c>
      <c r="K52" s="150">
        <v>1100</v>
      </c>
      <c r="L52" s="150">
        <v>2014</v>
      </c>
      <c r="M52" s="150">
        <v>596.18000000000006</v>
      </c>
      <c r="N52" s="150">
        <v>0</v>
      </c>
      <c r="O52" s="150">
        <v>106750</v>
      </c>
      <c r="P52" s="150">
        <v>107305</v>
      </c>
      <c r="Q52" s="150">
        <v>113149.18</v>
      </c>
      <c r="R52" s="150">
        <v>113149.18</v>
      </c>
    </row>
    <row r="53" spans="1:19" x14ac:dyDescent="0.25">
      <c r="A53" t="str">
        <f t="shared" si="0"/>
        <v>7-7-8</v>
      </c>
      <c r="B53">
        <v>7</v>
      </c>
      <c r="C53" s="150" t="s">
        <v>1199</v>
      </c>
      <c r="D53" s="150">
        <v>7</v>
      </c>
      <c r="E53" s="150" t="s">
        <v>681</v>
      </c>
      <c r="F53" s="150">
        <v>8</v>
      </c>
      <c r="G53" s="150" t="s">
        <v>246</v>
      </c>
      <c r="H53" s="150">
        <v>0</v>
      </c>
      <c r="I53" s="150">
        <v>8767571</v>
      </c>
      <c r="J53" s="150" t="s">
        <v>1203</v>
      </c>
      <c r="K53" s="150">
        <v>52</v>
      </c>
      <c r="L53" s="150">
        <v>224</v>
      </c>
      <c r="M53" s="150">
        <v>43.620000000000005</v>
      </c>
      <c r="N53" s="150">
        <v>0</v>
      </c>
      <c r="O53" s="150">
        <v>27355</v>
      </c>
      <c r="P53" s="150">
        <v>27706</v>
      </c>
      <c r="Q53" s="150">
        <v>28766.62</v>
      </c>
      <c r="R53" s="150">
        <v>28766.62</v>
      </c>
    </row>
    <row r="54" spans="1:19" x14ac:dyDescent="0.25">
      <c r="A54" t="str">
        <f t="shared" si="0"/>
        <v>5-11-73</v>
      </c>
      <c r="B54">
        <v>5</v>
      </c>
      <c r="C54" s="150" t="s">
        <v>1158</v>
      </c>
      <c r="D54" s="150">
        <v>11</v>
      </c>
      <c r="E54" s="150" t="s">
        <v>1204</v>
      </c>
      <c r="F54" s="150">
        <v>73</v>
      </c>
      <c r="G54" s="150" t="s">
        <v>768</v>
      </c>
      <c r="H54" s="150">
        <v>0</v>
      </c>
      <c r="I54" s="150">
        <v>15788203</v>
      </c>
      <c r="J54" s="150"/>
      <c r="K54" s="150">
        <v>0</v>
      </c>
      <c r="L54" s="150">
        <v>0</v>
      </c>
      <c r="M54" s="150">
        <v>0</v>
      </c>
      <c r="N54" s="150">
        <v>0</v>
      </c>
      <c r="O54" s="150">
        <v>799128</v>
      </c>
      <c r="P54" s="150">
        <v>930970</v>
      </c>
      <c r="Q54" s="150">
        <v>669200</v>
      </c>
    </row>
    <row r="55" spans="1:19" x14ac:dyDescent="0.25">
      <c r="A55" t="str">
        <f t="shared" si="0"/>
        <v>5-2-5</v>
      </c>
      <c r="B55">
        <v>5</v>
      </c>
      <c r="C55" s="150" t="s">
        <v>1158</v>
      </c>
      <c r="D55" s="150">
        <v>2</v>
      </c>
      <c r="E55" s="150" t="s">
        <v>110</v>
      </c>
      <c r="F55" s="150">
        <v>5</v>
      </c>
      <c r="G55" s="150" t="s">
        <v>215</v>
      </c>
      <c r="H55" s="150">
        <v>0</v>
      </c>
      <c r="I55" s="150">
        <v>25478584</v>
      </c>
      <c r="J55" s="150"/>
      <c r="K55" s="150">
        <v>30958</v>
      </c>
      <c r="L55" s="150">
        <v>64059</v>
      </c>
      <c r="M55" s="150">
        <v>11009.33</v>
      </c>
      <c r="N55" s="150">
        <v>0</v>
      </c>
      <c r="O55" s="150">
        <v>3509968</v>
      </c>
      <c r="P55" s="150">
        <v>3545810</v>
      </c>
      <c r="Q55" s="150">
        <v>3996047.33</v>
      </c>
      <c r="R55" s="150" t="s">
        <v>1314</v>
      </c>
      <c r="S55" s="150" t="s">
        <v>1314</v>
      </c>
    </row>
    <row r="56" spans="1:19" x14ac:dyDescent="0.25">
      <c r="A56" t="str">
        <f t="shared" si="0"/>
        <v>5-14-3</v>
      </c>
      <c r="B56">
        <v>5</v>
      </c>
      <c r="C56" s="150" t="s">
        <v>1158</v>
      </c>
      <c r="D56" s="150">
        <v>14</v>
      </c>
      <c r="E56" s="150" t="s">
        <v>665</v>
      </c>
      <c r="F56" s="150">
        <v>3</v>
      </c>
      <c r="G56" s="150" t="s">
        <v>769</v>
      </c>
      <c r="H56" s="150">
        <v>0</v>
      </c>
      <c r="I56" s="150">
        <v>24021980</v>
      </c>
      <c r="J56" s="150" t="s">
        <v>1203</v>
      </c>
      <c r="K56" s="150">
        <v>740</v>
      </c>
      <c r="L56" s="150">
        <v>2484</v>
      </c>
      <c r="M56" s="150">
        <v>427.95000000000005</v>
      </c>
      <c r="N56" s="150">
        <v>0</v>
      </c>
      <c r="O56" s="150">
        <v>204159</v>
      </c>
      <c r="P56" s="150">
        <v>211998</v>
      </c>
      <c r="Q56" s="150">
        <v>217651.95</v>
      </c>
      <c r="R56" s="150">
        <v>217651.95</v>
      </c>
    </row>
    <row r="57" spans="1:19" x14ac:dyDescent="0.25">
      <c r="A57" t="str">
        <f t="shared" si="0"/>
        <v>4-7-9</v>
      </c>
      <c r="B57">
        <v>4</v>
      </c>
      <c r="C57" s="150" t="s">
        <v>1196</v>
      </c>
      <c r="D57" s="150">
        <v>7</v>
      </c>
      <c r="E57" s="150" t="s">
        <v>681</v>
      </c>
      <c r="F57" s="150">
        <v>9</v>
      </c>
      <c r="G57" s="150" t="s">
        <v>203</v>
      </c>
      <c r="H57" s="150">
        <v>0</v>
      </c>
      <c r="I57" s="150">
        <v>3868929</v>
      </c>
      <c r="J57" s="150" t="s">
        <v>1203</v>
      </c>
      <c r="K57" s="150">
        <v>91</v>
      </c>
      <c r="L57" s="150">
        <v>8</v>
      </c>
      <c r="M57" s="150">
        <v>4.13</v>
      </c>
      <c r="N57" s="150">
        <v>0</v>
      </c>
      <c r="O57" s="150">
        <v>5175</v>
      </c>
      <c r="P57" s="150">
        <v>5406</v>
      </c>
      <c r="Q57" s="150">
        <v>5636.13</v>
      </c>
      <c r="R57" s="150">
        <v>5636.13</v>
      </c>
    </row>
    <row r="58" spans="1:19" x14ac:dyDescent="0.25">
      <c r="A58" t="str">
        <f t="shared" si="0"/>
        <v>4-7-191</v>
      </c>
      <c r="B58">
        <v>4</v>
      </c>
      <c r="C58" s="150" t="s">
        <v>1196</v>
      </c>
      <c r="D58" s="150">
        <v>7</v>
      </c>
      <c r="E58" s="150" t="s">
        <v>681</v>
      </c>
      <c r="F58" s="150">
        <v>191</v>
      </c>
      <c r="G58" s="150" t="s">
        <v>204</v>
      </c>
      <c r="H58" s="150">
        <v>0</v>
      </c>
      <c r="I58" s="150">
        <v>7088925</v>
      </c>
      <c r="J58" s="150" t="s">
        <v>1203</v>
      </c>
      <c r="K58" s="150">
        <v>63</v>
      </c>
      <c r="L58" s="150">
        <v>43</v>
      </c>
      <c r="M58" s="150">
        <v>23.740000000000002</v>
      </c>
      <c r="N58" s="150">
        <v>0</v>
      </c>
      <c r="O58" s="150">
        <v>5084</v>
      </c>
      <c r="P58" s="150">
        <v>5237</v>
      </c>
      <c r="Q58" s="150">
        <v>5475.74</v>
      </c>
      <c r="R58" s="150">
        <v>5475.74</v>
      </c>
    </row>
    <row r="59" spans="1:19" x14ac:dyDescent="0.25">
      <c r="A59" t="str">
        <f t="shared" si="0"/>
        <v>18-9-124</v>
      </c>
      <c r="B59">
        <v>18</v>
      </c>
      <c r="C59" s="150" t="s">
        <v>1170</v>
      </c>
      <c r="D59" s="150">
        <v>9</v>
      </c>
      <c r="E59" s="150" t="s">
        <v>683</v>
      </c>
      <c r="F59" s="150">
        <v>124</v>
      </c>
      <c r="G59" s="150" t="s">
        <v>902</v>
      </c>
      <c r="H59" s="150">
        <v>2472</v>
      </c>
      <c r="I59" s="150">
        <v>0</v>
      </c>
      <c r="J59" s="150">
        <v>1</v>
      </c>
      <c r="K59" s="150">
        <v>261</v>
      </c>
      <c r="L59" s="150">
        <v>203</v>
      </c>
      <c r="M59" s="150">
        <v>0.1</v>
      </c>
      <c r="N59" s="150">
        <v>0</v>
      </c>
      <c r="O59" s="150">
        <v>24964</v>
      </c>
      <c r="P59" s="150">
        <v>26055</v>
      </c>
      <c r="Q59" s="150">
        <v>26933.1</v>
      </c>
      <c r="R59" s="150">
        <v>26933.1</v>
      </c>
    </row>
    <row r="60" spans="1:19" x14ac:dyDescent="0.25">
      <c r="A60" t="str">
        <f t="shared" si="0"/>
        <v>35-9-124</v>
      </c>
      <c r="B60">
        <v>35</v>
      </c>
      <c r="C60" s="150" t="s">
        <v>1195</v>
      </c>
      <c r="D60" s="150">
        <v>9</v>
      </c>
      <c r="E60" s="150" t="s">
        <v>683</v>
      </c>
      <c r="F60" s="150">
        <v>124</v>
      </c>
      <c r="G60" s="150" t="s">
        <v>902</v>
      </c>
      <c r="H60" s="150">
        <v>2472</v>
      </c>
      <c r="I60" s="150">
        <v>58184</v>
      </c>
      <c r="J60" s="150">
        <v>1</v>
      </c>
      <c r="K60" s="150">
        <v>261</v>
      </c>
      <c r="L60" s="150">
        <v>203</v>
      </c>
      <c r="M60" s="150">
        <v>0.1</v>
      </c>
      <c r="N60" s="150">
        <v>0</v>
      </c>
      <c r="O60" s="150">
        <v>24964</v>
      </c>
      <c r="P60" s="150">
        <v>26055</v>
      </c>
      <c r="Q60" s="150">
        <v>26933.1</v>
      </c>
      <c r="R60" s="150">
        <v>26933.1</v>
      </c>
    </row>
    <row r="61" spans="1:19" x14ac:dyDescent="0.25">
      <c r="A61" t="str">
        <f t="shared" si="0"/>
        <v>19-7-10</v>
      </c>
      <c r="B61">
        <v>19</v>
      </c>
      <c r="C61" s="150" t="s">
        <v>1171</v>
      </c>
      <c r="D61" s="150">
        <v>7</v>
      </c>
      <c r="E61" s="150" t="s">
        <v>681</v>
      </c>
      <c r="F61" s="150">
        <v>10</v>
      </c>
      <c r="G61" s="150" t="s">
        <v>391</v>
      </c>
      <c r="H61" s="150">
        <v>520</v>
      </c>
      <c r="I61" s="150">
        <v>4723749</v>
      </c>
      <c r="J61" s="150" t="s">
        <v>1203</v>
      </c>
      <c r="K61" s="150">
        <v>607</v>
      </c>
      <c r="L61" s="150">
        <v>204</v>
      </c>
      <c r="M61" s="150">
        <v>76.78</v>
      </c>
      <c r="N61" s="150">
        <v>0</v>
      </c>
      <c r="O61" s="150">
        <v>24793</v>
      </c>
      <c r="P61" s="150">
        <v>26263</v>
      </c>
      <c r="Q61" s="150">
        <v>26561.78</v>
      </c>
      <c r="R61" s="150">
        <v>26561.78</v>
      </c>
    </row>
    <row r="62" spans="1:19" x14ac:dyDescent="0.25">
      <c r="A62" t="str">
        <f t="shared" si="0"/>
        <v>7-10-12</v>
      </c>
      <c r="B62">
        <v>7</v>
      </c>
      <c r="C62" s="150" t="s">
        <v>1199</v>
      </c>
      <c r="D62" s="150">
        <v>10</v>
      </c>
      <c r="E62" s="150" t="s">
        <v>684</v>
      </c>
      <c r="F62" s="150">
        <v>12</v>
      </c>
      <c r="G62" s="150" t="s">
        <v>251</v>
      </c>
      <c r="H62" s="150">
        <v>1588</v>
      </c>
      <c r="I62" s="150">
        <v>0</v>
      </c>
      <c r="J62" s="150" t="s">
        <v>1203</v>
      </c>
      <c r="K62" s="150">
        <v>0</v>
      </c>
      <c r="L62" s="150">
        <v>0</v>
      </c>
      <c r="M62" s="150">
        <v>0</v>
      </c>
      <c r="N62" s="150">
        <v>0</v>
      </c>
      <c r="O62" s="150">
        <v>52938</v>
      </c>
      <c r="P62" s="150">
        <v>53484</v>
      </c>
      <c r="Q62" s="150">
        <v>55609</v>
      </c>
      <c r="R62" s="150">
        <v>55609</v>
      </c>
    </row>
    <row r="63" spans="1:19" x14ac:dyDescent="0.25">
      <c r="A63" t="str">
        <f t="shared" si="0"/>
        <v>6-15-15</v>
      </c>
      <c r="B63">
        <v>6</v>
      </c>
      <c r="C63" s="150" t="s">
        <v>1159</v>
      </c>
      <c r="D63" s="150">
        <v>15</v>
      </c>
      <c r="E63" s="150" t="s">
        <v>237</v>
      </c>
      <c r="F63" s="150">
        <v>15</v>
      </c>
      <c r="G63" s="150" t="s">
        <v>785</v>
      </c>
      <c r="H63" s="150">
        <v>207694</v>
      </c>
      <c r="I63" s="150">
        <v>192909926</v>
      </c>
      <c r="J63" s="150" t="s">
        <v>1203</v>
      </c>
      <c r="K63" s="150">
        <v>0</v>
      </c>
      <c r="L63" s="150">
        <v>6559</v>
      </c>
      <c r="M63" s="150">
        <v>1781.21</v>
      </c>
      <c r="N63" s="150">
        <v>0</v>
      </c>
      <c r="O63" s="150">
        <v>524806</v>
      </c>
      <c r="P63" s="150">
        <v>552136</v>
      </c>
      <c r="Q63" s="150">
        <v>579340.21</v>
      </c>
      <c r="R63" s="150">
        <v>579340.21</v>
      </c>
    </row>
    <row r="64" spans="1:19" x14ac:dyDescent="0.25">
      <c r="A64" t="str">
        <f t="shared" si="0"/>
        <v>6-5-9</v>
      </c>
      <c r="B64">
        <v>6</v>
      </c>
      <c r="C64" s="150" t="s">
        <v>1159</v>
      </c>
      <c r="D64" s="150">
        <v>5</v>
      </c>
      <c r="E64" s="150" t="s">
        <v>286</v>
      </c>
      <c r="F64" s="150">
        <v>9</v>
      </c>
      <c r="G64" s="150" t="s">
        <v>777</v>
      </c>
      <c r="H64" s="150">
        <v>197</v>
      </c>
      <c r="I64" s="150">
        <v>192909926</v>
      </c>
      <c r="J64" s="150" t="s">
        <v>1203</v>
      </c>
      <c r="K64" s="150">
        <v>23886</v>
      </c>
      <c r="L64" s="150">
        <v>10554</v>
      </c>
      <c r="M64" s="150">
        <v>3512.3500000000004</v>
      </c>
      <c r="N64" s="150">
        <v>0</v>
      </c>
      <c r="O64" s="150">
        <v>1055093</v>
      </c>
      <c r="P64" s="150">
        <v>1110293</v>
      </c>
      <c r="Q64" s="150">
        <v>1164801.3500000001</v>
      </c>
      <c r="R64" s="150">
        <v>1164801.3500000001</v>
      </c>
    </row>
    <row r="65" spans="1:18" x14ac:dyDescent="0.25">
      <c r="A65" t="str">
        <f t="shared" si="0"/>
        <v>6-11-74</v>
      </c>
      <c r="B65">
        <v>6</v>
      </c>
      <c r="C65" s="150" t="s">
        <v>1159</v>
      </c>
      <c r="D65" s="150">
        <v>11</v>
      </c>
      <c r="E65" s="150" t="s">
        <v>1204</v>
      </c>
      <c r="F65" s="150">
        <v>74</v>
      </c>
      <c r="G65" s="150" t="s">
        <v>782</v>
      </c>
      <c r="H65" s="150">
        <v>0</v>
      </c>
      <c r="I65" s="150">
        <v>192909926</v>
      </c>
      <c r="J65" s="150" t="s">
        <v>1203</v>
      </c>
      <c r="K65" s="150">
        <v>0</v>
      </c>
      <c r="L65" s="150">
        <v>0</v>
      </c>
      <c r="M65" s="150">
        <v>0</v>
      </c>
      <c r="N65" s="150">
        <v>0</v>
      </c>
      <c r="O65" s="150">
        <v>1194043</v>
      </c>
      <c r="P65" s="150">
        <v>792296</v>
      </c>
      <c r="Q65" s="150">
        <v>611394</v>
      </c>
    </row>
    <row r="66" spans="1:18" x14ac:dyDescent="0.25">
      <c r="A66" t="str">
        <f t="shared" si="0"/>
        <v>6-2-6</v>
      </c>
      <c r="B66">
        <v>6</v>
      </c>
      <c r="C66" s="150" t="s">
        <v>1159</v>
      </c>
      <c r="D66" s="150">
        <v>2</v>
      </c>
      <c r="E66" s="150" t="s">
        <v>110</v>
      </c>
      <c r="F66" s="150">
        <v>6</v>
      </c>
      <c r="G66" s="150" t="s">
        <v>218</v>
      </c>
      <c r="H66" s="150">
        <v>2649210</v>
      </c>
      <c r="I66" s="150">
        <v>192909926</v>
      </c>
      <c r="J66" s="150" t="s">
        <v>1203</v>
      </c>
      <c r="K66" s="150">
        <v>413387</v>
      </c>
      <c r="L66" s="150">
        <v>149458</v>
      </c>
      <c r="M66" s="150">
        <v>43818.39</v>
      </c>
      <c r="N66" s="150">
        <v>0</v>
      </c>
      <c r="O66" s="150">
        <f>12832968+O65</f>
        <v>14027011</v>
      </c>
      <c r="P66" s="150">
        <f>13192018+P65</f>
        <v>13984314</v>
      </c>
      <c r="Q66" s="150">
        <v>13890283.390000001</v>
      </c>
      <c r="R66" s="150">
        <v>14501677.390000001</v>
      </c>
    </row>
    <row r="67" spans="1:18" x14ac:dyDescent="0.25">
      <c r="A67" t="str">
        <f t="shared" si="0"/>
        <v>6-14-57</v>
      </c>
      <c r="B67">
        <v>6</v>
      </c>
      <c r="C67" s="150" t="s">
        <v>1159</v>
      </c>
      <c r="D67" s="150">
        <v>14</v>
      </c>
      <c r="E67" s="150" t="s">
        <v>665</v>
      </c>
      <c r="F67" s="150">
        <v>57</v>
      </c>
      <c r="G67" s="150" t="s">
        <v>784</v>
      </c>
      <c r="H67" s="150">
        <v>9709</v>
      </c>
      <c r="I67" s="150">
        <v>22328323</v>
      </c>
      <c r="J67" s="150" t="s">
        <v>1203</v>
      </c>
      <c r="K67" s="150">
        <v>5129</v>
      </c>
      <c r="L67" s="150">
        <v>1850</v>
      </c>
      <c r="M67" s="150">
        <v>944.31999999999994</v>
      </c>
      <c r="N67" s="150">
        <v>0</v>
      </c>
      <c r="O67" s="150">
        <v>306091</v>
      </c>
      <c r="P67" s="150">
        <v>320726</v>
      </c>
      <c r="Q67" s="150">
        <v>339281.32</v>
      </c>
      <c r="R67" s="150">
        <v>339281.32</v>
      </c>
    </row>
    <row r="68" spans="1:18" x14ac:dyDescent="0.25">
      <c r="A68" t="str">
        <f t="shared" ref="A68:A131" si="1">B68&amp;"-"&amp;D68&amp;"-"&amp;F68</f>
        <v>6-4-19</v>
      </c>
      <c r="B68">
        <v>6</v>
      </c>
      <c r="C68" s="150" t="s">
        <v>1159</v>
      </c>
      <c r="D68" s="150">
        <v>4</v>
      </c>
      <c r="E68" s="150" t="s">
        <v>146</v>
      </c>
      <c r="F68" s="150">
        <v>19</v>
      </c>
      <c r="G68" s="150" t="s">
        <v>772</v>
      </c>
      <c r="H68" s="150">
        <v>0</v>
      </c>
      <c r="I68" s="150">
        <v>63801702</v>
      </c>
      <c r="J68" s="150" t="s">
        <v>1203</v>
      </c>
      <c r="K68" s="150">
        <v>28883</v>
      </c>
      <c r="L68" s="150">
        <v>49732</v>
      </c>
      <c r="M68" s="150">
        <v>15392.57</v>
      </c>
      <c r="N68" s="150">
        <v>0</v>
      </c>
      <c r="O68" s="150">
        <v>78615</v>
      </c>
      <c r="P68" s="150">
        <v>78615</v>
      </c>
      <c r="Q68" s="150">
        <v>0</v>
      </c>
      <c r="R68" s="150">
        <v>78615</v>
      </c>
    </row>
    <row r="69" spans="1:18" x14ac:dyDescent="0.25">
      <c r="A69" t="str">
        <f t="shared" si="1"/>
        <v>6-9-4</v>
      </c>
      <c r="B69">
        <v>6</v>
      </c>
      <c r="C69" s="150" t="s">
        <v>1159</v>
      </c>
      <c r="D69" s="150">
        <v>9</v>
      </c>
      <c r="E69" s="150" t="s">
        <v>683</v>
      </c>
      <c r="F69" s="150">
        <v>4</v>
      </c>
      <c r="G69" s="150" t="s">
        <v>780</v>
      </c>
      <c r="H69" s="150">
        <v>63073</v>
      </c>
      <c r="I69" s="150">
        <v>0</v>
      </c>
      <c r="J69" s="150" t="s">
        <v>1203</v>
      </c>
      <c r="K69" s="150">
        <v>43897</v>
      </c>
      <c r="L69" s="150">
        <v>7062</v>
      </c>
      <c r="M69" s="150">
        <v>2350.13</v>
      </c>
      <c r="N69" s="150">
        <v>0</v>
      </c>
      <c r="O69" s="150">
        <v>1009130</v>
      </c>
      <c r="P69" s="150">
        <v>1037959</v>
      </c>
      <c r="Q69" s="150">
        <v>1087191.1299999999</v>
      </c>
      <c r="R69" s="150">
        <v>1087191.1299999999</v>
      </c>
    </row>
    <row r="70" spans="1:18" x14ac:dyDescent="0.25">
      <c r="A70" t="str">
        <f t="shared" si="1"/>
        <v>7-2-7</v>
      </c>
      <c r="B70">
        <v>7</v>
      </c>
      <c r="C70" s="150" t="s">
        <v>1199</v>
      </c>
      <c r="D70" s="150">
        <v>2</v>
      </c>
      <c r="E70" s="150" t="s">
        <v>110</v>
      </c>
      <c r="F70" s="150">
        <v>7</v>
      </c>
      <c r="G70" s="150" t="s">
        <v>239</v>
      </c>
      <c r="H70" s="150">
        <v>0</v>
      </c>
      <c r="I70" s="150">
        <v>97606329</v>
      </c>
      <c r="J70" s="150" t="s">
        <v>1203</v>
      </c>
      <c r="K70" s="150">
        <v>71016</v>
      </c>
      <c r="L70" s="150">
        <v>29739</v>
      </c>
      <c r="M70" s="150">
        <v>5943.58</v>
      </c>
      <c r="N70" s="150">
        <v>0</v>
      </c>
      <c r="O70" s="150">
        <v>11811496</v>
      </c>
      <c r="P70" s="150">
        <v>12215829</v>
      </c>
      <c r="Q70" s="150">
        <v>12689177.42</v>
      </c>
      <c r="R70" s="150">
        <v>12689177.58</v>
      </c>
    </row>
    <row r="71" spans="1:18" x14ac:dyDescent="0.25">
      <c r="A71" t="str">
        <f t="shared" si="1"/>
        <v>7-5-11</v>
      </c>
      <c r="B71">
        <v>7</v>
      </c>
      <c r="C71" s="150" t="s">
        <v>1199</v>
      </c>
      <c r="D71" s="150">
        <v>5</v>
      </c>
      <c r="E71" s="150" t="s">
        <v>286</v>
      </c>
      <c r="F71" s="150">
        <v>11</v>
      </c>
      <c r="G71" s="150" t="s">
        <v>245</v>
      </c>
      <c r="H71" s="150">
        <v>0</v>
      </c>
      <c r="I71" s="150">
        <v>97606329</v>
      </c>
      <c r="J71" s="150" t="s">
        <v>1203</v>
      </c>
      <c r="K71" s="150">
        <v>8708</v>
      </c>
      <c r="L71" s="150">
        <v>5526</v>
      </c>
      <c r="M71" s="150">
        <v>1138.0899999999999</v>
      </c>
      <c r="N71" s="150">
        <v>0</v>
      </c>
      <c r="O71" s="150">
        <v>2451288</v>
      </c>
      <c r="P71" s="150">
        <v>2542457</v>
      </c>
      <c r="Q71" s="150">
        <v>2640973.77</v>
      </c>
      <c r="R71" s="150">
        <v>2640974.09</v>
      </c>
    </row>
    <row r="72" spans="1:18" x14ac:dyDescent="0.25">
      <c r="A72" t="str">
        <f t="shared" si="1"/>
        <v>7-17-1</v>
      </c>
      <c r="B72">
        <v>7</v>
      </c>
      <c r="C72" s="150" t="s">
        <v>1199</v>
      </c>
      <c r="D72" s="150">
        <v>17</v>
      </c>
      <c r="E72" s="150" t="s">
        <v>688</v>
      </c>
      <c r="F72" s="150">
        <v>1</v>
      </c>
      <c r="G72" s="150" t="s">
        <v>794</v>
      </c>
      <c r="H72" s="150">
        <v>0</v>
      </c>
      <c r="I72" s="150">
        <v>97606329</v>
      </c>
      <c r="J72" s="150" t="s">
        <v>1203</v>
      </c>
      <c r="K72" s="150">
        <v>913</v>
      </c>
      <c r="L72" s="150">
        <v>9305</v>
      </c>
      <c r="M72" s="150">
        <v>731.74</v>
      </c>
      <c r="N72" s="150">
        <v>0</v>
      </c>
      <c r="O72" s="150">
        <v>1577352</v>
      </c>
      <c r="P72" s="150">
        <v>1636017</v>
      </c>
      <c r="Q72" s="150">
        <v>1699411.31</v>
      </c>
      <c r="R72" s="150">
        <v>1699411.74</v>
      </c>
    </row>
    <row r="73" spans="1:18" x14ac:dyDescent="0.25">
      <c r="A73" t="str">
        <f t="shared" si="1"/>
        <v>7-4-24</v>
      </c>
      <c r="B73">
        <v>7</v>
      </c>
      <c r="C73" s="150" t="s">
        <v>1199</v>
      </c>
      <c r="D73" s="150">
        <v>4</v>
      </c>
      <c r="E73" s="150" t="s">
        <v>146</v>
      </c>
      <c r="F73" s="150">
        <v>24</v>
      </c>
      <c r="G73" s="150" t="s">
        <v>787</v>
      </c>
      <c r="H73" s="150">
        <v>0</v>
      </c>
      <c r="I73" s="150">
        <v>97606329</v>
      </c>
      <c r="J73" s="150" t="s">
        <v>1203</v>
      </c>
      <c r="K73" s="150">
        <v>2858</v>
      </c>
      <c r="L73" s="150">
        <v>117814</v>
      </c>
      <c r="M73" s="150">
        <v>16762.809999999998</v>
      </c>
      <c r="N73" s="150">
        <v>0</v>
      </c>
      <c r="O73" s="150">
        <v>75653</v>
      </c>
      <c r="P73" s="150">
        <v>78467</v>
      </c>
      <c r="Q73" s="150">
        <v>138996</v>
      </c>
      <c r="R73" s="150">
        <v>138996</v>
      </c>
    </row>
    <row r="74" spans="1:18" x14ac:dyDescent="0.25">
      <c r="A74" t="str">
        <f t="shared" si="1"/>
        <v>24-9-5</v>
      </c>
      <c r="B74">
        <v>24</v>
      </c>
      <c r="C74" s="150" t="s">
        <v>1176</v>
      </c>
      <c r="D74" s="150">
        <v>9</v>
      </c>
      <c r="E74" s="150" t="s">
        <v>683</v>
      </c>
      <c r="F74" s="150">
        <v>5</v>
      </c>
      <c r="G74" s="150" t="s">
        <v>653</v>
      </c>
      <c r="H74" s="150">
        <v>0</v>
      </c>
      <c r="I74" s="150">
        <v>462000</v>
      </c>
      <c r="J74" s="150">
        <v>1</v>
      </c>
      <c r="K74" s="150">
        <v>2011</v>
      </c>
      <c r="L74" s="150">
        <v>538</v>
      </c>
      <c r="M74" s="150">
        <v>169.92</v>
      </c>
      <c r="N74" s="150">
        <v>0</v>
      </c>
      <c r="O74" s="150">
        <v>49041</v>
      </c>
      <c r="P74" s="150">
        <v>50512</v>
      </c>
      <c r="Q74" s="150">
        <v>52336.92</v>
      </c>
      <c r="R74" s="150">
        <v>52336.92</v>
      </c>
    </row>
    <row r="75" spans="1:18" x14ac:dyDescent="0.25">
      <c r="A75" t="str">
        <f t="shared" si="1"/>
        <v>42-9-5</v>
      </c>
      <c r="B75">
        <v>42</v>
      </c>
      <c r="C75" s="150" t="s">
        <v>1194</v>
      </c>
      <c r="D75" s="150">
        <v>9</v>
      </c>
      <c r="E75" s="150" t="s">
        <v>683</v>
      </c>
      <c r="F75" s="150">
        <v>5</v>
      </c>
      <c r="G75" s="150" t="s">
        <v>653</v>
      </c>
      <c r="H75" s="150">
        <v>0</v>
      </c>
      <c r="I75" s="150">
        <v>0</v>
      </c>
      <c r="J75" s="150">
        <v>1</v>
      </c>
      <c r="K75" s="150">
        <v>2011</v>
      </c>
      <c r="L75" s="150">
        <v>538</v>
      </c>
      <c r="M75" s="150">
        <v>169.92</v>
      </c>
      <c r="N75" s="150">
        <v>0</v>
      </c>
      <c r="O75" s="150">
        <v>49041</v>
      </c>
      <c r="P75" s="150">
        <v>50512</v>
      </c>
      <c r="Q75" s="150">
        <v>52336.92</v>
      </c>
      <c r="R75" s="150">
        <v>52336.92</v>
      </c>
    </row>
    <row r="76" spans="1:18" x14ac:dyDescent="0.25">
      <c r="A76" t="str">
        <f t="shared" si="1"/>
        <v>24-11-2</v>
      </c>
      <c r="B76">
        <v>24</v>
      </c>
      <c r="C76" s="150" t="s">
        <v>1176</v>
      </c>
      <c r="D76" s="150">
        <v>11</v>
      </c>
      <c r="E76" s="150" t="s">
        <v>1204</v>
      </c>
      <c r="F76" s="150">
        <v>2</v>
      </c>
      <c r="G76" s="150" t="s">
        <v>443</v>
      </c>
      <c r="H76" s="150">
        <v>0</v>
      </c>
      <c r="I76" s="150">
        <v>52447963</v>
      </c>
      <c r="J76" s="150" t="s">
        <v>1203</v>
      </c>
      <c r="K76" s="150">
        <v>3874</v>
      </c>
      <c r="L76" s="150">
        <v>1621</v>
      </c>
      <c r="M76" s="150">
        <v>738.87</v>
      </c>
      <c r="N76" s="150">
        <v>0</v>
      </c>
      <c r="O76" s="150">
        <v>126358</v>
      </c>
      <c r="P76" s="150">
        <v>130149</v>
      </c>
      <c r="Q76" s="150">
        <v>135082.87</v>
      </c>
      <c r="R76" s="150">
        <v>135082.87</v>
      </c>
    </row>
    <row r="77" spans="1:18" x14ac:dyDescent="0.25">
      <c r="A77" t="str">
        <f t="shared" si="1"/>
        <v>20-4-89</v>
      </c>
      <c r="B77">
        <v>20</v>
      </c>
      <c r="C77" s="150" t="s">
        <v>1172</v>
      </c>
      <c r="D77" s="150">
        <v>4</v>
      </c>
      <c r="E77" s="150" t="s">
        <v>146</v>
      </c>
      <c r="F77" s="150">
        <v>89</v>
      </c>
      <c r="G77" s="150" t="s">
        <v>929</v>
      </c>
      <c r="H77" s="150">
        <v>0</v>
      </c>
      <c r="I77" s="150">
        <v>1220791</v>
      </c>
      <c r="J77" s="150">
        <v>1</v>
      </c>
      <c r="K77" s="150">
        <v>0</v>
      </c>
      <c r="L77" s="150">
        <v>2806</v>
      </c>
      <c r="M77" s="150">
        <v>862.56000000000006</v>
      </c>
      <c r="N77" s="150">
        <v>0</v>
      </c>
      <c r="O77" s="150">
        <v>11752</v>
      </c>
      <c r="P77" s="150">
        <v>12105</v>
      </c>
      <c r="Q77" s="150">
        <v>12572</v>
      </c>
      <c r="R77" s="150">
        <v>12572</v>
      </c>
    </row>
    <row r="78" spans="1:18" x14ac:dyDescent="0.25">
      <c r="A78" t="str">
        <f t="shared" si="1"/>
        <v>24-4-89</v>
      </c>
      <c r="B78">
        <v>24</v>
      </c>
      <c r="C78" s="150" t="s">
        <v>1176</v>
      </c>
      <c r="D78" s="150">
        <v>4</v>
      </c>
      <c r="E78" s="150" t="s">
        <v>146</v>
      </c>
      <c r="F78" s="150">
        <v>89</v>
      </c>
      <c r="G78" s="150" t="s">
        <v>929</v>
      </c>
      <c r="H78" s="150">
        <v>0</v>
      </c>
      <c r="I78" s="150">
        <v>42677164</v>
      </c>
      <c r="J78" s="150">
        <v>1</v>
      </c>
      <c r="K78" s="150">
        <v>0</v>
      </c>
      <c r="L78" s="150">
        <v>2806</v>
      </c>
      <c r="M78" s="150">
        <v>862.56000000000006</v>
      </c>
      <c r="N78" s="150">
        <v>0</v>
      </c>
      <c r="O78" s="150">
        <v>11752</v>
      </c>
      <c r="P78" s="150">
        <v>12105</v>
      </c>
      <c r="Q78" s="150">
        <v>12572</v>
      </c>
      <c r="R78" s="150">
        <v>12572</v>
      </c>
    </row>
    <row r="79" spans="1:18" x14ac:dyDescent="0.25">
      <c r="A79" t="str">
        <f t="shared" si="1"/>
        <v>42-4-89</v>
      </c>
      <c r="B79">
        <v>42</v>
      </c>
      <c r="C79" s="150" t="s">
        <v>1194</v>
      </c>
      <c r="D79" s="150">
        <v>4</v>
      </c>
      <c r="E79" s="150" t="s">
        <v>146</v>
      </c>
      <c r="F79" s="150">
        <v>89</v>
      </c>
      <c r="G79" s="150" t="s">
        <v>929</v>
      </c>
      <c r="H79" s="150">
        <v>0</v>
      </c>
      <c r="I79" s="150">
        <v>163472</v>
      </c>
      <c r="J79" s="150">
        <v>1</v>
      </c>
      <c r="K79" s="150">
        <v>0</v>
      </c>
      <c r="L79" s="150">
        <v>2806</v>
      </c>
      <c r="M79" s="150">
        <v>862.56000000000006</v>
      </c>
      <c r="N79" s="150">
        <v>0</v>
      </c>
      <c r="O79" s="150">
        <v>11752</v>
      </c>
      <c r="P79" s="150">
        <v>12105</v>
      </c>
      <c r="Q79" s="150">
        <v>12572</v>
      </c>
      <c r="R79" s="150">
        <v>12572</v>
      </c>
    </row>
    <row r="80" spans="1:18" x14ac:dyDescent="0.25">
      <c r="A80" t="str">
        <f t="shared" si="1"/>
        <v>4-7-12</v>
      </c>
      <c r="B80">
        <v>4</v>
      </c>
      <c r="C80" s="150" t="s">
        <v>1196</v>
      </c>
      <c r="D80" s="150">
        <v>7</v>
      </c>
      <c r="E80" s="150" t="s">
        <v>681</v>
      </c>
      <c r="F80" s="150">
        <v>12</v>
      </c>
      <c r="G80" s="150" t="s">
        <v>205</v>
      </c>
      <c r="H80" s="150">
        <v>0</v>
      </c>
      <c r="I80" s="150">
        <v>1090458</v>
      </c>
      <c r="J80" s="150" t="s">
        <v>1203</v>
      </c>
      <c r="K80" s="150">
        <v>113</v>
      </c>
      <c r="L80" s="150">
        <v>55</v>
      </c>
      <c r="M80" s="150">
        <v>2.44</v>
      </c>
      <c r="N80" s="150">
        <v>0</v>
      </c>
      <c r="O80" s="150">
        <v>5087</v>
      </c>
      <c r="P80" s="150">
        <v>5243</v>
      </c>
      <c r="Q80" s="150">
        <v>5426.44</v>
      </c>
      <c r="R80" s="150">
        <v>5426.44</v>
      </c>
    </row>
    <row r="81" spans="1:19" x14ac:dyDescent="0.25">
      <c r="A81" t="str">
        <f t="shared" si="1"/>
        <v>8-14-4</v>
      </c>
      <c r="B81">
        <v>8</v>
      </c>
      <c r="C81" s="150" t="s">
        <v>1160</v>
      </c>
      <c r="D81" s="150">
        <v>14</v>
      </c>
      <c r="E81" s="150" t="s">
        <v>665</v>
      </c>
      <c r="F81" s="150">
        <v>4</v>
      </c>
      <c r="G81" s="150" t="s">
        <v>260</v>
      </c>
      <c r="H81" s="150">
        <v>0</v>
      </c>
      <c r="I81" s="150">
        <v>9190767</v>
      </c>
      <c r="J81" s="150" t="s">
        <v>1203</v>
      </c>
      <c r="K81" s="150">
        <v>61</v>
      </c>
      <c r="L81" s="150">
        <v>3277</v>
      </c>
      <c r="M81" s="150">
        <v>252.62</v>
      </c>
      <c r="N81" s="150">
        <v>0</v>
      </c>
      <c r="O81" s="150">
        <v>247895</v>
      </c>
      <c r="P81" s="150">
        <v>258258</v>
      </c>
      <c r="Q81" s="150">
        <v>270149.62</v>
      </c>
      <c r="R81" s="150">
        <v>270149.62</v>
      </c>
    </row>
    <row r="82" spans="1:19" x14ac:dyDescent="0.25">
      <c r="A82" t="str">
        <f t="shared" si="1"/>
        <v>8-11-76</v>
      </c>
      <c r="B82">
        <v>8</v>
      </c>
      <c r="C82" s="150" t="s">
        <v>1160</v>
      </c>
      <c r="D82" s="150">
        <v>11</v>
      </c>
      <c r="E82" s="150" t="s">
        <v>1204</v>
      </c>
      <c r="F82" s="150">
        <v>76</v>
      </c>
      <c r="G82" s="150" t="s">
        <v>804</v>
      </c>
      <c r="H82" s="150">
        <v>0</v>
      </c>
      <c r="I82" s="150">
        <v>24462862</v>
      </c>
      <c r="J82" s="150" t="s">
        <v>1203</v>
      </c>
      <c r="K82" s="150">
        <v>0</v>
      </c>
      <c r="L82" s="150">
        <v>0</v>
      </c>
      <c r="M82" s="150">
        <v>0</v>
      </c>
      <c r="N82" s="150">
        <v>0</v>
      </c>
      <c r="O82" s="150">
        <v>150000</v>
      </c>
      <c r="P82" s="150">
        <v>0</v>
      </c>
      <c r="Q82" s="150">
        <v>0</v>
      </c>
    </row>
    <row r="83" spans="1:19" x14ac:dyDescent="0.25">
      <c r="A83" t="str">
        <f t="shared" si="1"/>
        <v>8-2-8</v>
      </c>
      <c r="B83">
        <v>8</v>
      </c>
      <c r="C83" s="150" t="s">
        <v>1160</v>
      </c>
      <c r="D83" s="150">
        <v>2</v>
      </c>
      <c r="E83" s="150" t="s">
        <v>110</v>
      </c>
      <c r="F83" s="150">
        <v>8</v>
      </c>
      <c r="G83" s="150" t="s">
        <v>252</v>
      </c>
      <c r="H83" s="150">
        <v>36827</v>
      </c>
      <c r="I83" s="150">
        <v>24462862</v>
      </c>
      <c r="J83" s="150" t="s">
        <v>1203</v>
      </c>
      <c r="K83" s="150">
        <v>2528</v>
      </c>
      <c r="L83" s="150">
        <v>49641</v>
      </c>
      <c r="M83" s="150">
        <v>4823.0999999999995</v>
      </c>
      <c r="N83" s="150">
        <v>0</v>
      </c>
      <c r="O83" s="150">
        <f>4918114+O82</f>
        <v>5068114</v>
      </c>
      <c r="P83" s="150">
        <v>5346724</v>
      </c>
      <c r="Q83" s="150">
        <v>5651412.0999999996</v>
      </c>
      <c r="R83" s="150">
        <v>5651412.0999999996</v>
      </c>
    </row>
    <row r="84" spans="1:19" x14ac:dyDescent="0.25">
      <c r="A84" t="str">
        <f t="shared" si="1"/>
        <v>1-4-1</v>
      </c>
      <c r="B84">
        <v>1</v>
      </c>
      <c r="C84" s="150" t="s">
        <v>1155</v>
      </c>
      <c r="D84" s="150">
        <v>4</v>
      </c>
      <c r="E84" s="150" t="s">
        <v>146</v>
      </c>
      <c r="F84" s="150">
        <v>1</v>
      </c>
      <c r="G84" s="150" t="s">
        <v>700</v>
      </c>
      <c r="H84" s="150">
        <v>0</v>
      </c>
      <c r="I84" s="150">
        <v>450392640</v>
      </c>
      <c r="J84" s="150">
        <v>1</v>
      </c>
      <c r="K84" s="150">
        <v>4279</v>
      </c>
      <c r="L84" s="150">
        <v>331805</v>
      </c>
      <c r="M84" s="150">
        <v>51943</v>
      </c>
      <c r="N84" s="150">
        <v>0</v>
      </c>
      <c r="O84" s="150">
        <v>626260</v>
      </c>
      <c r="P84" s="150">
        <v>645047</v>
      </c>
      <c r="Q84" s="150">
        <v>671991</v>
      </c>
      <c r="R84" s="150">
        <v>671991</v>
      </c>
    </row>
    <row r="85" spans="1:19" x14ac:dyDescent="0.25">
      <c r="A85" t="str">
        <f t="shared" si="1"/>
        <v>8-4-1</v>
      </c>
      <c r="B85">
        <v>8</v>
      </c>
      <c r="C85" s="150" t="s">
        <v>1160</v>
      </c>
      <c r="D85" s="150">
        <v>4</v>
      </c>
      <c r="E85" s="150" t="s">
        <v>146</v>
      </c>
      <c r="F85" s="150">
        <v>1</v>
      </c>
      <c r="G85" s="150" t="s">
        <v>700</v>
      </c>
      <c r="H85" s="150">
        <v>0</v>
      </c>
      <c r="I85" s="150">
        <v>159568</v>
      </c>
      <c r="J85" s="150">
        <v>1</v>
      </c>
      <c r="K85" s="150">
        <v>4279</v>
      </c>
      <c r="L85" s="150">
        <v>331805</v>
      </c>
      <c r="M85" s="150">
        <v>51943</v>
      </c>
      <c r="N85" s="150">
        <v>0</v>
      </c>
      <c r="O85" s="150">
        <v>626260</v>
      </c>
      <c r="P85" s="150">
        <v>645047</v>
      </c>
      <c r="Q85" s="150">
        <v>671991</v>
      </c>
      <c r="R85" s="150">
        <v>671991</v>
      </c>
    </row>
    <row r="86" spans="1:19" x14ac:dyDescent="0.25">
      <c r="A86" t="str">
        <f t="shared" si="1"/>
        <v>9-11-105</v>
      </c>
      <c r="B86">
        <v>9</v>
      </c>
      <c r="C86" s="150" t="s">
        <v>1161</v>
      </c>
      <c r="D86" s="150">
        <v>11</v>
      </c>
      <c r="E86" s="150" t="s">
        <v>1204</v>
      </c>
      <c r="F86" s="150">
        <v>105</v>
      </c>
      <c r="G86" s="150" t="s">
        <v>820</v>
      </c>
      <c r="H86" s="150">
        <v>0</v>
      </c>
      <c r="I86" s="150">
        <v>367719454</v>
      </c>
      <c r="J86" s="150"/>
      <c r="K86" s="150">
        <v>0</v>
      </c>
      <c r="L86" s="150">
        <v>0</v>
      </c>
      <c r="M86" s="150">
        <v>0</v>
      </c>
      <c r="N86" s="150">
        <v>0</v>
      </c>
      <c r="O86" s="150">
        <v>4361174</v>
      </c>
      <c r="P86" s="150">
        <v>5822314</v>
      </c>
      <c r="Q86" s="150">
        <v>6312133</v>
      </c>
    </row>
    <row r="87" spans="1:19" x14ac:dyDescent="0.25">
      <c r="A87" t="str">
        <f t="shared" si="1"/>
        <v>9-2-9</v>
      </c>
      <c r="B87">
        <v>9</v>
      </c>
      <c r="C87" s="150" t="s">
        <v>1161</v>
      </c>
      <c r="D87" s="150">
        <v>2</v>
      </c>
      <c r="E87" s="150" t="s">
        <v>110</v>
      </c>
      <c r="F87" s="150">
        <v>9</v>
      </c>
      <c r="G87" s="150" t="s">
        <v>263</v>
      </c>
      <c r="H87" s="150">
        <v>24181</v>
      </c>
      <c r="I87" s="150">
        <v>426274558</v>
      </c>
      <c r="J87" s="150"/>
      <c r="K87" s="150">
        <v>35223</v>
      </c>
      <c r="L87" s="150">
        <v>213786</v>
      </c>
      <c r="M87" s="150">
        <v>41098.929999999993</v>
      </c>
      <c r="N87" s="150">
        <v>0</v>
      </c>
      <c r="O87" s="150">
        <v>25262815</v>
      </c>
      <c r="P87" s="150">
        <v>26623786</v>
      </c>
      <c r="Q87" s="150">
        <v>27690134.93</v>
      </c>
      <c r="R87" s="150" t="s">
        <v>1314</v>
      </c>
      <c r="S87" s="150" t="s">
        <v>1314</v>
      </c>
    </row>
    <row r="88" spans="1:19" x14ac:dyDescent="0.25">
      <c r="A88" t="str">
        <f t="shared" si="1"/>
        <v>9-5-24</v>
      </c>
      <c r="B88">
        <v>9</v>
      </c>
      <c r="C88" s="150" t="s">
        <v>1161</v>
      </c>
      <c r="D88" s="150">
        <v>5</v>
      </c>
      <c r="E88" s="150" t="s">
        <v>286</v>
      </c>
      <c r="F88" s="150">
        <v>24</v>
      </c>
      <c r="G88" s="150" t="s">
        <v>808</v>
      </c>
      <c r="H88" s="150">
        <v>573228</v>
      </c>
      <c r="I88" s="150">
        <v>426274558</v>
      </c>
      <c r="J88" s="150" t="s">
        <v>1203</v>
      </c>
      <c r="K88" s="150">
        <v>0</v>
      </c>
      <c r="L88" s="150">
        <v>23934</v>
      </c>
      <c r="M88" s="150">
        <v>3756.71</v>
      </c>
      <c r="N88" s="150">
        <v>0</v>
      </c>
      <c r="O88" s="150">
        <v>2647662</v>
      </c>
      <c r="P88" s="150">
        <v>2795768</v>
      </c>
      <c r="Q88" s="150">
        <v>2929414.71</v>
      </c>
      <c r="R88" s="150">
        <v>2929414.71</v>
      </c>
    </row>
    <row r="89" spans="1:19" x14ac:dyDescent="0.25">
      <c r="A89" t="str">
        <f t="shared" si="1"/>
        <v>10-9-133</v>
      </c>
      <c r="B89">
        <v>10</v>
      </c>
      <c r="C89" s="150" t="s">
        <v>1162</v>
      </c>
      <c r="D89" s="150">
        <v>9</v>
      </c>
      <c r="E89" s="150" t="s">
        <v>683</v>
      </c>
      <c r="F89" s="150">
        <v>133</v>
      </c>
      <c r="G89" s="150" t="s">
        <v>834</v>
      </c>
      <c r="H89" s="150">
        <v>2337</v>
      </c>
      <c r="I89" s="150">
        <v>0</v>
      </c>
      <c r="J89" s="150" t="s">
        <v>1203</v>
      </c>
      <c r="K89" s="150">
        <v>294</v>
      </c>
      <c r="L89" s="150">
        <v>0</v>
      </c>
      <c r="M89" s="150">
        <v>0</v>
      </c>
      <c r="N89" s="150">
        <v>0</v>
      </c>
      <c r="O89" s="150">
        <v>9000</v>
      </c>
      <c r="P89" s="150">
        <v>9000</v>
      </c>
      <c r="Q89" s="150">
        <v>9000</v>
      </c>
      <c r="R89" s="150">
        <v>9000</v>
      </c>
    </row>
    <row r="90" spans="1:19" x14ac:dyDescent="0.25">
      <c r="A90" t="str">
        <f t="shared" si="1"/>
        <v>10-11-77</v>
      </c>
      <c r="B90">
        <v>10</v>
      </c>
      <c r="C90" s="150" t="s">
        <v>1162</v>
      </c>
      <c r="D90" s="150">
        <v>11</v>
      </c>
      <c r="E90" s="150" t="s">
        <v>1204</v>
      </c>
      <c r="F90" s="150">
        <v>77</v>
      </c>
      <c r="G90" s="150" t="s">
        <v>835</v>
      </c>
      <c r="H90" s="150">
        <v>0</v>
      </c>
      <c r="I90" s="150">
        <v>121556048</v>
      </c>
      <c r="J90" s="150" t="s">
        <v>1203</v>
      </c>
      <c r="K90" s="150">
        <v>0</v>
      </c>
      <c r="L90" s="150">
        <v>0</v>
      </c>
      <c r="M90" s="150">
        <v>0</v>
      </c>
      <c r="N90" s="150">
        <v>0</v>
      </c>
      <c r="O90" s="150">
        <v>700000</v>
      </c>
      <c r="P90" s="150">
        <v>700000</v>
      </c>
      <c r="Q90" s="150">
        <v>600000</v>
      </c>
    </row>
    <row r="91" spans="1:19" x14ac:dyDescent="0.25">
      <c r="A91" t="str">
        <f t="shared" si="1"/>
        <v>10-5-12</v>
      </c>
      <c r="B91">
        <v>10</v>
      </c>
      <c r="C91" s="150" t="s">
        <v>1162</v>
      </c>
      <c r="D91" s="150">
        <v>5</v>
      </c>
      <c r="E91" s="150" t="s">
        <v>286</v>
      </c>
      <c r="F91" s="150">
        <v>12</v>
      </c>
      <c r="G91" s="150" t="s">
        <v>829</v>
      </c>
      <c r="H91" s="150">
        <v>227215</v>
      </c>
      <c r="I91" s="150">
        <v>121556048</v>
      </c>
      <c r="J91" s="150" t="s">
        <v>1203</v>
      </c>
      <c r="K91" s="150">
        <v>12347</v>
      </c>
      <c r="L91" s="150">
        <v>29413</v>
      </c>
      <c r="M91" s="150">
        <v>9762.9800000000014</v>
      </c>
      <c r="N91" s="150">
        <v>0</v>
      </c>
      <c r="O91" s="150">
        <v>3082343</v>
      </c>
      <c r="P91" s="150">
        <v>3194660</v>
      </c>
      <c r="Q91" s="150">
        <v>3382036.98</v>
      </c>
      <c r="R91" s="150">
        <v>3382036.98</v>
      </c>
    </row>
    <row r="92" spans="1:19" x14ac:dyDescent="0.25">
      <c r="A92" t="str">
        <f t="shared" si="1"/>
        <v>10-2-10</v>
      </c>
      <c r="B92">
        <v>10</v>
      </c>
      <c r="C92" s="150" t="s">
        <v>1162</v>
      </c>
      <c r="D92" s="150">
        <v>2</v>
      </c>
      <c r="E92" s="150" t="s">
        <v>110</v>
      </c>
      <c r="F92" s="150">
        <v>10</v>
      </c>
      <c r="G92" s="150" t="s">
        <v>279</v>
      </c>
      <c r="H92" s="150">
        <v>4141817</v>
      </c>
      <c r="I92" s="150">
        <v>121556048</v>
      </c>
      <c r="J92" s="150" t="s">
        <v>1203</v>
      </c>
      <c r="K92" s="150">
        <v>191843</v>
      </c>
      <c r="L92" s="150">
        <v>337284</v>
      </c>
      <c r="M92" s="150">
        <v>116573.25</v>
      </c>
      <c r="N92" s="150">
        <v>0</v>
      </c>
      <c r="O92" s="150">
        <f>34989305+O90</f>
        <v>35689305</v>
      </c>
      <c r="P92" s="150">
        <f>37068545+P90</f>
        <v>37768545</v>
      </c>
      <c r="Q92" s="150">
        <v>39772448.25</v>
      </c>
      <c r="R92" s="150">
        <v>40372448.25</v>
      </c>
    </row>
    <row r="93" spans="1:19" x14ac:dyDescent="0.25">
      <c r="A93" t="str">
        <f t="shared" si="1"/>
        <v>6-4-31</v>
      </c>
      <c r="B93">
        <v>6</v>
      </c>
      <c r="C93" s="150" t="s">
        <v>1159</v>
      </c>
      <c r="D93" s="150">
        <v>4</v>
      </c>
      <c r="E93" s="150" t="s">
        <v>146</v>
      </c>
      <c r="F93" s="150">
        <v>31</v>
      </c>
      <c r="G93" s="150" t="s">
        <v>776</v>
      </c>
      <c r="H93" s="150">
        <v>0</v>
      </c>
      <c r="I93" s="150">
        <v>577878</v>
      </c>
      <c r="J93" s="150">
        <v>1</v>
      </c>
      <c r="K93" s="150">
        <v>41894</v>
      </c>
      <c r="L93" s="150">
        <v>206133</v>
      </c>
      <c r="M93" s="150">
        <v>37483.31</v>
      </c>
      <c r="N93" s="150">
        <v>0</v>
      </c>
      <c r="O93" s="150">
        <v>167742</v>
      </c>
      <c r="P93" s="150">
        <v>176143</v>
      </c>
      <c r="Q93" s="150">
        <v>185843</v>
      </c>
      <c r="R93" s="150">
        <v>185843</v>
      </c>
    </row>
    <row r="94" spans="1:19" x14ac:dyDescent="0.25">
      <c r="A94" t="str">
        <f t="shared" si="1"/>
        <v>10-4-31</v>
      </c>
      <c r="B94">
        <v>10</v>
      </c>
      <c r="C94" s="150" t="s">
        <v>1162</v>
      </c>
      <c r="D94" s="150">
        <v>4</v>
      </c>
      <c r="E94" s="150" t="s">
        <v>146</v>
      </c>
      <c r="F94" s="150">
        <v>31</v>
      </c>
      <c r="G94" s="150" t="s">
        <v>776</v>
      </c>
      <c r="H94" s="150">
        <v>0</v>
      </c>
      <c r="I94" s="150">
        <v>48321047</v>
      </c>
      <c r="J94" s="150">
        <v>1</v>
      </c>
      <c r="K94" s="150">
        <v>41894</v>
      </c>
      <c r="L94" s="150">
        <v>206133</v>
      </c>
      <c r="M94" s="150">
        <v>37483.31</v>
      </c>
      <c r="N94" s="150">
        <v>0</v>
      </c>
      <c r="O94" s="150">
        <v>167742</v>
      </c>
      <c r="P94" s="150">
        <v>176143</v>
      </c>
      <c r="Q94" s="150">
        <v>185843</v>
      </c>
      <c r="R94" s="150">
        <v>185843</v>
      </c>
    </row>
    <row r="95" spans="1:19" x14ac:dyDescent="0.25">
      <c r="A95" t="str">
        <f t="shared" si="1"/>
        <v>9-20-62</v>
      </c>
      <c r="B95">
        <v>9</v>
      </c>
      <c r="C95" s="150" t="s">
        <v>1161</v>
      </c>
      <c r="D95" s="150">
        <v>20</v>
      </c>
      <c r="E95" s="150" t="s">
        <v>238</v>
      </c>
      <c r="F95" s="150">
        <v>62</v>
      </c>
      <c r="G95" s="150" t="s">
        <v>825</v>
      </c>
      <c r="H95" s="150">
        <v>0</v>
      </c>
      <c r="I95" s="150">
        <v>814375</v>
      </c>
      <c r="J95" s="150" t="s">
        <v>1203</v>
      </c>
      <c r="K95" s="150">
        <v>0</v>
      </c>
      <c r="L95" s="150">
        <v>24</v>
      </c>
      <c r="M95" s="150">
        <v>0.28999999999999998</v>
      </c>
      <c r="N95" s="150">
        <v>0</v>
      </c>
      <c r="O95" s="150">
        <v>32621</v>
      </c>
      <c r="P95" s="150">
        <v>32931</v>
      </c>
      <c r="Q95" s="150">
        <v>34152.29</v>
      </c>
      <c r="R95" s="150">
        <v>34152.29</v>
      </c>
    </row>
    <row r="96" spans="1:19" x14ac:dyDescent="0.25">
      <c r="A96" t="str">
        <f t="shared" si="1"/>
        <v>11-5-29</v>
      </c>
      <c r="B96">
        <v>11</v>
      </c>
      <c r="C96" s="150" t="s">
        <v>1163</v>
      </c>
      <c r="D96" s="150">
        <v>5</v>
      </c>
      <c r="E96" s="150" t="s">
        <v>286</v>
      </c>
      <c r="F96" s="150">
        <v>29</v>
      </c>
      <c r="G96" s="150" t="s">
        <v>841</v>
      </c>
      <c r="H96" s="150">
        <v>16446</v>
      </c>
      <c r="I96" s="150">
        <v>192745864</v>
      </c>
      <c r="J96" s="150" t="s">
        <v>1203</v>
      </c>
      <c r="K96" s="150">
        <v>0</v>
      </c>
      <c r="L96" s="150">
        <v>5518</v>
      </c>
      <c r="M96" s="150">
        <v>1318.24</v>
      </c>
      <c r="N96" s="150">
        <v>0</v>
      </c>
      <c r="O96" s="150">
        <v>434173</v>
      </c>
      <c r="P96" s="150">
        <v>459549</v>
      </c>
      <c r="Q96" s="150">
        <v>486383.24</v>
      </c>
      <c r="R96" s="150">
        <v>486383.24</v>
      </c>
    </row>
    <row r="97" spans="1:18" x14ac:dyDescent="0.25">
      <c r="A97" t="str">
        <f t="shared" si="1"/>
        <v>11-14-5</v>
      </c>
      <c r="B97">
        <v>11</v>
      </c>
      <c r="C97" s="150" t="s">
        <v>1163</v>
      </c>
      <c r="D97" s="150">
        <v>14</v>
      </c>
      <c r="E97" s="150" t="s">
        <v>665</v>
      </c>
      <c r="F97" s="150">
        <v>5</v>
      </c>
      <c r="G97" s="150" t="s">
        <v>845</v>
      </c>
      <c r="H97" s="150">
        <v>0</v>
      </c>
      <c r="I97" s="150">
        <v>192745864</v>
      </c>
      <c r="J97" s="150" t="s">
        <v>1203</v>
      </c>
      <c r="K97" s="150">
        <v>2662</v>
      </c>
      <c r="L97" s="150">
        <v>4977</v>
      </c>
      <c r="M97" s="150">
        <v>1245.6999999999998</v>
      </c>
      <c r="N97" s="150">
        <v>0</v>
      </c>
      <c r="O97" s="150">
        <v>416718</v>
      </c>
      <c r="P97" s="150">
        <v>436707</v>
      </c>
      <c r="Q97" s="150">
        <v>457630.7</v>
      </c>
      <c r="R97" s="150">
        <v>457630.7</v>
      </c>
    </row>
    <row r="98" spans="1:18" x14ac:dyDescent="0.25">
      <c r="A98" t="str">
        <f t="shared" si="1"/>
        <v>11-11-78</v>
      </c>
      <c r="B98">
        <v>11</v>
      </c>
      <c r="C98" s="150" t="s">
        <v>1163</v>
      </c>
      <c r="D98" s="150">
        <v>11</v>
      </c>
      <c r="E98" s="150" t="s">
        <v>1204</v>
      </c>
      <c r="F98" s="150">
        <v>78</v>
      </c>
      <c r="G98" s="150" t="s">
        <v>844</v>
      </c>
      <c r="H98" s="150">
        <v>0</v>
      </c>
      <c r="I98" s="150">
        <v>192745864</v>
      </c>
      <c r="J98" s="150" t="s">
        <v>1203</v>
      </c>
      <c r="K98" s="150">
        <v>0</v>
      </c>
      <c r="L98" s="150">
        <v>0</v>
      </c>
      <c r="M98" s="150">
        <v>0</v>
      </c>
      <c r="N98" s="150">
        <v>0</v>
      </c>
      <c r="O98" s="150">
        <v>221693</v>
      </c>
      <c r="P98" s="150">
        <v>202173</v>
      </c>
      <c r="Q98" s="150">
        <v>678859</v>
      </c>
    </row>
    <row r="99" spans="1:18" x14ac:dyDescent="0.25">
      <c r="A99" t="str">
        <f t="shared" si="1"/>
        <v>11-2-11</v>
      </c>
      <c r="B99">
        <v>11</v>
      </c>
      <c r="C99" s="150" t="s">
        <v>1163</v>
      </c>
      <c r="D99" s="150">
        <v>2</v>
      </c>
      <c r="E99" s="150" t="s">
        <v>110</v>
      </c>
      <c r="F99" s="150">
        <v>11</v>
      </c>
      <c r="G99" s="150" t="s">
        <v>296</v>
      </c>
      <c r="H99" s="150">
        <v>755252</v>
      </c>
      <c r="I99" s="150">
        <v>192745864</v>
      </c>
      <c r="J99" s="150" t="s">
        <v>1203</v>
      </c>
      <c r="K99" s="150">
        <v>48772</v>
      </c>
      <c r="L99" s="150">
        <v>76880</v>
      </c>
      <c r="M99" s="150">
        <v>16596.47</v>
      </c>
      <c r="N99" s="150">
        <v>0</v>
      </c>
      <c r="O99" s="150">
        <f>5405000+O98</f>
        <v>5626693</v>
      </c>
      <c r="P99" s="150">
        <f>5521755+P98</f>
        <v>5723928</v>
      </c>
      <c r="Q99" s="150">
        <v>5379306.4699999997</v>
      </c>
      <c r="R99" s="150">
        <v>6058165.4699999997</v>
      </c>
    </row>
    <row r="100" spans="1:18" x14ac:dyDescent="0.25">
      <c r="A100" t="str">
        <f t="shared" si="1"/>
        <v>11-4-33</v>
      </c>
      <c r="B100">
        <v>11</v>
      </c>
      <c r="C100" s="150" t="s">
        <v>1163</v>
      </c>
      <c r="D100" s="150">
        <v>4</v>
      </c>
      <c r="E100" s="150" t="s">
        <v>146</v>
      </c>
      <c r="F100" s="150">
        <v>33</v>
      </c>
      <c r="G100" s="150" t="s">
        <v>840</v>
      </c>
      <c r="H100" s="150">
        <v>0</v>
      </c>
      <c r="I100" s="150">
        <v>192745864</v>
      </c>
      <c r="J100" s="150" t="s">
        <v>1203</v>
      </c>
      <c r="K100" s="150">
        <v>2092</v>
      </c>
      <c r="L100" s="150">
        <v>39834</v>
      </c>
      <c r="M100" s="150">
        <v>7731.32</v>
      </c>
      <c r="N100" s="150">
        <v>0</v>
      </c>
      <c r="O100" s="150">
        <v>113275</v>
      </c>
      <c r="P100" s="150">
        <v>113275</v>
      </c>
      <c r="Q100" s="150">
        <v>118743</v>
      </c>
      <c r="R100" s="150">
        <v>118743</v>
      </c>
    </row>
    <row r="101" spans="1:18" x14ac:dyDescent="0.25">
      <c r="A101" t="str">
        <f t="shared" si="1"/>
        <v>29-9-166</v>
      </c>
      <c r="B101">
        <v>29</v>
      </c>
      <c r="C101" s="150" t="s">
        <v>1181</v>
      </c>
      <c r="D101" s="150">
        <v>9</v>
      </c>
      <c r="E101" s="150" t="s">
        <v>683</v>
      </c>
      <c r="F101" s="150">
        <v>166</v>
      </c>
      <c r="G101" s="150" t="s">
        <v>1033</v>
      </c>
      <c r="H101" s="150">
        <v>1148</v>
      </c>
      <c r="I101" s="150">
        <v>757985</v>
      </c>
      <c r="J101" s="150" t="s">
        <v>1203</v>
      </c>
      <c r="K101" s="150">
        <v>3</v>
      </c>
      <c r="L101" s="150">
        <v>656</v>
      </c>
      <c r="M101" s="150">
        <v>2.2400000000000002</v>
      </c>
      <c r="N101" s="150">
        <v>0</v>
      </c>
      <c r="O101" s="150">
        <v>14658</v>
      </c>
      <c r="P101" s="150">
        <f>19552+3+656</f>
        <v>20211</v>
      </c>
      <c r="Q101" s="150">
        <v>15201.24</v>
      </c>
      <c r="R101" s="150">
        <v>20211</v>
      </c>
    </row>
    <row r="102" spans="1:18" x14ac:dyDescent="0.25">
      <c r="A102" t="str">
        <f t="shared" si="1"/>
        <v>37-7-11</v>
      </c>
      <c r="B102">
        <v>37</v>
      </c>
      <c r="C102" s="150" t="s">
        <v>1188</v>
      </c>
      <c r="D102" s="150">
        <v>7</v>
      </c>
      <c r="E102" s="150" t="s">
        <v>681</v>
      </c>
      <c r="F102" s="150">
        <v>11</v>
      </c>
      <c r="G102" s="150" t="s">
        <v>605</v>
      </c>
      <c r="H102" s="150">
        <v>0</v>
      </c>
      <c r="I102" s="150">
        <v>26309436</v>
      </c>
      <c r="J102" s="150" t="s">
        <v>1203</v>
      </c>
      <c r="K102" s="150">
        <v>641</v>
      </c>
      <c r="L102" s="150">
        <v>85</v>
      </c>
      <c r="M102" s="150">
        <v>32.07</v>
      </c>
      <c r="N102" s="150">
        <v>0</v>
      </c>
      <c r="O102" s="150">
        <v>15464</v>
      </c>
      <c r="P102" s="150">
        <v>15928</v>
      </c>
      <c r="Q102" s="150">
        <v>16629.07</v>
      </c>
      <c r="R102" s="150">
        <v>16629.07</v>
      </c>
    </row>
    <row r="103" spans="1:18" x14ac:dyDescent="0.25">
      <c r="A103" t="str">
        <f t="shared" si="1"/>
        <v>37-9-6</v>
      </c>
      <c r="B103">
        <v>37</v>
      </c>
      <c r="C103" s="150" t="s">
        <v>1188</v>
      </c>
      <c r="D103" s="150">
        <v>9</v>
      </c>
      <c r="E103" s="150" t="s">
        <v>683</v>
      </c>
      <c r="F103" s="150">
        <v>6</v>
      </c>
      <c r="G103" s="150" t="s">
        <v>1084</v>
      </c>
      <c r="H103" s="150">
        <v>126</v>
      </c>
      <c r="I103" s="150">
        <v>0</v>
      </c>
      <c r="J103" s="150" t="s">
        <v>1203</v>
      </c>
      <c r="K103" s="150">
        <v>304</v>
      </c>
      <c r="L103" s="150">
        <v>56</v>
      </c>
      <c r="M103" s="150">
        <v>0</v>
      </c>
      <c r="N103" s="150">
        <v>0</v>
      </c>
      <c r="O103" s="150">
        <v>25399</v>
      </c>
      <c r="P103" s="150">
        <v>27431</v>
      </c>
      <c r="Q103" s="150">
        <v>28766</v>
      </c>
      <c r="R103" s="150">
        <v>28766</v>
      </c>
    </row>
    <row r="104" spans="1:18" x14ac:dyDescent="0.25">
      <c r="A104" t="str">
        <f t="shared" si="1"/>
        <v>37-14-48</v>
      </c>
      <c r="B104">
        <v>37</v>
      </c>
      <c r="C104" s="150" t="s">
        <v>1188</v>
      </c>
      <c r="D104" s="150">
        <v>14</v>
      </c>
      <c r="E104" s="150" t="s">
        <v>665</v>
      </c>
      <c r="F104" s="150">
        <v>48</v>
      </c>
      <c r="G104" s="150" t="s">
        <v>608</v>
      </c>
      <c r="H104" s="150">
        <v>0</v>
      </c>
      <c r="I104" s="150">
        <v>12683916</v>
      </c>
      <c r="J104" s="150" t="s">
        <v>1203</v>
      </c>
      <c r="K104" s="150">
        <v>936</v>
      </c>
      <c r="L104" s="150">
        <v>116</v>
      </c>
      <c r="M104" s="150">
        <v>15.66</v>
      </c>
      <c r="N104" s="150">
        <v>0</v>
      </c>
      <c r="O104" s="150">
        <v>17436</v>
      </c>
      <c r="P104" s="150">
        <v>17959</v>
      </c>
      <c r="Q104" s="150">
        <v>18832.66</v>
      </c>
      <c r="R104" s="150">
        <v>18832.66</v>
      </c>
    </row>
    <row r="105" spans="1:18" x14ac:dyDescent="0.25">
      <c r="A105" t="str">
        <f t="shared" si="1"/>
        <v>20-4-147</v>
      </c>
      <c r="B105">
        <v>20</v>
      </c>
      <c r="C105" s="150" t="s">
        <v>1172</v>
      </c>
      <c r="D105" s="150">
        <v>4</v>
      </c>
      <c r="E105" s="150" t="s">
        <v>146</v>
      </c>
      <c r="F105" s="150">
        <v>147</v>
      </c>
      <c r="G105" s="150" t="s">
        <v>930</v>
      </c>
      <c r="H105" s="150">
        <v>0</v>
      </c>
      <c r="I105" s="150">
        <v>6650149</v>
      </c>
      <c r="J105" s="150">
        <v>1</v>
      </c>
      <c r="K105" s="150">
        <v>23872</v>
      </c>
      <c r="L105" s="150">
        <v>9850</v>
      </c>
      <c r="M105" s="150">
        <v>699.17</v>
      </c>
      <c r="N105" s="150">
        <v>93500</v>
      </c>
      <c r="O105" s="150">
        <v>98132</v>
      </c>
      <c r="P105" s="150">
        <v>103602</v>
      </c>
      <c r="Q105" s="150">
        <v>94183</v>
      </c>
      <c r="R105" s="150">
        <v>103602</v>
      </c>
    </row>
    <row r="106" spans="1:18" x14ac:dyDescent="0.25">
      <c r="A106" t="str">
        <f t="shared" si="1"/>
        <v>37-4-147</v>
      </c>
      <c r="B106">
        <v>37</v>
      </c>
      <c r="C106" s="150" t="s">
        <v>1188</v>
      </c>
      <c r="D106" s="150">
        <v>4</v>
      </c>
      <c r="E106" s="150" t="s">
        <v>146</v>
      </c>
      <c r="F106" s="150">
        <v>147</v>
      </c>
      <c r="G106" s="150" t="s">
        <v>930</v>
      </c>
      <c r="H106" s="150">
        <v>0</v>
      </c>
      <c r="I106" s="150">
        <v>45711013</v>
      </c>
      <c r="J106" s="150">
        <v>1</v>
      </c>
      <c r="K106" s="150">
        <v>23872</v>
      </c>
      <c r="L106" s="150">
        <v>9850</v>
      </c>
      <c r="M106" s="150">
        <v>699.17</v>
      </c>
      <c r="N106" s="150">
        <v>93500</v>
      </c>
      <c r="O106" s="150">
        <v>98132</v>
      </c>
      <c r="P106" s="150">
        <v>103602</v>
      </c>
      <c r="Q106" s="150">
        <v>94183</v>
      </c>
      <c r="R106" s="150">
        <v>103602</v>
      </c>
    </row>
    <row r="107" spans="1:18" x14ac:dyDescent="0.25">
      <c r="A107" t="str">
        <f t="shared" si="1"/>
        <v>42-9-144</v>
      </c>
      <c r="B107">
        <v>42</v>
      </c>
      <c r="C107" s="150" t="s">
        <v>1194</v>
      </c>
      <c r="D107" s="150">
        <v>9</v>
      </c>
      <c r="E107" s="150" t="s">
        <v>683</v>
      </c>
      <c r="F107" s="150">
        <v>144</v>
      </c>
      <c r="G107" s="150" t="s">
        <v>1131</v>
      </c>
      <c r="H107" s="150">
        <v>79721</v>
      </c>
      <c r="I107" s="150">
        <v>2865899</v>
      </c>
      <c r="J107" s="150" t="s">
        <v>1203</v>
      </c>
      <c r="K107" s="150">
        <v>32383</v>
      </c>
      <c r="L107" s="150">
        <v>4253</v>
      </c>
      <c r="M107" s="150">
        <v>822.44</v>
      </c>
      <c r="N107" s="150">
        <v>0</v>
      </c>
      <c r="O107" s="150">
        <v>541180</v>
      </c>
      <c r="P107" s="150">
        <v>570148</v>
      </c>
      <c r="Q107" s="150">
        <v>600016.43999999994</v>
      </c>
      <c r="R107" s="150">
        <v>600016.43999999994</v>
      </c>
    </row>
    <row r="108" spans="1:18" x14ac:dyDescent="0.25">
      <c r="A108" t="str">
        <f t="shared" si="1"/>
        <v>42-11-3</v>
      </c>
      <c r="B108">
        <v>42</v>
      </c>
      <c r="C108" s="150" t="s">
        <v>1194</v>
      </c>
      <c r="D108" s="150">
        <v>11</v>
      </c>
      <c r="E108" s="150" t="s">
        <v>1204</v>
      </c>
      <c r="F108" s="150">
        <v>3</v>
      </c>
      <c r="G108" s="150" t="s">
        <v>1134</v>
      </c>
      <c r="H108" s="150">
        <v>0</v>
      </c>
      <c r="I108" s="150">
        <v>37858999</v>
      </c>
      <c r="J108" s="150" t="s">
        <v>1203</v>
      </c>
      <c r="K108" s="150">
        <v>32249</v>
      </c>
      <c r="L108" s="150">
        <v>6858</v>
      </c>
      <c r="M108" s="150">
        <v>1592.41</v>
      </c>
      <c r="N108" s="150">
        <v>0</v>
      </c>
      <c r="O108" s="150">
        <v>1213375</v>
      </c>
      <c r="P108" s="150">
        <v>1265866</v>
      </c>
      <c r="Q108" s="150">
        <v>1319728.4099999999</v>
      </c>
      <c r="R108" s="150">
        <v>1319728.4099999999</v>
      </c>
    </row>
    <row r="109" spans="1:18" x14ac:dyDescent="0.25">
      <c r="A109" t="str">
        <f t="shared" si="1"/>
        <v>24-4-166</v>
      </c>
      <c r="B109">
        <v>24</v>
      </c>
      <c r="C109" s="150" t="s">
        <v>1176</v>
      </c>
      <c r="D109" s="150">
        <v>4</v>
      </c>
      <c r="E109" s="150" t="s">
        <v>146</v>
      </c>
      <c r="F109" s="150">
        <v>166</v>
      </c>
      <c r="G109" s="150" t="s">
        <v>971</v>
      </c>
      <c r="H109" s="150">
        <v>0</v>
      </c>
      <c r="I109" s="150">
        <v>4515325</v>
      </c>
      <c r="J109" s="150">
        <v>1</v>
      </c>
      <c r="K109" s="150">
        <v>14264</v>
      </c>
      <c r="L109" s="150">
        <v>10951</v>
      </c>
      <c r="M109" s="150">
        <v>621.22</v>
      </c>
      <c r="N109" s="150">
        <v>0</v>
      </c>
      <c r="O109" s="150">
        <v>32532</v>
      </c>
      <c r="P109" s="150">
        <v>33992</v>
      </c>
      <c r="Q109" s="150">
        <v>35496</v>
      </c>
      <c r="R109" s="150">
        <v>35496</v>
      </c>
    </row>
    <row r="110" spans="1:18" x14ac:dyDescent="0.25">
      <c r="A110" t="str">
        <f t="shared" si="1"/>
        <v>42-4-166</v>
      </c>
      <c r="B110">
        <v>42</v>
      </c>
      <c r="C110" s="150" t="s">
        <v>1194</v>
      </c>
      <c r="D110" s="150">
        <v>4</v>
      </c>
      <c r="E110" s="150" t="s">
        <v>146</v>
      </c>
      <c r="F110" s="150">
        <v>166</v>
      </c>
      <c r="G110" s="150" t="s">
        <v>971</v>
      </c>
      <c r="H110" s="150">
        <v>0</v>
      </c>
      <c r="I110" s="150">
        <v>53830168</v>
      </c>
      <c r="J110" s="150">
        <v>1</v>
      </c>
      <c r="K110" s="150">
        <v>14264</v>
      </c>
      <c r="L110" s="150">
        <v>10951</v>
      </c>
      <c r="M110" s="150">
        <v>621.22</v>
      </c>
      <c r="N110" s="150">
        <v>0</v>
      </c>
      <c r="O110" s="150">
        <v>32532</v>
      </c>
      <c r="P110" s="150">
        <v>33992</v>
      </c>
      <c r="Q110" s="150">
        <v>35496</v>
      </c>
      <c r="R110" s="150">
        <v>35496</v>
      </c>
    </row>
    <row r="111" spans="1:18" x14ac:dyDescent="0.25">
      <c r="A111" t="str">
        <f t="shared" si="1"/>
        <v>16-11-4</v>
      </c>
      <c r="B111">
        <v>16</v>
      </c>
      <c r="C111" s="150" t="s">
        <v>1168</v>
      </c>
      <c r="D111" s="150">
        <v>11</v>
      </c>
      <c r="E111" s="150" t="s">
        <v>1204</v>
      </c>
      <c r="F111" s="150">
        <v>4</v>
      </c>
      <c r="G111" s="150" t="s">
        <v>884</v>
      </c>
      <c r="H111" s="150">
        <v>0</v>
      </c>
      <c r="I111" s="150">
        <v>51161442</v>
      </c>
      <c r="J111" s="150" t="s">
        <v>1203</v>
      </c>
      <c r="K111" s="150">
        <v>57317</v>
      </c>
      <c r="L111" s="150">
        <v>18583</v>
      </c>
      <c r="M111" s="150">
        <v>9341.2900000000009</v>
      </c>
      <c r="N111" s="150">
        <v>0</v>
      </c>
      <c r="O111" s="150">
        <v>2345575</v>
      </c>
      <c r="P111" s="150">
        <v>2619506</v>
      </c>
      <c r="Q111" s="150">
        <v>2755353.29</v>
      </c>
      <c r="R111" s="150">
        <v>2755353.29</v>
      </c>
    </row>
    <row r="112" spans="1:18" x14ac:dyDescent="0.25">
      <c r="A112" t="str">
        <f t="shared" si="1"/>
        <v>33-7-13</v>
      </c>
      <c r="B112">
        <v>33</v>
      </c>
      <c r="C112" s="150" t="s">
        <v>1185</v>
      </c>
      <c r="D112" s="150">
        <v>7</v>
      </c>
      <c r="E112" s="150" t="s">
        <v>681</v>
      </c>
      <c r="F112" s="150">
        <v>13</v>
      </c>
      <c r="G112" s="150" t="s">
        <v>572</v>
      </c>
      <c r="H112" s="150">
        <v>0</v>
      </c>
      <c r="I112" s="150">
        <v>7702289</v>
      </c>
      <c r="J112" s="150" t="s">
        <v>1203</v>
      </c>
      <c r="K112" s="150">
        <v>573</v>
      </c>
      <c r="L112" s="150">
        <v>181</v>
      </c>
      <c r="M112" s="150">
        <v>40.54</v>
      </c>
      <c r="N112" s="150">
        <v>0</v>
      </c>
      <c r="O112" s="150">
        <v>19246</v>
      </c>
      <c r="P112" s="150">
        <v>20786</v>
      </c>
      <c r="Q112" s="150">
        <v>22448.54</v>
      </c>
      <c r="R112" s="150">
        <v>22448.54</v>
      </c>
    </row>
    <row r="113" spans="1:18" x14ac:dyDescent="0.25">
      <c r="A113" t="str">
        <f t="shared" si="1"/>
        <v>12-7-14</v>
      </c>
      <c r="B113">
        <v>12</v>
      </c>
      <c r="C113" s="150" t="s">
        <v>1164</v>
      </c>
      <c r="D113" s="150">
        <v>7</v>
      </c>
      <c r="E113" s="150" t="s">
        <v>681</v>
      </c>
      <c r="F113" s="150">
        <v>14</v>
      </c>
      <c r="G113" s="150" t="s">
        <v>848</v>
      </c>
      <c r="H113" s="150">
        <v>8205</v>
      </c>
      <c r="I113" s="150">
        <v>19806811</v>
      </c>
      <c r="J113" s="150" t="s">
        <v>1203</v>
      </c>
      <c r="K113" s="150">
        <v>1877</v>
      </c>
      <c r="L113" s="150">
        <v>1343</v>
      </c>
      <c r="M113" s="150">
        <v>306.95</v>
      </c>
      <c r="N113" s="150">
        <v>0</v>
      </c>
      <c r="O113" s="150">
        <v>49022</v>
      </c>
      <c r="P113" s="150">
        <v>50744</v>
      </c>
      <c r="Q113" s="150">
        <v>49852.95</v>
      </c>
      <c r="R113" s="150">
        <v>50744</v>
      </c>
    </row>
    <row r="114" spans="1:18" x14ac:dyDescent="0.25">
      <c r="A114" t="str">
        <f t="shared" si="1"/>
        <v>12-2-12</v>
      </c>
      <c r="B114">
        <v>12</v>
      </c>
      <c r="C114" s="150" t="s">
        <v>1164</v>
      </c>
      <c r="D114" s="150">
        <v>2</v>
      </c>
      <c r="E114" s="150" t="s">
        <v>110</v>
      </c>
      <c r="F114" s="150">
        <v>12</v>
      </c>
      <c r="G114" s="150" t="s">
        <v>297</v>
      </c>
      <c r="H114" s="150">
        <v>0</v>
      </c>
      <c r="I114" s="150">
        <v>19806811</v>
      </c>
      <c r="J114" s="150" t="s">
        <v>1203</v>
      </c>
      <c r="K114" s="150">
        <v>49688</v>
      </c>
      <c r="L114" s="150">
        <v>37789</v>
      </c>
      <c r="M114" s="150">
        <v>8365.48</v>
      </c>
      <c r="N114" s="150">
        <v>0</v>
      </c>
      <c r="O114" s="150">
        <v>1335703</v>
      </c>
      <c r="P114" s="150">
        <v>1382612</v>
      </c>
      <c r="Q114" s="150">
        <v>1430608.48</v>
      </c>
      <c r="R114" s="150">
        <v>1430608.48</v>
      </c>
    </row>
    <row r="115" spans="1:18" x14ac:dyDescent="0.25">
      <c r="A115" t="str">
        <f t="shared" si="1"/>
        <v>12-4-34</v>
      </c>
      <c r="B115">
        <v>12</v>
      </c>
      <c r="C115" s="150" t="s">
        <v>1164</v>
      </c>
      <c r="D115" s="150">
        <v>4</v>
      </c>
      <c r="E115" s="150" t="s">
        <v>146</v>
      </c>
      <c r="F115" s="150">
        <v>34</v>
      </c>
      <c r="G115" s="150" t="s">
        <v>846</v>
      </c>
      <c r="H115" s="150">
        <v>0</v>
      </c>
      <c r="I115" s="150">
        <v>19768514</v>
      </c>
      <c r="J115" s="150">
        <v>1</v>
      </c>
      <c r="K115" s="150">
        <v>37567</v>
      </c>
      <c r="L115" s="150">
        <v>21586</v>
      </c>
      <c r="M115" s="150">
        <v>1862.19</v>
      </c>
      <c r="N115" s="150">
        <v>0</v>
      </c>
      <c r="O115" s="150">
        <v>79803</v>
      </c>
      <c r="P115" s="150">
        <v>79803</v>
      </c>
      <c r="Q115" s="150">
        <v>82564</v>
      </c>
      <c r="R115" s="150">
        <v>82564</v>
      </c>
    </row>
    <row r="116" spans="1:18" x14ac:dyDescent="0.25">
      <c r="A116" t="str">
        <f t="shared" si="1"/>
        <v>19-4-34</v>
      </c>
      <c r="B116">
        <v>19</v>
      </c>
      <c r="C116" s="150" t="s">
        <v>1171</v>
      </c>
      <c r="D116" s="150">
        <v>4</v>
      </c>
      <c r="E116" s="150" t="s">
        <v>146</v>
      </c>
      <c r="F116" s="150">
        <v>34</v>
      </c>
      <c r="G116" s="150" t="s">
        <v>846</v>
      </c>
      <c r="H116" s="150">
        <v>0</v>
      </c>
      <c r="I116" s="150">
        <v>23338</v>
      </c>
      <c r="J116" s="150">
        <v>1</v>
      </c>
      <c r="K116" s="150">
        <v>37567</v>
      </c>
      <c r="L116" s="150">
        <v>21586</v>
      </c>
      <c r="M116" s="150">
        <v>1862.19</v>
      </c>
      <c r="N116" s="150">
        <v>0</v>
      </c>
      <c r="O116" s="150">
        <v>79803</v>
      </c>
      <c r="P116" s="150">
        <v>79803</v>
      </c>
      <c r="Q116" s="150">
        <v>82564</v>
      </c>
      <c r="R116" s="150">
        <v>82564</v>
      </c>
    </row>
    <row r="117" spans="1:18" x14ac:dyDescent="0.25">
      <c r="A117" t="str">
        <f t="shared" si="1"/>
        <v>41-7-15</v>
      </c>
      <c r="B117">
        <v>41</v>
      </c>
      <c r="C117" s="150" t="s">
        <v>1191</v>
      </c>
      <c r="D117" s="150">
        <v>7</v>
      </c>
      <c r="E117" s="150" t="s">
        <v>681</v>
      </c>
      <c r="F117" s="150">
        <v>15</v>
      </c>
      <c r="G117" s="150" t="s">
        <v>1117</v>
      </c>
      <c r="H117" s="150">
        <v>0</v>
      </c>
      <c r="I117" s="150">
        <v>2633433</v>
      </c>
      <c r="J117" s="150" t="s">
        <v>1203</v>
      </c>
      <c r="K117" s="150">
        <v>126</v>
      </c>
      <c r="L117" s="150">
        <v>50</v>
      </c>
      <c r="M117" s="150">
        <v>0.14000000000000001</v>
      </c>
      <c r="N117" s="150">
        <v>0</v>
      </c>
      <c r="O117" s="150">
        <v>37537</v>
      </c>
      <c r="P117" s="150">
        <v>39448</v>
      </c>
      <c r="Q117" s="150">
        <v>38846.14</v>
      </c>
      <c r="R117" s="150">
        <v>39448</v>
      </c>
    </row>
    <row r="118" spans="1:18" x14ac:dyDescent="0.25">
      <c r="A118" t="str">
        <f t="shared" si="1"/>
        <v>14-9-7</v>
      </c>
      <c r="B118">
        <v>14</v>
      </c>
      <c r="C118" s="150" t="s">
        <v>1166</v>
      </c>
      <c r="D118" s="150">
        <v>9</v>
      </c>
      <c r="E118" s="150" t="s">
        <v>683</v>
      </c>
      <c r="F118" s="150">
        <v>7</v>
      </c>
      <c r="G118" s="150" t="s">
        <v>323</v>
      </c>
      <c r="H118" s="150">
        <v>0</v>
      </c>
      <c r="I118" s="150">
        <v>0</v>
      </c>
      <c r="J118" s="150" t="s">
        <v>1203</v>
      </c>
      <c r="K118" s="150">
        <v>17095</v>
      </c>
      <c r="L118" s="150">
        <v>11392</v>
      </c>
      <c r="M118" s="150">
        <v>2198.09</v>
      </c>
      <c r="N118" s="150">
        <v>0</v>
      </c>
      <c r="O118" s="150">
        <v>2322882</v>
      </c>
      <c r="P118" s="150">
        <v>2421206</v>
      </c>
      <c r="Q118" s="150">
        <v>2554023.09</v>
      </c>
      <c r="R118" s="150">
        <v>2554023.09</v>
      </c>
    </row>
    <row r="119" spans="1:18" x14ac:dyDescent="0.25">
      <c r="A119" t="str">
        <f t="shared" si="1"/>
        <v>14-4-40</v>
      </c>
      <c r="B119">
        <v>14</v>
      </c>
      <c r="C119" s="150" t="s">
        <v>1166</v>
      </c>
      <c r="D119" s="150">
        <v>4</v>
      </c>
      <c r="E119" s="150" t="s">
        <v>146</v>
      </c>
      <c r="F119" s="150">
        <v>40</v>
      </c>
      <c r="G119" s="150" t="s">
        <v>856</v>
      </c>
      <c r="H119" s="150">
        <v>0</v>
      </c>
      <c r="I119" s="150">
        <v>42013140</v>
      </c>
      <c r="J119" s="150" t="s">
        <v>1203</v>
      </c>
      <c r="K119" s="150">
        <v>5017</v>
      </c>
      <c r="L119" s="150">
        <v>93824</v>
      </c>
      <c r="M119" s="150">
        <v>16640.14</v>
      </c>
      <c r="N119" s="150">
        <v>0</v>
      </c>
      <c r="O119" s="150">
        <v>98841</v>
      </c>
      <c r="P119" s="150">
        <v>119231</v>
      </c>
      <c r="Q119" s="150">
        <v>139082</v>
      </c>
      <c r="R119" s="150">
        <v>139082</v>
      </c>
    </row>
    <row r="120" spans="1:18" x14ac:dyDescent="0.25">
      <c r="A120" t="str">
        <f t="shared" si="1"/>
        <v>13-14-7</v>
      </c>
      <c r="B120">
        <v>13</v>
      </c>
      <c r="C120" s="150" t="s">
        <v>1165</v>
      </c>
      <c r="D120" s="150">
        <v>14</v>
      </c>
      <c r="E120" s="150" t="s">
        <v>665</v>
      </c>
      <c r="F120" s="150">
        <v>7</v>
      </c>
      <c r="G120" s="150" t="s">
        <v>853</v>
      </c>
      <c r="H120" s="150">
        <v>2750</v>
      </c>
      <c r="I120" s="150">
        <v>8812942</v>
      </c>
      <c r="J120" s="150" t="s">
        <v>1203</v>
      </c>
      <c r="K120" s="150">
        <v>1615</v>
      </c>
      <c r="L120" s="150">
        <v>986</v>
      </c>
      <c r="M120" s="150">
        <v>192.23999999999998</v>
      </c>
      <c r="N120" s="150">
        <v>0</v>
      </c>
      <c r="O120" s="150">
        <v>88501</v>
      </c>
      <c r="P120" s="150">
        <v>91857</v>
      </c>
      <c r="Q120" s="150">
        <v>95649.24</v>
      </c>
      <c r="R120" s="150">
        <v>95649.24</v>
      </c>
    </row>
    <row r="121" spans="1:18" x14ac:dyDescent="0.25">
      <c r="A121" t="str">
        <f t="shared" si="1"/>
        <v>13-7-200</v>
      </c>
      <c r="B121">
        <v>13</v>
      </c>
      <c r="C121" s="150" t="s">
        <v>1165</v>
      </c>
      <c r="D121" s="150">
        <v>7</v>
      </c>
      <c r="E121" s="150" t="s">
        <v>681</v>
      </c>
      <c r="F121" s="150">
        <v>200</v>
      </c>
      <c r="G121" s="150" t="s">
        <v>852</v>
      </c>
      <c r="H121" s="150">
        <v>0</v>
      </c>
      <c r="I121" s="150">
        <v>8812942</v>
      </c>
      <c r="J121" s="150" t="s">
        <v>1203</v>
      </c>
      <c r="K121" s="150">
        <v>273</v>
      </c>
      <c r="L121" s="150">
        <v>46</v>
      </c>
      <c r="M121" s="150">
        <v>72.16</v>
      </c>
      <c r="N121" s="150">
        <v>0</v>
      </c>
      <c r="O121" s="150">
        <v>5198</v>
      </c>
      <c r="P121" s="150">
        <v>5076</v>
      </c>
      <c r="Q121" s="150">
        <v>5413.16</v>
      </c>
      <c r="R121" s="150">
        <v>5413.16</v>
      </c>
    </row>
    <row r="122" spans="1:18" x14ac:dyDescent="0.25">
      <c r="A122" t="str">
        <f t="shared" si="1"/>
        <v>13-2-13</v>
      </c>
      <c r="B122">
        <v>13</v>
      </c>
      <c r="C122" s="150" t="s">
        <v>1165</v>
      </c>
      <c r="D122" s="150">
        <v>2</v>
      </c>
      <c r="E122" s="150" t="s">
        <v>110</v>
      </c>
      <c r="F122" s="150">
        <v>13</v>
      </c>
      <c r="G122" s="150" t="s">
        <v>302</v>
      </c>
      <c r="H122" s="150">
        <v>30540</v>
      </c>
      <c r="I122" s="150">
        <v>8812942</v>
      </c>
      <c r="J122" s="150" t="s">
        <v>1203</v>
      </c>
      <c r="K122" s="150">
        <v>33749</v>
      </c>
      <c r="L122" s="150">
        <v>8912</v>
      </c>
      <c r="M122" s="150">
        <v>2003.98</v>
      </c>
      <c r="N122" s="150">
        <v>0</v>
      </c>
      <c r="O122" s="150">
        <v>946807</v>
      </c>
      <c r="P122" s="150">
        <v>945607</v>
      </c>
      <c r="Q122" s="150">
        <v>985888.98</v>
      </c>
      <c r="R122" s="150">
        <v>985888.98</v>
      </c>
    </row>
    <row r="123" spans="1:18" x14ac:dyDescent="0.25">
      <c r="A123" t="str">
        <f t="shared" si="1"/>
        <v>13-15-11</v>
      </c>
      <c r="B123">
        <v>13</v>
      </c>
      <c r="C123" s="150" t="s">
        <v>1165</v>
      </c>
      <c r="D123" s="150">
        <v>15</v>
      </c>
      <c r="E123" s="150" t="s">
        <v>237</v>
      </c>
      <c r="F123" s="150">
        <v>11</v>
      </c>
      <c r="G123" s="150" t="s">
        <v>854</v>
      </c>
      <c r="H123" s="150">
        <v>535</v>
      </c>
      <c r="I123" s="150">
        <v>1286946</v>
      </c>
      <c r="J123" s="150" t="s">
        <v>1203</v>
      </c>
      <c r="K123" s="150">
        <v>27</v>
      </c>
      <c r="L123" s="150">
        <v>162</v>
      </c>
      <c r="M123" s="150">
        <v>4.8999999999999995</v>
      </c>
      <c r="N123" s="150">
        <v>0</v>
      </c>
      <c r="O123" s="150">
        <v>11416</v>
      </c>
      <c r="P123" s="150">
        <v>11584</v>
      </c>
      <c r="Q123" s="150">
        <v>11959.9</v>
      </c>
      <c r="R123" s="150">
        <v>11959.9</v>
      </c>
    </row>
    <row r="124" spans="1:18" x14ac:dyDescent="0.25">
      <c r="A124" t="str">
        <f t="shared" si="1"/>
        <v>13-4-38</v>
      </c>
      <c r="B124">
        <v>13</v>
      </c>
      <c r="C124" s="150" t="s">
        <v>1165</v>
      </c>
      <c r="D124" s="150">
        <v>4</v>
      </c>
      <c r="E124" s="150" t="s">
        <v>146</v>
      </c>
      <c r="F124" s="150">
        <v>38</v>
      </c>
      <c r="G124" s="150" t="s">
        <v>851</v>
      </c>
      <c r="H124" s="150">
        <v>0</v>
      </c>
      <c r="I124" s="150">
        <v>8812942</v>
      </c>
      <c r="J124" s="150" t="s">
        <v>1203</v>
      </c>
      <c r="K124" s="150">
        <v>2315</v>
      </c>
      <c r="L124" s="150">
        <v>6585</v>
      </c>
      <c r="M124" s="150">
        <v>1289.92</v>
      </c>
      <c r="N124" s="150">
        <v>0</v>
      </c>
      <c r="O124" s="150">
        <v>8832</v>
      </c>
      <c r="P124" s="150">
        <v>17778</v>
      </c>
      <c r="Q124" s="150">
        <v>18511</v>
      </c>
      <c r="R124" s="150">
        <v>18511</v>
      </c>
    </row>
    <row r="125" spans="1:18" x14ac:dyDescent="0.25">
      <c r="A125" t="str">
        <f t="shared" si="1"/>
        <v>44-14-8</v>
      </c>
      <c r="B125">
        <v>44</v>
      </c>
      <c r="C125" s="150" t="s">
        <v>1193</v>
      </c>
      <c r="D125" s="150">
        <v>14</v>
      </c>
      <c r="E125" s="150" t="s">
        <v>665</v>
      </c>
      <c r="F125" s="150">
        <v>8</v>
      </c>
      <c r="G125" s="150" t="s">
        <v>1154</v>
      </c>
      <c r="H125" s="150">
        <v>583</v>
      </c>
      <c r="I125" s="150">
        <v>90677854</v>
      </c>
      <c r="J125" s="150" t="s">
        <v>1203</v>
      </c>
      <c r="K125" s="150">
        <v>635</v>
      </c>
      <c r="L125" s="150">
        <v>515</v>
      </c>
      <c r="M125" s="150">
        <v>177.53</v>
      </c>
      <c r="N125" s="150">
        <v>0</v>
      </c>
      <c r="O125" s="150">
        <v>60175</v>
      </c>
      <c r="P125" s="150">
        <v>62781</v>
      </c>
      <c r="Q125" s="150">
        <v>65124.53</v>
      </c>
      <c r="R125" s="150">
        <v>65124.53</v>
      </c>
    </row>
    <row r="126" spans="1:18" x14ac:dyDescent="0.25">
      <c r="A126" t="str">
        <f t="shared" si="1"/>
        <v>44-9-8</v>
      </c>
      <c r="B126">
        <v>44</v>
      </c>
      <c r="C126" s="150" t="s">
        <v>1193</v>
      </c>
      <c r="D126" s="150">
        <v>9</v>
      </c>
      <c r="E126" s="150" t="s">
        <v>683</v>
      </c>
      <c r="F126" s="150">
        <v>8</v>
      </c>
      <c r="G126" s="150" t="s">
        <v>1150</v>
      </c>
      <c r="H126" s="150">
        <v>3271</v>
      </c>
      <c r="I126" s="150">
        <v>0</v>
      </c>
      <c r="J126" s="150" t="s">
        <v>1203</v>
      </c>
      <c r="K126" s="150">
        <v>501</v>
      </c>
      <c r="L126" s="150">
        <v>528</v>
      </c>
      <c r="M126" s="150">
        <v>222.53</v>
      </c>
      <c r="N126" s="150">
        <v>0</v>
      </c>
      <c r="O126" s="150">
        <v>36984</v>
      </c>
      <c r="P126" s="150">
        <v>39129</v>
      </c>
      <c r="Q126" s="150">
        <v>40855.53</v>
      </c>
      <c r="R126" s="150">
        <v>40855.53</v>
      </c>
    </row>
    <row r="127" spans="1:18" x14ac:dyDescent="0.25">
      <c r="A127" t="str">
        <f t="shared" si="1"/>
        <v>2-4-180</v>
      </c>
      <c r="B127">
        <v>2</v>
      </c>
      <c r="C127" s="150" t="s">
        <v>1156</v>
      </c>
      <c r="D127" s="150">
        <v>4</v>
      </c>
      <c r="E127" s="150" t="s">
        <v>146</v>
      </c>
      <c r="F127" s="150">
        <v>180</v>
      </c>
      <c r="G127" s="150" t="s">
        <v>723</v>
      </c>
      <c r="H127" s="150">
        <v>0</v>
      </c>
      <c r="I127" s="150">
        <v>4269204</v>
      </c>
      <c r="J127" s="150">
        <v>1</v>
      </c>
      <c r="K127" s="150">
        <v>8114</v>
      </c>
      <c r="L127" s="150">
        <v>3910</v>
      </c>
      <c r="M127" s="150">
        <v>488.97</v>
      </c>
      <c r="N127" s="150">
        <v>0</v>
      </c>
      <c r="O127" s="150">
        <v>12870</v>
      </c>
      <c r="P127" s="150">
        <v>13414</v>
      </c>
      <c r="Q127" s="150">
        <v>13897</v>
      </c>
      <c r="R127" s="150">
        <v>13897</v>
      </c>
    </row>
    <row r="128" spans="1:18" x14ac:dyDescent="0.25">
      <c r="A128" t="str">
        <f t="shared" si="1"/>
        <v>44-4-180</v>
      </c>
      <c r="B128">
        <v>44</v>
      </c>
      <c r="C128" s="150" t="s">
        <v>1193</v>
      </c>
      <c r="D128" s="150">
        <v>4</v>
      </c>
      <c r="E128" s="150" t="s">
        <v>146</v>
      </c>
      <c r="F128" s="150">
        <v>180</v>
      </c>
      <c r="G128" s="150" t="s">
        <v>723</v>
      </c>
      <c r="H128" s="150">
        <v>0</v>
      </c>
      <c r="I128" s="150">
        <v>90677854</v>
      </c>
      <c r="J128" s="150">
        <v>1</v>
      </c>
      <c r="K128" s="150">
        <v>8114</v>
      </c>
      <c r="L128" s="150">
        <v>3910</v>
      </c>
      <c r="M128" s="150">
        <v>488.97</v>
      </c>
      <c r="N128" s="150">
        <v>0</v>
      </c>
      <c r="O128" s="150">
        <v>12870</v>
      </c>
      <c r="P128" s="150">
        <v>13414</v>
      </c>
      <c r="Q128" s="150">
        <v>13897</v>
      </c>
      <c r="R128" s="150">
        <v>13897</v>
      </c>
    </row>
    <row r="129" spans="1:19" x14ac:dyDescent="0.25">
      <c r="A129" t="str">
        <f t="shared" si="1"/>
        <v>14-2-14</v>
      </c>
      <c r="B129">
        <v>14</v>
      </c>
      <c r="C129" s="150" t="s">
        <v>1166</v>
      </c>
      <c r="D129" s="150">
        <v>2</v>
      </c>
      <c r="E129" s="150" t="s">
        <v>110</v>
      </c>
      <c r="F129" s="150">
        <v>14</v>
      </c>
      <c r="G129" s="150" t="s">
        <v>305</v>
      </c>
      <c r="H129" s="150">
        <v>5891187</v>
      </c>
      <c r="I129" s="150">
        <v>360207213</v>
      </c>
      <c r="J129" s="150" t="s">
        <v>1203</v>
      </c>
      <c r="K129" s="150">
        <v>406070</v>
      </c>
      <c r="L129" s="150">
        <v>443402</v>
      </c>
      <c r="M129" s="150">
        <v>58760.11</v>
      </c>
      <c r="N129" s="150">
        <v>0</v>
      </c>
      <c r="O129" s="150">
        <v>49981951</v>
      </c>
      <c r="P129" s="150">
        <v>36797782</v>
      </c>
      <c r="Q129" s="150">
        <v>55608430.109999999</v>
      </c>
      <c r="R129" s="150">
        <v>55608430.109999999</v>
      </c>
    </row>
    <row r="130" spans="1:19" x14ac:dyDescent="0.25">
      <c r="A130" t="str">
        <f t="shared" si="1"/>
        <v>14-15-12</v>
      </c>
      <c r="B130">
        <v>14</v>
      </c>
      <c r="C130" s="150" t="s">
        <v>1166</v>
      </c>
      <c r="D130" s="150">
        <v>15</v>
      </c>
      <c r="E130" s="150" t="s">
        <v>237</v>
      </c>
      <c r="F130" s="150">
        <v>12</v>
      </c>
      <c r="G130" s="150" t="s">
        <v>865</v>
      </c>
      <c r="H130" s="150">
        <v>673201</v>
      </c>
      <c r="I130" s="150">
        <v>360207213</v>
      </c>
      <c r="J130" s="150" t="s">
        <v>1203</v>
      </c>
      <c r="K130" s="150">
        <v>1103</v>
      </c>
      <c r="L130" s="150">
        <v>13650</v>
      </c>
      <c r="M130" s="150">
        <v>4481.6100000000006</v>
      </c>
      <c r="N130" s="150">
        <v>0</v>
      </c>
      <c r="O130" s="150">
        <v>2892756</v>
      </c>
      <c r="P130" s="150">
        <v>3065454</v>
      </c>
      <c r="Q130" s="150">
        <v>3345283.61</v>
      </c>
      <c r="R130" s="150">
        <v>3345283.61</v>
      </c>
    </row>
    <row r="131" spans="1:19" x14ac:dyDescent="0.25">
      <c r="A131" t="str">
        <f t="shared" si="1"/>
        <v>14-5-3</v>
      </c>
      <c r="B131">
        <v>14</v>
      </c>
      <c r="C131" s="150" t="s">
        <v>1166</v>
      </c>
      <c r="D131" s="150">
        <v>5</v>
      </c>
      <c r="E131" s="150" t="s">
        <v>286</v>
      </c>
      <c r="F131" s="150">
        <v>3</v>
      </c>
      <c r="G131" s="150" t="s">
        <v>315</v>
      </c>
      <c r="H131" s="150">
        <v>0</v>
      </c>
      <c r="I131" s="150">
        <v>360207213</v>
      </c>
      <c r="J131" s="150" t="s">
        <v>1203</v>
      </c>
      <c r="K131" s="150">
        <v>17502</v>
      </c>
      <c r="L131" s="150">
        <v>22794</v>
      </c>
      <c r="M131" s="150">
        <v>4788.92</v>
      </c>
      <c r="N131" s="150">
        <v>0</v>
      </c>
      <c r="O131" s="150">
        <v>2995160</v>
      </c>
      <c r="P131" s="150">
        <v>3110542</v>
      </c>
      <c r="Q131" s="150">
        <v>3543337.92</v>
      </c>
      <c r="R131" s="150">
        <v>3543337.92</v>
      </c>
    </row>
    <row r="132" spans="1:19" x14ac:dyDescent="0.25">
      <c r="A132" t="str">
        <f t="shared" ref="A132:A195" si="2">B132&amp;"-"&amp;D132&amp;"-"&amp;F132</f>
        <v>14-8-8</v>
      </c>
      <c r="B132">
        <v>14</v>
      </c>
      <c r="C132" s="150" t="s">
        <v>1166</v>
      </c>
      <c r="D132" s="150">
        <v>8</v>
      </c>
      <c r="E132" s="150" t="s">
        <v>682</v>
      </c>
      <c r="F132" s="150">
        <v>8</v>
      </c>
      <c r="G132" s="150" t="s">
        <v>338</v>
      </c>
      <c r="H132" s="150">
        <v>29796</v>
      </c>
      <c r="I132" s="150">
        <v>200876429</v>
      </c>
      <c r="J132" s="150" t="s">
        <v>1203</v>
      </c>
      <c r="K132" s="150">
        <v>4124</v>
      </c>
      <c r="L132" s="150">
        <v>1893</v>
      </c>
      <c r="M132" s="150">
        <v>229.09</v>
      </c>
      <c r="N132" s="150">
        <v>0</v>
      </c>
      <c r="O132" s="150">
        <v>281017</v>
      </c>
      <c r="P132" s="150">
        <v>281017</v>
      </c>
      <c r="Q132" s="150">
        <v>295555.09000000003</v>
      </c>
      <c r="R132" s="150">
        <v>295555.09000000003</v>
      </c>
    </row>
    <row r="133" spans="1:19" x14ac:dyDescent="0.25">
      <c r="A133" t="str">
        <f t="shared" si="2"/>
        <v>14-11-81</v>
      </c>
      <c r="B133">
        <v>14</v>
      </c>
      <c r="C133" s="150" t="s">
        <v>1166</v>
      </c>
      <c r="D133" s="150">
        <v>11</v>
      </c>
      <c r="E133" s="150" t="s">
        <v>1204</v>
      </c>
      <c r="F133" s="150">
        <v>81</v>
      </c>
      <c r="G133" s="150" t="s">
        <v>333</v>
      </c>
      <c r="H133" s="150">
        <v>0</v>
      </c>
      <c r="I133" s="150">
        <v>106000393</v>
      </c>
      <c r="J133" s="150" t="s">
        <v>1203</v>
      </c>
      <c r="K133" s="150">
        <v>29118</v>
      </c>
      <c r="L133" s="150">
        <v>39351</v>
      </c>
      <c r="M133" s="150">
        <v>8244.2199999999993</v>
      </c>
      <c r="N133" s="150">
        <v>0</v>
      </c>
      <c r="O133" s="150">
        <v>7132607</v>
      </c>
      <c r="P133" s="150">
        <v>7616167</v>
      </c>
      <c r="Q133" s="150">
        <v>8813436.2200000007</v>
      </c>
      <c r="R133" s="150">
        <v>8813436.2200000007</v>
      </c>
    </row>
    <row r="134" spans="1:19" x14ac:dyDescent="0.25">
      <c r="A134" t="str">
        <f t="shared" si="2"/>
        <v>7-7-16</v>
      </c>
      <c r="B134">
        <v>7</v>
      </c>
      <c r="C134" s="150" t="s">
        <v>1199</v>
      </c>
      <c r="D134" s="150">
        <v>7</v>
      </c>
      <c r="E134" s="150" t="s">
        <v>681</v>
      </c>
      <c r="F134" s="150">
        <v>16</v>
      </c>
      <c r="G134" s="150" t="s">
        <v>247</v>
      </c>
      <c r="H134" s="150">
        <v>0</v>
      </c>
      <c r="I134" s="150">
        <v>4976504</v>
      </c>
      <c r="J134" s="150" t="s">
        <v>1203</v>
      </c>
      <c r="K134" s="150">
        <v>397</v>
      </c>
      <c r="L134" s="150">
        <v>254</v>
      </c>
      <c r="M134" s="150">
        <v>56.67</v>
      </c>
      <c r="N134" s="150">
        <v>0</v>
      </c>
      <c r="O134" s="150">
        <v>18700</v>
      </c>
      <c r="P134" s="150">
        <v>19761</v>
      </c>
      <c r="Q134" s="150">
        <v>20642.669999999998</v>
      </c>
      <c r="R134" s="150">
        <v>20642.669999999998</v>
      </c>
    </row>
    <row r="135" spans="1:19" x14ac:dyDescent="0.25">
      <c r="A135" t="str">
        <f t="shared" si="2"/>
        <v>7-9-9</v>
      </c>
      <c r="B135">
        <v>7</v>
      </c>
      <c r="C135" s="150" t="s">
        <v>1199</v>
      </c>
      <c r="D135" s="150">
        <v>9</v>
      </c>
      <c r="E135" s="150" t="s">
        <v>683</v>
      </c>
      <c r="F135" s="150">
        <v>9</v>
      </c>
      <c r="G135" s="150" t="s">
        <v>788</v>
      </c>
      <c r="H135" s="150">
        <v>4101</v>
      </c>
      <c r="I135" s="150">
        <v>497421</v>
      </c>
      <c r="J135" s="150" t="s">
        <v>1203</v>
      </c>
      <c r="K135" s="150">
        <v>0</v>
      </c>
      <c r="L135" s="150">
        <v>0</v>
      </c>
      <c r="M135" s="150">
        <v>0</v>
      </c>
      <c r="N135" s="150">
        <v>0</v>
      </c>
      <c r="O135" s="150">
        <v>150993</v>
      </c>
      <c r="P135" s="150">
        <v>160917</v>
      </c>
      <c r="Q135" s="150">
        <v>169121</v>
      </c>
      <c r="R135" s="150">
        <v>169121</v>
      </c>
    </row>
    <row r="136" spans="1:19" x14ac:dyDescent="0.25">
      <c r="A136" t="str">
        <f t="shared" si="2"/>
        <v>7-10-5</v>
      </c>
      <c r="B136">
        <v>7</v>
      </c>
      <c r="C136" s="150" t="s">
        <v>1199</v>
      </c>
      <c r="D136" s="150">
        <v>10</v>
      </c>
      <c r="E136" s="150" t="s">
        <v>684</v>
      </c>
      <c r="F136" s="150">
        <v>5</v>
      </c>
      <c r="G136" s="150" t="s">
        <v>792</v>
      </c>
      <c r="H136" s="150">
        <v>356</v>
      </c>
      <c r="I136" s="150">
        <v>0</v>
      </c>
      <c r="J136" s="150" t="s">
        <v>1203</v>
      </c>
      <c r="K136" s="150">
        <v>0</v>
      </c>
      <c r="L136" s="150">
        <v>0</v>
      </c>
      <c r="M136" s="150">
        <v>0</v>
      </c>
      <c r="N136" s="150">
        <v>0</v>
      </c>
      <c r="O136" s="150">
        <v>5313</v>
      </c>
      <c r="P136" s="150">
        <v>5623</v>
      </c>
      <c r="Q136" s="150">
        <v>5804</v>
      </c>
      <c r="R136" s="150">
        <v>5804</v>
      </c>
    </row>
    <row r="137" spans="1:19" x14ac:dyDescent="0.25">
      <c r="A137" t="str">
        <f t="shared" si="2"/>
        <v>15-11-82</v>
      </c>
      <c r="B137">
        <v>15</v>
      </c>
      <c r="C137" s="150" t="s">
        <v>1167</v>
      </c>
      <c r="D137" s="150">
        <v>11</v>
      </c>
      <c r="E137" s="150" t="s">
        <v>1204</v>
      </c>
      <c r="F137" s="150">
        <v>82</v>
      </c>
      <c r="G137" s="150" t="s">
        <v>870</v>
      </c>
      <c r="H137" s="150">
        <v>0</v>
      </c>
      <c r="I137" s="150">
        <v>186774708</v>
      </c>
      <c r="J137" s="150" t="s">
        <v>1203</v>
      </c>
      <c r="K137" s="150">
        <v>0</v>
      </c>
      <c r="L137" s="150">
        <v>0</v>
      </c>
      <c r="M137" s="150">
        <v>0</v>
      </c>
      <c r="N137" s="150">
        <v>0</v>
      </c>
      <c r="O137" s="150">
        <v>872070</v>
      </c>
      <c r="P137" s="150">
        <v>707036</v>
      </c>
      <c r="Q137" s="150">
        <v>790547</v>
      </c>
    </row>
    <row r="138" spans="1:19" x14ac:dyDescent="0.25">
      <c r="A138" t="str">
        <f t="shared" si="2"/>
        <v>15-2-15</v>
      </c>
      <c r="B138">
        <v>15</v>
      </c>
      <c r="C138" s="150" t="s">
        <v>1167</v>
      </c>
      <c r="D138" s="150">
        <v>2</v>
      </c>
      <c r="E138" s="150" t="s">
        <v>110</v>
      </c>
      <c r="F138" s="150">
        <v>15</v>
      </c>
      <c r="G138" s="150" t="s">
        <v>341</v>
      </c>
      <c r="H138" s="150">
        <v>401557</v>
      </c>
      <c r="I138" s="150">
        <v>186774708</v>
      </c>
      <c r="J138" s="150" t="s">
        <v>1203</v>
      </c>
      <c r="K138" s="150">
        <v>87626</v>
      </c>
      <c r="L138" s="150">
        <v>65223</v>
      </c>
      <c r="M138" s="150">
        <v>27407.78</v>
      </c>
      <c r="N138" s="150">
        <v>0</v>
      </c>
      <c r="O138" s="150">
        <f>5907465+O137</f>
        <v>6779535</v>
      </c>
      <c r="P138" s="150">
        <f>6159363+P137</f>
        <v>6866399</v>
      </c>
      <c r="Q138" s="150">
        <v>6324803.7800000003</v>
      </c>
      <c r="R138" s="150">
        <v>7115350.7800000003</v>
      </c>
    </row>
    <row r="139" spans="1:19" x14ac:dyDescent="0.25">
      <c r="A139" t="str">
        <f t="shared" si="2"/>
        <v>43-12-16</v>
      </c>
      <c r="B139">
        <v>43</v>
      </c>
      <c r="C139" s="150" t="s">
        <v>1192</v>
      </c>
      <c r="D139" s="150">
        <v>12</v>
      </c>
      <c r="E139" s="150" t="s">
        <v>151</v>
      </c>
      <c r="F139" s="150">
        <v>16</v>
      </c>
      <c r="G139" s="150" t="s">
        <v>1396</v>
      </c>
      <c r="H139" s="150">
        <v>49209</v>
      </c>
      <c r="I139" s="150">
        <v>24779986</v>
      </c>
      <c r="J139" s="150" t="s">
        <v>1203</v>
      </c>
      <c r="K139" s="150">
        <v>381</v>
      </c>
      <c r="L139" s="150">
        <v>4430</v>
      </c>
      <c r="M139" s="150">
        <v>554.04999999999995</v>
      </c>
      <c r="N139" s="150">
        <v>0</v>
      </c>
      <c r="O139" s="150">
        <v>909855</v>
      </c>
      <c r="P139" s="150">
        <v>948919</v>
      </c>
      <c r="Q139" s="150">
        <v>998663.05</v>
      </c>
      <c r="R139" s="150">
        <v>998663.05</v>
      </c>
    </row>
    <row r="140" spans="1:19" x14ac:dyDescent="0.25">
      <c r="A140" t="str">
        <f t="shared" si="2"/>
        <v>43-9-120</v>
      </c>
      <c r="B140">
        <v>43</v>
      </c>
      <c r="C140" s="150" t="s">
        <v>1192</v>
      </c>
      <c r="D140" s="150">
        <v>9</v>
      </c>
      <c r="E140" s="150" t="s">
        <v>683</v>
      </c>
      <c r="F140" s="150">
        <v>120</v>
      </c>
      <c r="G140" s="150" t="s">
        <v>1139</v>
      </c>
      <c r="H140" s="150">
        <v>0</v>
      </c>
      <c r="I140" s="150">
        <v>0</v>
      </c>
      <c r="J140" s="150" t="s">
        <v>1203</v>
      </c>
      <c r="K140" s="150">
        <v>183</v>
      </c>
      <c r="L140" s="150">
        <v>1419</v>
      </c>
      <c r="M140" s="150">
        <v>246.57</v>
      </c>
      <c r="N140" s="150">
        <v>0</v>
      </c>
      <c r="O140" s="150">
        <v>361200</v>
      </c>
      <c r="P140" s="150">
        <v>379007</v>
      </c>
      <c r="Q140" s="150">
        <v>397804.57</v>
      </c>
      <c r="R140" s="150">
        <v>397804.57</v>
      </c>
    </row>
    <row r="141" spans="1:19" x14ac:dyDescent="0.25">
      <c r="A141" t="str">
        <f t="shared" si="2"/>
        <v>43-4-178</v>
      </c>
      <c r="B141">
        <v>43</v>
      </c>
      <c r="C141" s="150" t="s">
        <v>1192</v>
      </c>
      <c r="D141" s="150">
        <v>4</v>
      </c>
      <c r="E141" s="150" t="s">
        <v>146</v>
      </c>
      <c r="F141" s="150">
        <v>178</v>
      </c>
      <c r="G141" s="150" t="s">
        <v>1138</v>
      </c>
      <c r="H141" s="150">
        <v>0</v>
      </c>
      <c r="I141" s="150">
        <v>20172495</v>
      </c>
      <c r="J141" s="150" t="s">
        <v>1203</v>
      </c>
      <c r="K141" s="150">
        <v>14</v>
      </c>
      <c r="L141" s="150">
        <v>5916</v>
      </c>
      <c r="M141" s="150">
        <v>496.25</v>
      </c>
      <c r="N141" s="150">
        <v>0</v>
      </c>
      <c r="O141" s="150">
        <v>14777</v>
      </c>
      <c r="P141" s="150">
        <v>15349</v>
      </c>
      <c r="Q141" s="150">
        <v>15975</v>
      </c>
      <c r="R141" s="150">
        <v>15975</v>
      </c>
    </row>
    <row r="142" spans="1:19" x14ac:dyDescent="0.25">
      <c r="A142" t="str">
        <f t="shared" si="2"/>
        <v>16-2-16</v>
      </c>
      <c r="B142">
        <v>16</v>
      </c>
      <c r="C142" s="150" t="s">
        <v>1168</v>
      </c>
      <c r="D142" s="150">
        <v>2</v>
      </c>
      <c r="E142" s="150" t="s">
        <v>110</v>
      </c>
      <c r="F142" s="150">
        <v>16</v>
      </c>
      <c r="G142" s="150" t="s">
        <v>353</v>
      </c>
      <c r="H142" s="150">
        <v>15</v>
      </c>
      <c r="I142" s="150">
        <v>80344662</v>
      </c>
      <c r="J142" s="150"/>
      <c r="K142" s="150">
        <v>207941</v>
      </c>
      <c r="L142" s="150">
        <v>69909</v>
      </c>
      <c r="M142" s="150">
        <v>24524.38</v>
      </c>
      <c r="N142" s="150">
        <v>0</v>
      </c>
      <c r="O142" s="150">
        <v>5997287</v>
      </c>
      <c r="P142" s="150">
        <v>6687875</v>
      </c>
      <c r="Q142" s="150">
        <v>7026751.3799999999</v>
      </c>
      <c r="R142" s="150" t="s">
        <v>1314</v>
      </c>
      <c r="S142" s="150" t="s">
        <v>1314</v>
      </c>
    </row>
    <row r="143" spans="1:19" x14ac:dyDescent="0.25">
      <c r="A143" t="str">
        <f t="shared" si="2"/>
        <v>16-4-57</v>
      </c>
      <c r="B143">
        <v>16</v>
      </c>
      <c r="C143" s="150" t="s">
        <v>1168</v>
      </c>
      <c r="D143" s="150">
        <v>4</v>
      </c>
      <c r="E143" s="150" t="s">
        <v>146</v>
      </c>
      <c r="F143" s="150">
        <v>57</v>
      </c>
      <c r="G143" s="150" t="s">
        <v>871</v>
      </c>
      <c r="H143" s="150">
        <v>0</v>
      </c>
      <c r="I143" s="150">
        <v>74846417</v>
      </c>
      <c r="J143" s="150">
        <v>1</v>
      </c>
      <c r="K143" s="150">
        <v>140394</v>
      </c>
      <c r="L143" s="150">
        <v>45791</v>
      </c>
      <c r="M143" s="150">
        <v>22962.639999999999</v>
      </c>
      <c r="N143" s="150">
        <v>0</v>
      </c>
      <c r="O143" s="150">
        <v>187556</v>
      </c>
      <c r="P143" s="150">
        <v>207952</v>
      </c>
      <c r="Q143" s="150">
        <v>216791</v>
      </c>
      <c r="R143" s="150">
        <v>216791</v>
      </c>
    </row>
    <row r="144" spans="1:19" x14ac:dyDescent="0.25">
      <c r="A144" t="str">
        <f t="shared" si="2"/>
        <v>36-4-57</v>
      </c>
      <c r="B144">
        <v>36</v>
      </c>
      <c r="C144" s="150" t="s">
        <v>1187</v>
      </c>
      <c r="D144" s="150">
        <v>4</v>
      </c>
      <c r="E144" s="150" t="s">
        <v>146</v>
      </c>
      <c r="F144" s="150">
        <v>57</v>
      </c>
      <c r="G144" s="150" t="s">
        <v>871</v>
      </c>
      <c r="H144" s="150">
        <v>0</v>
      </c>
      <c r="I144" s="150">
        <v>1940672</v>
      </c>
      <c r="J144" s="150">
        <v>1</v>
      </c>
      <c r="K144" s="150">
        <v>140394</v>
      </c>
      <c r="L144" s="150">
        <v>45791</v>
      </c>
      <c r="M144" s="150">
        <v>22962.639999999999</v>
      </c>
      <c r="N144" s="150">
        <v>0</v>
      </c>
      <c r="O144" s="150">
        <v>187556</v>
      </c>
      <c r="P144" s="150">
        <v>207952</v>
      </c>
      <c r="Q144" s="150">
        <v>216791</v>
      </c>
      <c r="R144" s="150">
        <v>216791</v>
      </c>
    </row>
    <row r="145" spans="1:18" x14ac:dyDescent="0.25">
      <c r="A145" t="str">
        <f t="shared" si="2"/>
        <v>42-4-57</v>
      </c>
      <c r="B145">
        <v>42</v>
      </c>
      <c r="C145" s="150" t="s">
        <v>1194</v>
      </c>
      <c r="D145" s="150">
        <v>4</v>
      </c>
      <c r="E145" s="150" t="s">
        <v>146</v>
      </c>
      <c r="F145" s="150">
        <v>57</v>
      </c>
      <c r="G145" s="150" t="s">
        <v>871</v>
      </c>
      <c r="H145" s="150">
        <v>0</v>
      </c>
      <c r="I145" s="150">
        <v>1520217</v>
      </c>
      <c r="J145" s="150">
        <v>1</v>
      </c>
      <c r="K145" s="150">
        <v>140394</v>
      </c>
      <c r="L145" s="150">
        <v>45791</v>
      </c>
      <c r="M145" s="150">
        <v>22962.639999999999</v>
      </c>
      <c r="N145" s="150">
        <v>0</v>
      </c>
      <c r="O145" s="150">
        <v>187556</v>
      </c>
      <c r="P145" s="150">
        <v>207952</v>
      </c>
      <c r="Q145" s="150">
        <v>216791</v>
      </c>
      <c r="R145" s="150">
        <v>216791</v>
      </c>
    </row>
    <row r="146" spans="1:18" x14ac:dyDescent="0.25">
      <c r="A146" t="str">
        <f t="shared" si="2"/>
        <v>42-9-143</v>
      </c>
      <c r="B146">
        <v>42</v>
      </c>
      <c r="C146" s="150" t="s">
        <v>1194</v>
      </c>
      <c r="D146" s="150">
        <v>9</v>
      </c>
      <c r="E146" s="150" t="s">
        <v>683</v>
      </c>
      <c r="F146" s="150">
        <v>143</v>
      </c>
      <c r="G146" s="150" t="s">
        <v>1130</v>
      </c>
      <c r="H146" s="150">
        <v>0</v>
      </c>
      <c r="I146" s="150">
        <v>0</v>
      </c>
      <c r="J146" s="150" t="s">
        <v>1203</v>
      </c>
      <c r="K146" s="150">
        <v>0</v>
      </c>
      <c r="L146" s="150">
        <v>0</v>
      </c>
      <c r="M146" s="150">
        <v>0</v>
      </c>
      <c r="N146" s="150">
        <v>0</v>
      </c>
      <c r="O146" s="150">
        <v>108770</v>
      </c>
      <c r="P146" s="150">
        <v>112481</v>
      </c>
      <c r="Q146" s="150">
        <v>117172</v>
      </c>
      <c r="R146" s="150">
        <v>117172</v>
      </c>
    </row>
    <row r="147" spans="1:18" x14ac:dyDescent="0.25">
      <c r="A147" t="str">
        <f t="shared" si="2"/>
        <v>42-17-28</v>
      </c>
      <c r="B147">
        <v>42</v>
      </c>
      <c r="C147" s="150" t="s">
        <v>1194</v>
      </c>
      <c r="D147" s="150">
        <v>17</v>
      </c>
      <c r="E147" s="150" t="s">
        <v>688</v>
      </c>
      <c r="F147" s="150">
        <v>28</v>
      </c>
      <c r="G147" s="150" t="s">
        <v>656</v>
      </c>
      <c r="H147" s="150">
        <v>3362</v>
      </c>
      <c r="I147" s="150">
        <v>12476646</v>
      </c>
      <c r="J147" s="150" t="s">
        <v>1203</v>
      </c>
      <c r="K147" s="150">
        <v>2952</v>
      </c>
      <c r="L147" s="150">
        <v>375</v>
      </c>
      <c r="M147" s="150">
        <v>9.2100000000000009</v>
      </c>
      <c r="N147" s="150">
        <v>0</v>
      </c>
      <c r="O147" s="150">
        <v>49274</v>
      </c>
      <c r="P147" s="150">
        <v>44607</v>
      </c>
      <c r="Q147" s="150">
        <v>37011.21</v>
      </c>
      <c r="R147" s="150">
        <v>49274</v>
      </c>
    </row>
    <row r="148" spans="1:18" x14ac:dyDescent="0.25">
      <c r="A148" t="str">
        <f t="shared" si="2"/>
        <v>37-4-173</v>
      </c>
      <c r="B148">
        <v>37</v>
      </c>
      <c r="C148" s="150" t="s">
        <v>1188</v>
      </c>
      <c r="D148" s="150">
        <v>4</v>
      </c>
      <c r="E148" s="150" t="s">
        <v>146</v>
      </c>
      <c r="F148" s="150">
        <v>173</v>
      </c>
      <c r="G148" s="150" t="s">
        <v>1082</v>
      </c>
      <c r="H148" s="150">
        <v>0</v>
      </c>
      <c r="I148" s="150">
        <v>272134</v>
      </c>
      <c r="J148" s="150">
        <v>1</v>
      </c>
      <c r="K148" s="150">
        <v>7846</v>
      </c>
      <c r="L148" s="150">
        <v>2086</v>
      </c>
      <c r="M148" s="150">
        <v>99.99</v>
      </c>
      <c r="N148" s="150">
        <v>0</v>
      </c>
      <c r="O148" s="150">
        <v>41431</v>
      </c>
      <c r="P148" s="150">
        <v>42795</v>
      </c>
      <c r="Q148" s="150">
        <v>44427</v>
      </c>
      <c r="R148" s="150">
        <v>44427</v>
      </c>
    </row>
    <row r="149" spans="1:18" x14ac:dyDescent="0.25">
      <c r="A149" t="str">
        <f t="shared" si="2"/>
        <v>42-4-173</v>
      </c>
      <c r="B149">
        <v>42</v>
      </c>
      <c r="C149" s="150" t="s">
        <v>1194</v>
      </c>
      <c r="D149" s="150">
        <v>4</v>
      </c>
      <c r="E149" s="150" t="s">
        <v>146</v>
      </c>
      <c r="F149" s="150">
        <v>173</v>
      </c>
      <c r="G149" s="150" t="s">
        <v>1082</v>
      </c>
      <c r="H149" s="150">
        <v>0</v>
      </c>
      <c r="I149" s="150">
        <v>15277402</v>
      </c>
      <c r="J149" s="150">
        <v>1</v>
      </c>
      <c r="K149" s="150">
        <v>7846</v>
      </c>
      <c r="L149" s="150">
        <v>2086</v>
      </c>
      <c r="M149" s="150">
        <v>99.99</v>
      </c>
      <c r="N149" s="150">
        <v>0</v>
      </c>
      <c r="O149" s="150">
        <v>41431</v>
      </c>
      <c r="P149" s="150">
        <v>42795</v>
      </c>
      <c r="Q149" s="150">
        <v>44427</v>
      </c>
      <c r="R149" s="150">
        <v>44427</v>
      </c>
    </row>
    <row r="150" spans="1:18" x14ac:dyDescent="0.25">
      <c r="A150" t="str">
        <f t="shared" si="2"/>
        <v>28-21-1</v>
      </c>
      <c r="B150">
        <v>28</v>
      </c>
      <c r="C150" s="150" t="s">
        <v>1180</v>
      </c>
      <c r="D150" s="150">
        <v>21</v>
      </c>
      <c r="E150" s="150" t="s">
        <v>690</v>
      </c>
      <c r="F150" s="150">
        <v>1</v>
      </c>
      <c r="G150" s="150" t="s">
        <v>522</v>
      </c>
      <c r="H150" s="150">
        <v>1279</v>
      </c>
      <c r="I150" s="150">
        <v>412289</v>
      </c>
      <c r="J150" s="150">
        <v>1</v>
      </c>
      <c r="K150" s="150">
        <v>0</v>
      </c>
      <c r="L150" s="150">
        <v>70</v>
      </c>
      <c r="M150" s="150">
        <v>5.03</v>
      </c>
      <c r="N150" s="150">
        <v>0</v>
      </c>
      <c r="O150" s="150">
        <v>13042</v>
      </c>
      <c r="P150" s="150">
        <v>13503</v>
      </c>
      <c r="Q150" s="150">
        <v>13933.03</v>
      </c>
      <c r="R150" s="150">
        <v>13933.03</v>
      </c>
    </row>
    <row r="151" spans="1:18" x14ac:dyDescent="0.25">
      <c r="A151" t="str">
        <f t="shared" si="2"/>
        <v>40-21-1</v>
      </c>
      <c r="B151">
        <v>40</v>
      </c>
      <c r="C151" s="150" t="s">
        <v>1190</v>
      </c>
      <c r="D151" s="150">
        <v>21</v>
      </c>
      <c r="E151" s="150" t="s">
        <v>690</v>
      </c>
      <c r="F151" s="150">
        <v>1</v>
      </c>
      <c r="G151" s="150" t="s">
        <v>522</v>
      </c>
      <c r="H151" s="150">
        <v>1279</v>
      </c>
      <c r="I151" s="150">
        <v>2132568</v>
      </c>
      <c r="J151" s="150">
        <v>1</v>
      </c>
      <c r="K151" s="150">
        <v>0</v>
      </c>
      <c r="L151" s="150">
        <v>70</v>
      </c>
      <c r="M151" s="150">
        <v>5.03</v>
      </c>
      <c r="N151" s="150">
        <v>0</v>
      </c>
      <c r="O151" s="150">
        <v>13042</v>
      </c>
      <c r="P151" s="150">
        <v>13503</v>
      </c>
      <c r="Q151" s="150">
        <v>13933.03</v>
      </c>
      <c r="R151" s="150">
        <v>13933.03</v>
      </c>
    </row>
    <row r="152" spans="1:18" x14ac:dyDescent="0.25">
      <c r="A152" t="str">
        <f t="shared" si="2"/>
        <v>15-7-17</v>
      </c>
      <c r="B152">
        <v>15</v>
      </c>
      <c r="C152" s="150" t="s">
        <v>1167</v>
      </c>
      <c r="D152" s="150">
        <v>7</v>
      </c>
      <c r="E152" s="150" t="s">
        <v>681</v>
      </c>
      <c r="F152" s="150">
        <v>17</v>
      </c>
      <c r="G152" s="150" t="s">
        <v>346</v>
      </c>
      <c r="H152" s="150">
        <v>0</v>
      </c>
      <c r="I152" s="150">
        <v>16488378</v>
      </c>
      <c r="J152" s="150" t="s">
        <v>1203</v>
      </c>
      <c r="K152" s="150">
        <v>610</v>
      </c>
      <c r="L152" s="150">
        <v>70</v>
      </c>
      <c r="M152" s="150">
        <v>55.95</v>
      </c>
      <c r="N152" s="150">
        <v>0</v>
      </c>
      <c r="O152" s="150">
        <v>9897</v>
      </c>
      <c r="P152" s="150">
        <v>10194</v>
      </c>
      <c r="Q152" s="150">
        <v>10531.95</v>
      </c>
      <c r="R152" s="150">
        <v>10531.95</v>
      </c>
    </row>
    <row r="153" spans="1:18" x14ac:dyDescent="0.25">
      <c r="A153" t="str">
        <f t="shared" si="2"/>
        <v>10-7-19</v>
      </c>
      <c r="B153">
        <v>10</v>
      </c>
      <c r="C153" s="150" t="s">
        <v>1162</v>
      </c>
      <c r="D153" s="150">
        <v>7</v>
      </c>
      <c r="E153" s="150" t="s">
        <v>681</v>
      </c>
      <c r="F153" s="150">
        <v>19</v>
      </c>
      <c r="G153" s="150" t="s">
        <v>486</v>
      </c>
      <c r="H153" s="150">
        <v>0</v>
      </c>
      <c r="I153" s="150">
        <v>7331201</v>
      </c>
      <c r="J153" s="150">
        <v>1</v>
      </c>
      <c r="K153" s="150">
        <v>953</v>
      </c>
      <c r="L153" s="150">
        <v>444</v>
      </c>
      <c r="M153" s="150">
        <v>158.51</v>
      </c>
      <c r="N153" s="150">
        <v>0</v>
      </c>
      <c r="O153" s="150">
        <v>64018</v>
      </c>
      <c r="P153" s="150">
        <v>67479</v>
      </c>
      <c r="Q153" s="150">
        <v>71463.509999999995</v>
      </c>
      <c r="R153" s="150">
        <v>71463.509999999995</v>
      </c>
    </row>
    <row r="154" spans="1:18" x14ac:dyDescent="0.25">
      <c r="A154" t="str">
        <f t="shared" si="2"/>
        <v>26-7-19</v>
      </c>
      <c r="B154">
        <v>26</v>
      </c>
      <c r="C154" s="150" t="s">
        <v>1178</v>
      </c>
      <c r="D154" s="150">
        <v>7</v>
      </c>
      <c r="E154" s="150" t="s">
        <v>681</v>
      </c>
      <c r="F154" s="150">
        <v>19</v>
      </c>
      <c r="G154" s="150" t="s">
        <v>486</v>
      </c>
      <c r="H154" s="150">
        <v>0</v>
      </c>
      <c r="I154" s="150">
        <v>7011414</v>
      </c>
      <c r="J154" s="150">
        <v>1</v>
      </c>
      <c r="K154" s="150">
        <v>953</v>
      </c>
      <c r="L154" s="150">
        <v>444</v>
      </c>
      <c r="M154" s="150">
        <v>158.51</v>
      </c>
      <c r="N154" s="150">
        <v>0</v>
      </c>
      <c r="O154" s="150">
        <v>64018</v>
      </c>
      <c r="P154" s="150">
        <v>67479</v>
      </c>
      <c r="Q154" s="150">
        <v>71463.509999999995</v>
      </c>
      <c r="R154" s="150">
        <v>71463.509999999995</v>
      </c>
    </row>
    <row r="155" spans="1:18" x14ac:dyDescent="0.25">
      <c r="A155" t="str">
        <f t="shared" si="2"/>
        <v>31-11-5</v>
      </c>
      <c r="B155">
        <v>31</v>
      </c>
      <c r="C155" s="150" t="s">
        <v>1183</v>
      </c>
      <c r="D155" s="150">
        <v>11</v>
      </c>
      <c r="E155" s="150" t="s">
        <v>1204</v>
      </c>
      <c r="F155" s="150">
        <v>5</v>
      </c>
      <c r="G155" s="150" t="s">
        <v>1049</v>
      </c>
      <c r="H155" s="150">
        <v>34017</v>
      </c>
      <c r="I155" s="150">
        <v>3338351</v>
      </c>
      <c r="J155" s="150" t="s">
        <v>1203</v>
      </c>
      <c r="K155" s="150">
        <v>8168</v>
      </c>
      <c r="L155" s="150">
        <v>1121</v>
      </c>
      <c r="M155" s="150">
        <v>485.96</v>
      </c>
      <c r="N155" s="150">
        <v>0</v>
      </c>
      <c r="O155" s="150">
        <v>188879</v>
      </c>
      <c r="P155" s="150">
        <v>188879</v>
      </c>
      <c r="Q155" s="150">
        <v>204706.96</v>
      </c>
      <c r="R155" s="150">
        <v>204706.96</v>
      </c>
    </row>
    <row r="156" spans="1:18" x14ac:dyDescent="0.25">
      <c r="A156" t="str">
        <f t="shared" si="2"/>
        <v>35-19-5</v>
      </c>
      <c r="B156">
        <v>35</v>
      </c>
      <c r="C156" s="150" t="s">
        <v>1195</v>
      </c>
      <c r="D156" s="150">
        <v>19</v>
      </c>
      <c r="E156" s="150" t="s">
        <v>1205</v>
      </c>
      <c r="F156" s="150">
        <v>5</v>
      </c>
      <c r="G156" s="150" t="s">
        <v>1075</v>
      </c>
      <c r="H156" s="150">
        <v>9871</v>
      </c>
      <c r="I156" s="150">
        <v>6575597</v>
      </c>
      <c r="J156" s="150" t="s">
        <v>1203</v>
      </c>
      <c r="K156" s="150">
        <v>70</v>
      </c>
      <c r="L156" s="150">
        <v>624</v>
      </c>
      <c r="M156" s="150">
        <v>28.75</v>
      </c>
      <c r="N156" s="150">
        <v>0</v>
      </c>
      <c r="O156" s="150">
        <v>307820</v>
      </c>
      <c r="P156" s="150">
        <v>320000</v>
      </c>
      <c r="Q156" s="150">
        <v>333099.75</v>
      </c>
      <c r="R156" s="150">
        <v>333099.75</v>
      </c>
    </row>
    <row r="157" spans="1:18" x14ac:dyDescent="0.25">
      <c r="A157" t="str">
        <f t="shared" si="2"/>
        <v>19-7-20</v>
      </c>
      <c r="B157">
        <v>19</v>
      </c>
      <c r="C157" s="150" t="s">
        <v>1171</v>
      </c>
      <c r="D157" s="150">
        <v>7</v>
      </c>
      <c r="E157" s="150" t="s">
        <v>681</v>
      </c>
      <c r="F157" s="150">
        <v>20</v>
      </c>
      <c r="G157" s="150" t="s">
        <v>392</v>
      </c>
      <c r="H157" s="150">
        <v>0</v>
      </c>
      <c r="I157" s="150">
        <v>7823354</v>
      </c>
      <c r="J157" s="150" t="s">
        <v>1203</v>
      </c>
      <c r="K157" s="150">
        <v>273</v>
      </c>
      <c r="L157" s="150">
        <v>410</v>
      </c>
      <c r="M157" s="150">
        <v>109.79</v>
      </c>
      <c r="N157" s="150">
        <v>0</v>
      </c>
      <c r="O157" s="150">
        <v>36844</v>
      </c>
      <c r="P157" s="150">
        <v>37927</v>
      </c>
      <c r="Q157" s="150">
        <v>39338.79</v>
      </c>
      <c r="R157" s="150">
        <v>39338.79</v>
      </c>
    </row>
    <row r="158" spans="1:18" x14ac:dyDescent="0.25">
      <c r="A158" t="str">
        <f t="shared" si="2"/>
        <v>19-4-68</v>
      </c>
      <c r="B158">
        <v>19</v>
      </c>
      <c r="C158" s="150" t="s">
        <v>1171</v>
      </c>
      <c r="D158" s="150">
        <v>4</v>
      </c>
      <c r="E158" s="150" t="s">
        <v>146</v>
      </c>
      <c r="F158" s="150">
        <v>68</v>
      </c>
      <c r="G158" s="150" t="s">
        <v>917</v>
      </c>
      <c r="H158" s="150">
        <v>0</v>
      </c>
      <c r="I158" s="150">
        <v>10482689</v>
      </c>
      <c r="J158" s="150">
        <v>1</v>
      </c>
      <c r="K158" s="150">
        <v>0</v>
      </c>
      <c r="L158" s="150">
        <v>3539</v>
      </c>
      <c r="M158" s="150">
        <v>1486.84</v>
      </c>
      <c r="N158" s="150">
        <v>0</v>
      </c>
      <c r="O158" s="150">
        <v>11330</v>
      </c>
      <c r="P158" s="150">
        <v>11752</v>
      </c>
      <c r="Q158" s="150">
        <v>12167</v>
      </c>
      <c r="R158" s="150">
        <v>12167</v>
      </c>
    </row>
    <row r="159" spans="1:18" x14ac:dyDescent="0.25">
      <c r="A159" t="str">
        <f t="shared" si="2"/>
        <v>30-4-68</v>
      </c>
      <c r="B159">
        <v>30</v>
      </c>
      <c r="C159" s="150" t="s">
        <v>1182</v>
      </c>
      <c r="D159" s="150">
        <v>4</v>
      </c>
      <c r="E159" s="150" t="s">
        <v>146</v>
      </c>
      <c r="F159" s="150">
        <v>68</v>
      </c>
      <c r="G159" s="150" t="s">
        <v>917</v>
      </c>
      <c r="H159" s="150">
        <v>0</v>
      </c>
      <c r="I159" s="150">
        <v>1377439</v>
      </c>
      <c r="J159" s="150">
        <v>1</v>
      </c>
      <c r="K159" s="150">
        <v>0</v>
      </c>
      <c r="L159" s="150">
        <v>3539</v>
      </c>
      <c r="M159" s="150">
        <v>1486.84</v>
      </c>
      <c r="N159" s="150">
        <v>0</v>
      </c>
      <c r="O159" s="150">
        <v>11330</v>
      </c>
      <c r="P159" s="150">
        <v>11752</v>
      </c>
      <c r="Q159" s="150">
        <v>12167</v>
      </c>
      <c r="R159" s="150">
        <v>12167</v>
      </c>
    </row>
    <row r="160" spans="1:18" x14ac:dyDescent="0.25">
      <c r="A160" t="str">
        <f t="shared" si="2"/>
        <v>6-3-1</v>
      </c>
      <c r="B160">
        <v>6</v>
      </c>
      <c r="C160" s="150" t="s">
        <v>1159</v>
      </c>
      <c r="D160" s="150">
        <v>3</v>
      </c>
      <c r="E160" s="150" t="s">
        <v>147</v>
      </c>
      <c r="F160" s="150">
        <v>1</v>
      </c>
      <c r="G160" s="150" t="s">
        <v>219</v>
      </c>
      <c r="H160" s="150">
        <v>11153</v>
      </c>
      <c r="I160" s="150">
        <v>2481894</v>
      </c>
      <c r="J160" s="150" t="s">
        <v>1203</v>
      </c>
      <c r="K160" s="150">
        <v>2947</v>
      </c>
      <c r="L160" s="150">
        <v>7986</v>
      </c>
      <c r="M160" s="150">
        <v>4655.42</v>
      </c>
      <c r="N160" s="150">
        <v>0</v>
      </c>
      <c r="O160" s="150">
        <v>479417</v>
      </c>
      <c r="P160" s="150">
        <v>495169</v>
      </c>
      <c r="Q160" s="150">
        <v>510434.42</v>
      </c>
      <c r="R160" s="150">
        <v>510434.42</v>
      </c>
    </row>
    <row r="161" spans="1:18" x14ac:dyDescent="0.25">
      <c r="A161" t="str">
        <f t="shared" si="2"/>
        <v>34-3-2</v>
      </c>
      <c r="B161">
        <v>34</v>
      </c>
      <c r="C161" s="150" t="s">
        <v>1186</v>
      </c>
      <c r="D161" s="150">
        <v>3</v>
      </c>
      <c r="E161" s="150" t="s">
        <v>147</v>
      </c>
      <c r="F161" s="150">
        <v>2</v>
      </c>
      <c r="G161" s="150" t="s">
        <v>579</v>
      </c>
      <c r="H161" s="150">
        <v>0</v>
      </c>
      <c r="I161" s="150">
        <v>217454</v>
      </c>
      <c r="J161" s="150" t="s">
        <v>1203</v>
      </c>
      <c r="K161" s="150">
        <v>0</v>
      </c>
      <c r="L161" s="150">
        <v>1271</v>
      </c>
      <c r="M161" s="150">
        <v>558.55000000000007</v>
      </c>
      <c r="N161" s="150">
        <v>0</v>
      </c>
      <c r="O161" s="150">
        <v>18780</v>
      </c>
      <c r="P161" s="150">
        <v>20282</v>
      </c>
      <c r="Q161" s="150">
        <v>21542.55</v>
      </c>
      <c r="R161" s="150">
        <v>21542.55</v>
      </c>
    </row>
    <row r="162" spans="1:18" x14ac:dyDescent="0.25">
      <c r="A162" t="str">
        <f t="shared" si="2"/>
        <v>16-3-3</v>
      </c>
      <c r="B162">
        <v>16</v>
      </c>
      <c r="C162" s="150" t="s">
        <v>1168</v>
      </c>
      <c r="D162" s="150">
        <v>3</v>
      </c>
      <c r="E162" s="150" t="s">
        <v>147</v>
      </c>
      <c r="F162" s="150">
        <v>3</v>
      </c>
      <c r="G162" s="150" t="s">
        <v>354</v>
      </c>
      <c r="H162" s="150">
        <v>3142</v>
      </c>
      <c r="I162" s="150">
        <v>297075</v>
      </c>
      <c r="J162" s="150" t="s">
        <v>1203</v>
      </c>
      <c r="K162" s="150">
        <v>94</v>
      </c>
      <c r="L162" s="150">
        <v>569</v>
      </c>
      <c r="M162" s="150">
        <v>59.32</v>
      </c>
      <c r="N162" s="150">
        <v>0</v>
      </c>
      <c r="O162" s="150">
        <v>32562</v>
      </c>
      <c r="P162" s="150">
        <v>32569</v>
      </c>
      <c r="Q162" s="150">
        <v>35175.32</v>
      </c>
      <c r="R162" s="150">
        <v>35175.32</v>
      </c>
    </row>
    <row r="163" spans="1:18" x14ac:dyDescent="0.25">
      <c r="A163" t="str">
        <f t="shared" si="2"/>
        <v>39-3-4</v>
      </c>
      <c r="B163">
        <v>39</v>
      </c>
      <c r="C163" s="150" t="s">
        <v>164</v>
      </c>
      <c r="D163" s="150">
        <v>3</v>
      </c>
      <c r="E163" s="150" t="s">
        <v>147</v>
      </c>
      <c r="F163" s="150">
        <v>4</v>
      </c>
      <c r="G163" s="150" t="s">
        <v>619</v>
      </c>
      <c r="H163" s="150">
        <v>331</v>
      </c>
      <c r="I163" s="150">
        <v>6713714</v>
      </c>
      <c r="J163" s="150" t="s">
        <v>1203</v>
      </c>
      <c r="K163" s="150">
        <v>209</v>
      </c>
      <c r="L163" s="150">
        <v>31137</v>
      </c>
      <c r="M163" s="150">
        <v>15156.3</v>
      </c>
      <c r="N163" s="150">
        <v>0</v>
      </c>
      <c r="O163" s="150">
        <v>1324071</v>
      </c>
      <c r="P163" s="150">
        <v>1375515</v>
      </c>
      <c r="Q163" s="150">
        <v>1421582.3</v>
      </c>
      <c r="R163" s="150">
        <v>1421582.3</v>
      </c>
    </row>
    <row r="164" spans="1:18" x14ac:dyDescent="0.25">
      <c r="A164" t="str">
        <f t="shared" si="2"/>
        <v>10-3-5</v>
      </c>
      <c r="B164">
        <v>10</v>
      </c>
      <c r="C164" s="150" t="s">
        <v>1162</v>
      </c>
      <c r="D164" s="150">
        <v>3</v>
      </c>
      <c r="E164" s="150" t="s">
        <v>147</v>
      </c>
      <c r="F164" s="150">
        <v>5</v>
      </c>
      <c r="G164" s="150" t="s">
        <v>280</v>
      </c>
      <c r="H164" s="150">
        <v>4</v>
      </c>
      <c r="I164" s="150">
        <v>7362012</v>
      </c>
      <c r="J164" s="150" t="s">
        <v>1203</v>
      </c>
      <c r="K164" s="150">
        <v>153</v>
      </c>
      <c r="L164" s="150">
        <v>22691</v>
      </c>
      <c r="M164" s="150">
        <v>6091.9000000000005</v>
      </c>
      <c r="N164" s="150">
        <v>0</v>
      </c>
      <c r="O164" s="150">
        <v>2293360</v>
      </c>
      <c r="P164" s="150">
        <v>2403382</v>
      </c>
      <c r="Q164" s="150">
        <v>2527774.9</v>
      </c>
      <c r="R164" s="150">
        <v>2527774.9</v>
      </c>
    </row>
    <row r="165" spans="1:18" x14ac:dyDescent="0.25">
      <c r="A165" t="str">
        <f t="shared" si="2"/>
        <v>12-3-6</v>
      </c>
      <c r="B165">
        <v>12</v>
      </c>
      <c r="C165" s="150" t="s">
        <v>1164</v>
      </c>
      <c r="D165" s="150">
        <v>3</v>
      </c>
      <c r="E165" s="150" t="s">
        <v>147</v>
      </c>
      <c r="F165" s="150">
        <v>6</v>
      </c>
      <c r="G165" s="150" t="s">
        <v>298</v>
      </c>
      <c r="H165" s="150">
        <v>0</v>
      </c>
      <c r="I165" s="150">
        <v>791546</v>
      </c>
      <c r="J165" s="150" t="s">
        <v>1203</v>
      </c>
      <c r="K165" s="150">
        <v>563</v>
      </c>
      <c r="L165" s="150">
        <v>11394</v>
      </c>
      <c r="M165" s="150">
        <v>1100.8500000000001</v>
      </c>
      <c r="N165" s="150">
        <v>0</v>
      </c>
      <c r="O165" s="150">
        <v>259454</v>
      </c>
      <c r="P165" s="150">
        <v>267445</v>
      </c>
      <c r="Q165" s="150">
        <v>268545.84999999998</v>
      </c>
      <c r="R165" s="150">
        <v>268545.84999999998</v>
      </c>
    </row>
    <row r="166" spans="1:18" x14ac:dyDescent="0.25">
      <c r="A166" t="str">
        <f t="shared" si="2"/>
        <v>3-3-7</v>
      </c>
      <c r="B166">
        <v>3</v>
      </c>
      <c r="C166" s="150" t="s">
        <v>1157</v>
      </c>
      <c r="D166" s="150">
        <v>3</v>
      </c>
      <c r="E166" s="150" t="s">
        <v>147</v>
      </c>
      <c r="F166" s="150">
        <v>7</v>
      </c>
      <c r="G166" s="150" t="s">
        <v>184</v>
      </c>
      <c r="H166" s="150">
        <v>0</v>
      </c>
      <c r="I166" s="150">
        <v>6404816</v>
      </c>
      <c r="J166" s="150" t="s">
        <v>1203</v>
      </c>
      <c r="K166" s="150">
        <v>27</v>
      </c>
      <c r="L166" s="150">
        <v>202</v>
      </c>
      <c r="M166" s="150">
        <v>172.65</v>
      </c>
      <c r="N166" s="150">
        <v>0</v>
      </c>
      <c r="O166" s="150">
        <v>44683</v>
      </c>
      <c r="P166" s="150">
        <v>46023</v>
      </c>
      <c r="Q166" s="150">
        <v>47224.65</v>
      </c>
      <c r="R166" s="150">
        <v>47224.65</v>
      </c>
    </row>
    <row r="167" spans="1:18" x14ac:dyDescent="0.25">
      <c r="A167" t="str">
        <f t="shared" si="2"/>
        <v>22-3-8</v>
      </c>
      <c r="B167">
        <v>22</v>
      </c>
      <c r="C167" s="150" t="s">
        <v>1174</v>
      </c>
      <c r="D167" s="150">
        <v>3</v>
      </c>
      <c r="E167" s="150" t="s">
        <v>147</v>
      </c>
      <c r="F167" s="150">
        <v>8</v>
      </c>
      <c r="G167" s="150" t="s">
        <v>421</v>
      </c>
      <c r="H167" s="150">
        <v>890</v>
      </c>
      <c r="I167" s="150">
        <v>984461</v>
      </c>
      <c r="J167" s="150" t="s">
        <v>1203</v>
      </c>
      <c r="K167" s="150">
        <v>2103</v>
      </c>
      <c r="L167" s="150">
        <v>9150</v>
      </c>
      <c r="M167" s="150">
        <v>1167.32</v>
      </c>
      <c r="N167" s="150">
        <v>0</v>
      </c>
      <c r="O167" s="150">
        <v>429175</v>
      </c>
      <c r="P167" s="150">
        <v>445112</v>
      </c>
      <c r="Q167" s="150">
        <v>446279.32</v>
      </c>
      <c r="R167" s="150">
        <v>446279.32</v>
      </c>
    </row>
    <row r="168" spans="1:18" x14ac:dyDescent="0.25">
      <c r="A168" t="str">
        <f t="shared" si="2"/>
        <v>28-3-9</v>
      </c>
      <c r="B168">
        <v>28</v>
      </c>
      <c r="C168" s="150" t="s">
        <v>1180</v>
      </c>
      <c r="D168" s="150">
        <v>3</v>
      </c>
      <c r="E168" s="150" t="s">
        <v>147</v>
      </c>
      <c r="F168" s="150">
        <v>9</v>
      </c>
      <c r="G168" s="150" t="s">
        <v>496</v>
      </c>
      <c r="H168" s="150">
        <v>0</v>
      </c>
      <c r="I168" s="150">
        <v>6672896</v>
      </c>
      <c r="J168" s="150" t="s">
        <v>1203</v>
      </c>
      <c r="K168" s="150">
        <v>0</v>
      </c>
      <c r="L168" s="150">
        <v>5031</v>
      </c>
      <c r="M168" s="150">
        <v>211.67</v>
      </c>
      <c r="N168" s="150">
        <v>0</v>
      </c>
      <c r="O168" s="150">
        <v>173836</v>
      </c>
      <c r="P168" s="150">
        <v>180753</v>
      </c>
      <c r="Q168" s="150">
        <v>194794.67</v>
      </c>
      <c r="R168" s="150">
        <v>194794.67</v>
      </c>
    </row>
    <row r="169" spans="1:18" x14ac:dyDescent="0.25">
      <c r="A169" t="str">
        <f t="shared" si="2"/>
        <v>15-3-11</v>
      </c>
      <c r="B169">
        <v>15</v>
      </c>
      <c r="C169" s="150" t="s">
        <v>1167</v>
      </c>
      <c r="D169" s="150">
        <v>3</v>
      </c>
      <c r="E169" s="150" t="s">
        <v>147</v>
      </c>
      <c r="F169" s="150">
        <v>11</v>
      </c>
      <c r="G169" s="150" t="s">
        <v>342</v>
      </c>
      <c r="H169" s="150">
        <v>0</v>
      </c>
      <c r="I169" s="150">
        <v>3720471</v>
      </c>
      <c r="J169" s="150" t="s">
        <v>1203</v>
      </c>
      <c r="K169" s="150">
        <v>4432</v>
      </c>
      <c r="L169" s="150">
        <v>5638</v>
      </c>
      <c r="M169" s="150">
        <v>2194.3199999999997</v>
      </c>
      <c r="N169" s="150">
        <v>0</v>
      </c>
      <c r="O169" s="150">
        <v>207408</v>
      </c>
      <c r="P169" s="150">
        <v>213828</v>
      </c>
      <c r="Q169" s="150">
        <v>221424.32</v>
      </c>
      <c r="R169" s="150">
        <v>221424.32</v>
      </c>
    </row>
    <row r="170" spans="1:18" x14ac:dyDescent="0.25">
      <c r="A170" t="str">
        <f t="shared" si="2"/>
        <v>6-3-12</v>
      </c>
      <c r="B170">
        <v>6</v>
      </c>
      <c r="C170" s="150" t="s">
        <v>1159</v>
      </c>
      <c r="D170" s="150">
        <v>3</v>
      </c>
      <c r="E170" s="150" t="s">
        <v>147</v>
      </c>
      <c r="F170" s="150">
        <v>12</v>
      </c>
      <c r="G170" s="150" t="s">
        <v>220</v>
      </c>
      <c r="H170" s="150">
        <v>792</v>
      </c>
      <c r="I170" s="150">
        <v>1126744</v>
      </c>
      <c r="J170" s="150" t="s">
        <v>1203</v>
      </c>
      <c r="K170" s="150">
        <v>6</v>
      </c>
      <c r="L170" s="150">
        <v>92</v>
      </c>
      <c r="M170" s="150">
        <v>42.74</v>
      </c>
      <c r="N170" s="150">
        <v>0</v>
      </c>
      <c r="O170" s="150">
        <v>19793</v>
      </c>
      <c r="P170" s="150">
        <v>20608</v>
      </c>
      <c r="Q170" s="150">
        <v>21263.74</v>
      </c>
      <c r="R170" s="150">
        <v>21263.74</v>
      </c>
    </row>
    <row r="171" spans="1:18" x14ac:dyDescent="0.25">
      <c r="A171" t="str">
        <f t="shared" si="2"/>
        <v>7-3-13</v>
      </c>
      <c r="B171">
        <v>7</v>
      </c>
      <c r="C171" s="150" t="s">
        <v>1199</v>
      </c>
      <c r="D171" s="150">
        <v>3</v>
      </c>
      <c r="E171" s="150" t="s">
        <v>147</v>
      </c>
      <c r="F171" s="150">
        <v>13</v>
      </c>
      <c r="G171" s="150" t="s">
        <v>240</v>
      </c>
      <c r="H171" s="150">
        <v>12891</v>
      </c>
      <c r="I171" s="150">
        <v>1322904</v>
      </c>
      <c r="J171" s="150" t="s">
        <v>1203</v>
      </c>
      <c r="K171" s="150">
        <v>19</v>
      </c>
      <c r="L171" s="150">
        <v>7054</v>
      </c>
      <c r="M171" s="150">
        <v>979.09</v>
      </c>
      <c r="N171" s="150">
        <v>0</v>
      </c>
      <c r="O171" s="150">
        <v>767366</v>
      </c>
      <c r="P171" s="150">
        <v>794951</v>
      </c>
      <c r="Q171" s="150">
        <v>819566.09</v>
      </c>
      <c r="R171" s="150">
        <v>819566.09</v>
      </c>
    </row>
    <row r="172" spans="1:18" x14ac:dyDescent="0.25">
      <c r="A172" t="str">
        <f t="shared" si="2"/>
        <v>6-3-14</v>
      </c>
      <c r="B172">
        <v>6</v>
      </c>
      <c r="C172" s="150" t="s">
        <v>1159</v>
      </c>
      <c r="D172" s="150">
        <v>3</v>
      </c>
      <c r="E172" s="150" t="s">
        <v>147</v>
      </c>
      <c r="F172" s="150">
        <v>14</v>
      </c>
      <c r="G172" s="150" t="s">
        <v>221</v>
      </c>
      <c r="H172" s="150">
        <v>328744</v>
      </c>
      <c r="I172" s="150">
        <v>10227627</v>
      </c>
      <c r="J172" s="150" t="s">
        <v>1203</v>
      </c>
      <c r="K172" s="150">
        <v>1345</v>
      </c>
      <c r="L172" s="150">
        <v>77714</v>
      </c>
      <c r="M172" s="150">
        <v>16470.560000000001</v>
      </c>
      <c r="N172" s="150">
        <v>0</v>
      </c>
      <c r="O172" s="150">
        <v>5416115</v>
      </c>
      <c r="P172" s="150">
        <v>5576226</v>
      </c>
      <c r="Q172" s="150">
        <v>5740965.5599999996</v>
      </c>
      <c r="R172" s="150">
        <v>5740965.5599999996</v>
      </c>
    </row>
    <row r="173" spans="1:18" x14ac:dyDescent="0.25">
      <c r="A173" t="str">
        <f t="shared" si="2"/>
        <v>24-3-15</v>
      </c>
      <c r="B173">
        <v>24</v>
      </c>
      <c r="C173" s="150" t="s">
        <v>1176</v>
      </c>
      <c r="D173" s="150">
        <v>3</v>
      </c>
      <c r="E173" s="150" t="s">
        <v>147</v>
      </c>
      <c r="F173" s="150">
        <v>15</v>
      </c>
      <c r="G173" s="150" t="s">
        <v>435</v>
      </c>
      <c r="H173" s="150">
        <v>0</v>
      </c>
      <c r="I173" s="150">
        <v>2554871</v>
      </c>
      <c r="J173" s="150" t="s">
        <v>1203</v>
      </c>
      <c r="K173" s="150">
        <v>0</v>
      </c>
      <c r="L173" s="150">
        <v>5782</v>
      </c>
      <c r="M173" s="150">
        <v>818.1</v>
      </c>
      <c r="N173" s="150">
        <v>0</v>
      </c>
      <c r="O173" s="150">
        <v>77469</v>
      </c>
      <c r="P173" s="150">
        <v>79793</v>
      </c>
      <c r="Q173" s="150">
        <v>84188.1</v>
      </c>
      <c r="R173" s="150">
        <v>84188.1</v>
      </c>
    </row>
    <row r="174" spans="1:18" x14ac:dyDescent="0.25">
      <c r="A174" t="str">
        <f t="shared" si="2"/>
        <v>4-3-16</v>
      </c>
      <c r="B174">
        <v>4</v>
      </c>
      <c r="C174" s="150" t="s">
        <v>1196</v>
      </c>
      <c r="D174" s="150">
        <v>3</v>
      </c>
      <c r="E174" s="150" t="s">
        <v>147</v>
      </c>
      <c r="F174" s="150">
        <v>16</v>
      </c>
      <c r="G174" s="150" t="s">
        <v>199</v>
      </c>
      <c r="H174" s="150">
        <v>0</v>
      </c>
      <c r="I174" s="150">
        <v>246952</v>
      </c>
      <c r="J174" s="150" t="s">
        <v>1203</v>
      </c>
      <c r="K174" s="150">
        <v>17</v>
      </c>
      <c r="L174" s="150">
        <v>352</v>
      </c>
      <c r="M174" s="150">
        <v>0.94000000000000006</v>
      </c>
      <c r="N174" s="150">
        <v>0</v>
      </c>
      <c r="O174" s="150">
        <v>23615</v>
      </c>
      <c r="P174" s="150">
        <v>25504</v>
      </c>
      <c r="Q174" s="150">
        <v>26422.94</v>
      </c>
      <c r="R174" s="150">
        <v>26422.94</v>
      </c>
    </row>
    <row r="175" spans="1:18" x14ac:dyDescent="0.25">
      <c r="A175" t="str">
        <f t="shared" si="2"/>
        <v>1-3-17</v>
      </c>
      <c r="B175">
        <v>1</v>
      </c>
      <c r="C175" s="150" t="s">
        <v>1155</v>
      </c>
      <c r="D175" s="150">
        <v>3</v>
      </c>
      <c r="E175" s="150" t="s">
        <v>147</v>
      </c>
      <c r="F175" s="150">
        <v>17</v>
      </c>
      <c r="G175" s="150" t="s">
        <v>695</v>
      </c>
      <c r="H175" s="150">
        <v>7473920</v>
      </c>
      <c r="I175" s="150">
        <v>368999846</v>
      </c>
      <c r="J175" s="150" t="s">
        <v>1203</v>
      </c>
      <c r="K175" s="150">
        <v>1303</v>
      </c>
      <c r="L175" s="150">
        <v>1096081</v>
      </c>
      <c r="M175" s="150">
        <v>264902.73</v>
      </c>
      <c r="N175" s="150">
        <v>0</v>
      </c>
      <c r="O175" s="150">
        <v>169058137</v>
      </c>
      <c r="P175" s="150">
        <v>175158760</v>
      </c>
      <c r="Q175" s="150">
        <v>180698255.72999999</v>
      </c>
      <c r="R175" s="150">
        <v>180698255.72999999</v>
      </c>
    </row>
    <row r="176" spans="1:18" x14ac:dyDescent="0.25">
      <c r="A176" t="str">
        <f t="shared" si="2"/>
        <v>11-3-18</v>
      </c>
      <c r="B176">
        <v>11</v>
      </c>
      <c r="C176" s="150" t="s">
        <v>1163</v>
      </c>
      <c r="D176" s="150">
        <v>3</v>
      </c>
      <c r="E176" s="150" t="s">
        <v>147</v>
      </c>
      <c r="F176" s="150">
        <v>18</v>
      </c>
      <c r="G176" s="150" t="s">
        <v>838</v>
      </c>
      <c r="H176" s="150">
        <v>0</v>
      </c>
      <c r="I176" s="150">
        <v>13768312</v>
      </c>
      <c r="J176" s="150" t="s">
        <v>1203</v>
      </c>
      <c r="K176" s="150">
        <v>447</v>
      </c>
      <c r="L176" s="150">
        <v>16142</v>
      </c>
      <c r="M176" s="150">
        <v>3212.63</v>
      </c>
      <c r="N176" s="150">
        <v>0</v>
      </c>
      <c r="O176" s="150">
        <v>696554</v>
      </c>
      <c r="P176" s="150">
        <v>719674</v>
      </c>
      <c r="Q176" s="150">
        <v>722886.63</v>
      </c>
      <c r="R176" s="150">
        <v>722886.63</v>
      </c>
    </row>
    <row r="177" spans="1:18" x14ac:dyDescent="0.25">
      <c r="A177" t="str">
        <f t="shared" si="2"/>
        <v>29-3-19</v>
      </c>
      <c r="B177">
        <v>29</v>
      </c>
      <c r="C177" s="150" t="s">
        <v>1181</v>
      </c>
      <c r="D177" s="150">
        <v>3</v>
      </c>
      <c r="E177" s="150" t="s">
        <v>147</v>
      </c>
      <c r="F177" s="150">
        <v>19</v>
      </c>
      <c r="G177" s="150" t="s">
        <v>525</v>
      </c>
      <c r="H177" s="150">
        <v>0</v>
      </c>
      <c r="I177" s="150">
        <v>248586</v>
      </c>
      <c r="J177" s="150" t="s">
        <v>1203</v>
      </c>
      <c r="K177" s="150">
        <v>11</v>
      </c>
      <c r="L177" s="150">
        <v>2838</v>
      </c>
      <c r="M177" s="150">
        <v>3.28</v>
      </c>
      <c r="N177" s="150">
        <v>0</v>
      </c>
      <c r="O177" s="150">
        <v>47849</v>
      </c>
      <c r="P177" s="150">
        <v>49476</v>
      </c>
      <c r="Q177" s="150">
        <v>49479.28</v>
      </c>
      <c r="R177" s="150">
        <v>49479</v>
      </c>
    </row>
    <row r="178" spans="1:18" x14ac:dyDescent="0.25">
      <c r="A178" t="str">
        <f t="shared" si="2"/>
        <v>42-3-20</v>
      </c>
      <c r="B178">
        <v>42</v>
      </c>
      <c r="C178" s="150" t="s">
        <v>1194</v>
      </c>
      <c r="D178" s="150">
        <v>3</v>
      </c>
      <c r="E178" s="150" t="s">
        <v>147</v>
      </c>
      <c r="F178" s="150">
        <v>20</v>
      </c>
      <c r="G178" s="150" t="s">
        <v>644</v>
      </c>
      <c r="H178" s="150">
        <v>0</v>
      </c>
      <c r="I178" s="150">
        <v>2601987</v>
      </c>
      <c r="J178" s="150" t="s">
        <v>1203</v>
      </c>
      <c r="K178" s="150">
        <v>190</v>
      </c>
      <c r="L178" s="150">
        <v>27811</v>
      </c>
      <c r="M178" s="150">
        <v>4376.1099999999997</v>
      </c>
      <c r="N178" s="150">
        <v>0</v>
      </c>
      <c r="O178" s="150">
        <v>1878780</v>
      </c>
      <c r="P178" s="150">
        <v>1990699</v>
      </c>
      <c r="Q178" s="150">
        <v>2106241.11</v>
      </c>
      <c r="R178" s="150">
        <v>2106241.11</v>
      </c>
    </row>
    <row r="179" spans="1:18" x14ac:dyDescent="0.25">
      <c r="A179" t="str">
        <f t="shared" si="2"/>
        <v>16-3-201</v>
      </c>
      <c r="B179">
        <v>16</v>
      </c>
      <c r="C179" s="150" t="s">
        <v>1168</v>
      </c>
      <c r="D179" s="150">
        <v>3</v>
      </c>
      <c r="E179" s="150" t="s">
        <v>147</v>
      </c>
      <c r="F179" s="150">
        <v>201</v>
      </c>
      <c r="G179" s="150" t="s">
        <v>355</v>
      </c>
      <c r="H179" s="150">
        <v>9347</v>
      </c>
      <c r="I179" s="150">
        <v>6448551</v>
      </c>
      <c r="J179" s="150">
        <v>1</v>
      </c>
      <c r="K179" s="150">
        <v>2721</v>
      </c>
      <c r="L179" s="150">
        <v>91948</v>
      </c>
      <c r="M179" s="150">
        <v>22800.53</v>
      </c>
      <c r="N179" s="150">
        <v>0</v>
      </c>
      <c r="O179" s="150">
        <v>2541609</v>
      </c>
      <c r="P179" s="150">
        <v>3090867</v>
      </c>
      <c r="Q179" s="150">
        <v>3257185.53</v>
      </c>
      <c r="R179" s="150">
        <v>3257185.53</v>
      </c>
    </row>
    <row r="180" spans="1:18" x14ac:dyDescent="0.25">
      <c r="A180" t="str">
        <f t="shared" si="2"/>
        <v>34-3-201</v>
      </c>
      <c r="B180">
        <v>34</v>
      </c>
      <c r="C180" s="150" t="s">
        <v>1186</v>
      </c>
      <c r="D180" s="150">
        <v>3</v>
      </c>
      <c r="E180" s="150" t="s">
        <v>147</v>
      </c>
      <c r="F180" s="150">
        <v>201</v>
      </c>
      <c r="G180" s="150" t="s">
        <v>355</v>
      </c>
      <c r="H180" s="150">
        <v>9347</v>
      </c>
      <c r="I180" s="150">
        <v>597973</v>
      </c>
      <c r="J180" s="150">
        <v>1</v>
      </c>
      <c r="K180" s="150">
        <v>2721</v>
      </c>
      <c r="L180" s="150">
        <v>91948</v>
      </c>
      <c r="M180" s="150">
        <v>22800.53</v>
      </c>
      <c r="N180" s="150">
        <v>0</v>
      </c>
      <c r="O180" s="150">
        <v>2541609</v>
      </c>
      <c r="P180" s="150">
        <v>3090867</v>
      </c>
      <c r="Q180" s="150">
        <v>3257185.53</v>
      </c>
      <c r="R180" s="150">
        <v>3257185.53</v>
      </c>
    </row>
    <row r="181" spans="1:18" x14ac:dyDescent="0.25">
      <c r="A181" t="str">
        <f t="shared" si="2"/>
        <v>14-3-23</v>
      </c>
      <c r="B181">
        <v>14</v>
      </c>
      <c r="C181" s="150" t="s">
        <v>1166</v>
      </c>
      <c r="D181" s="150">
        <v>3</v>
      </c>
      <c r="E181" s="150" t="s">
        <v>147</v>
      </c>
      <c r="F181" s="150">
        <v>23</v>
      </c>
      <c r="G181" s="150" t="s">
        <v>306</v>
      </c>
      <c r="H181" s="150">
        <v>3368132</v>
      </c>
      <c r="I181" s="150">
        <v>53800255</v>
      </c>
      <c r="J181" s="150" t="s">
        <v>1203</v>
      </c>
      <c r="K181" s="150">
        <v>3479</v>
      </c>
      <c r="L181" s="150">
        <v>215603</v>
      </c>
      <c r="M181" s="150">
        <v>34836.769999999997</v>
      </c>
      <c r="N181" s="150">
        <v>0</v>
      </c>
      <c r="O181" s="150">
        <v>20517692</v>
      </c>
      <c r="P181" s="150">
        <v>21953755</v>
      </c>
      <c r="Q181" s="150">
        <v>27031813.77</v>
      </c>
      <c r="R181" s="150">
        <v>27031813.77</v>
      </c>
    </row>
    <row r="182" spans="1:18" x14ac:dyDescent="0.25">
      <c r="A182" t="str">
        <f t="shared" si="2"/>
        <v>44-3-24</v>
      </c>
      <c r="B182">
        <v>44</v>
      </c>
      <c r="C182" s="150" t="s">
        <v>1193</v>
      </c>
      <c r="D182" s="150">
        <v>3</v>
      </c>
      <c r="E182" s="150" t="s">
        <v>147</v>
      </c>
      <c r="F182" s="150">
        <v>24</v>
      </c>
      <c r="G182" s="150" t="s">
        <v>669</v>
      </c>
      <c r="H182" s="150">
        <v>3</v>
      </c>
      <c r="I182" s="150">
        <v>282439</v>
      </c>
      <c r="J182" s="150" t="s">
        <v>1203</v>
      </c>
      <c r="K182" s="150">
        <v>52</v>
      </c>
      <c r="L182" s="150">
        <v>2427</v>
      </c>
      <c r="M182" s="150">
        <v>290.52000000000004</v>
      </c>
      <c r="N182" s="150">
        <v>0</v>
      </c>
      <c r="O182" s="150">
        <v>64104</v>
      </c>
      <c r="P182" s="150">
        <v>66270</v>
      </c>
      <c r="Q182" s="150">
        <v>68272.52</v>
      </c>
      <c r="R182" s="150">
        <v>68272.52</v>
      </c>
    </row>
    <row r="183" spans="1:18" x14ac:dyDescent="0.25">
      <c r="A183" t="str">
        <f t="shared" si="2"/>
        <v>7-3-202</v>
      </c>
      <c r="B183">
        <v>7</v>
      </c>
      <c r="C183" s="150" t="s">
        <v>1199</v>
      </c>
      <c r="D183" s="150">
        <v>3</v>
      </c>
      <c r="E183" s="150" t="s">
        <v>147</v>
      </c>
      <c r="F183" s="150">
        <v>202</v>
      </c>
      <c r="G183" s="150" t="s">
        <v>241</v>
      </c>
      <c r="H183" s="150">
        <v>14587</v>
      </c>
      <c r="I183" s="150">
        <v>602522</v>
      </c>
      <c r="J183" s="150" t="s">
        <v>1203</v>
      </c>
      <c r="K183" s="150">
        <v>28</v>
      </c>
      <c r="L183" s="150">
        <v>1056</v>
      </c>
      <c r="M183" s="150">
        <v>195.77</v>
      </c>
      <c r="N183" s="150">
        <v>0</v>
      </c>
      <c r="O183" s="150">
        <v>72134</v>
      </c>
      <c r="P183" s="150">
        <v>74266</v>
      </c>
      <c r="Q183" s="150">
        <v>74461.77</v>
      </c>
      <c r="R183" s="150">
        <v>74461.77</v>
      </c>
    </row>
    <row r="184" spans="1:18" x14ac:dyDescent="0.25">
      <c r="A184" t="str">
        <f t="shared" si="2"/>
        <v>43-3-25</v>
      </c>
      <c r="B184">
        <v>43</v>
      </c>
      <c r="C184" s="150" t="s">
        <v>1192</v>
      </c>
      <c r="D184" s="150">
        <v>3</v>
      </c>
      <c r="E184" s="150" t="s">
        <v>147</v>
      </c>
      <c r="F184" s="150">
        <v>25</v>
      </c>
      <c r="G184" s="150" t="s">
        <v>658</v>
      </c>
      <c r="H184" s="150">
        <v>134123</v>
      </c>
      <c r="I184" s="150">
        <v>1498818</v>
      </c>
      <c r="J184" s="150" t="s">
        <v>1203</v>
      </c>
      <c r="K184" s="150">
        <v>55</v>
      </c>
      <c r="L184" s="150">
        <v>17275</v>
      </c>
      <c r="M184" s="150">
        <v>1441.8799999999999</v>
      </c>
      <c r="N184" s="150">
        <v>0</v>
      </c>
      <c r="O184" s="150">
        <v>877753</v>
      </c>
      <c r="P184" s="150">
        <v>909487</v>
      </c>
      <c r="Q184" s="150">
        <v>950041.88</v>
      </c>
      <c r="R184" s="150">
        <v>950041.88</v>
      </c>
    </row>
    <row r="185" spans="1:18" x14ac:dyDescent="0.25">
      <c r="A185" t="str">
        <f t="shared" si="2"/>
        <v>42-3-26</v>
      </c>
      <c r="B185">
        <v>42</v>
      </c>
      <c r="C185" s="150" t="s">
        <v>1194</v>
      </c>
      <c r="D185" s="150">
        <v>3</v>
      </c>
      <c r="E185" s="150" t="s">
        <v>147</v>
      </c>
      <c r="F185" s="150">
        <v>26</v>
      </c>
      <c r="G185" s="150" t="s">
        <v>645</v>
      </c>
      <c r="H185" s="150">
        <v>1517</v>
      </c>
      <c r="I185" s="150">
        <v>78005</v>
      </c>
      <c r="J185" s="150" t="s">
        <v>1203</v>
      </c>
      <c r="K185" s="150">
        <v>0</v>
      </c>
      <c r="L185" s="150">
        <v>225</v>
      </c>
      <c r="M185" s="150">
        <v>1.06</v>
      </c>
      <c r="N185" s="150">
        <v>0</v>
      </c>
      <c r="O185" s="150">
        <v>15855</v>
      </c>
      <c r="P185" s="150">
        <v>16331</v>
      </c>
      <c r="Q185" s="150">
        <v>16942.060000000001</v>
      </c>
      <c r="R185" s="150">
        <v>16942.060000000001</v>
      </c>
    </row>
    <row r="186" spans="1:18" x14ac:dyDescent="0.25">
      <c r="A186" t="str">
        <f t="shared" si="2"/>
        <v>19-3-27</v>
      </c>
      <c r="B186">
        <v>19</v>
      </c>
      <c r="C186" s="150" t="s">
        <v>1171</v>
      </c>
      <c r="D186" s="150">
        <v>3</v>
      </c>
      <c r="E186" s="150" t="s">
        <v>147</v>
      </c>
      <c r="F186" s="150">
        <v>27</v>
      </c>
      <c r="G186" s="150" t="s">
        <v>388</v>
      </c>
      <c r="H186" s="150">
        <v>9090</v>
      </c>
      <c r="I186" s="150">
        <v>1339406</v>
      </c>
      <c r="J186" s="150" t="s">
        <v>1203</v>
      </c>
      <c r="K186" s="150">
        <v>17</v>
      </c>
      <c r="L186" s="150">
        <v>6834</v>
      </c>
      <c r="M186" s="150">
        <v>1392.9199999999998</v>
      </c>
      <c r="N186" s="150">
        <v>0</v>
      </c>
      <c r="O186" s="150">
        <v>318093</v>
      </c>
      <c r="P186" s="150">
        <v>321592</v>
      </c>
      <c r="Q186" s="150">
        <v>342464.92</v>
      </c>
      <c r="R186" s="150">
        <v>342464.92</v>
      </c>
    </row>
    <row r="187" spans="1:18" x14ac:dyDescent="0.25">
      <c r="A187" t="str">
        <f t="shared" si="2"/>
        <v>3-3-29</v>
      </c>
      <c r="B187">
        <v>3</v>
      </c>
      <c r="C187" s="150" t="s">
        <v>1157</v>
      </c>
      <c r="D187" s="150">
        <v>3</v>
      </c>
      <c r="E187" s="150" t="s">
        <v>147</v>
      </c>
      <c r="F187" s="150">
        <v>29</v>
      </c>
      <c r="G187" s="150" t="s">
        <v>185</v>
      </c>
      <c r="H187" s="150">
        <v>0</v>
      </c>
      <c r="I187" s="150">
        <v>10775944</v>
      </c>
      <c r="J187" s="150" t="s">
        <v>1203</v>
      </c>
      <c r="K187" s="150">
        <v>0</v>
      </c>
      <c r="L187" s="150">
        <v>81774</v>
      </c>
      <c r="M187" s="150">
        <v>15726.19</v>
      </c>
      <c r="N187" s="150">
        <v>0</v>
      </c>
      <c r="O187" s="150">
        <v>6753324</v>
      </c>
      <c r="P187" s="150">
        <v>7096128</v>
      </c>
      <c r="Q187" s="150">
        <v>8140672.1900000004</v>
      </c>
      <c r="R187" s="150">
        <v>8140672.1900000004</v>
      </c>
    </row>
    <row r="188" spans="1:18" x14ac:dyDescent="0.25">
      <c r="A188" t="str">
        <f t="shared" si="2"/>
        <v>9-3-30</v>
      </c>
      <c r="B188">
        <v>9</v>
      </c>
      <c r="C188" s="150" t="s">
        <v>1161</v>
      </c>
      <c r="D188" s="150">
        <v>3</v>
      </c>
      <c r="E188" s="150" t="s">
        <v>147</v>
      </c>
      <c r="F188" s="150">
        <v>30</v>
      </c>
      <c r="G188" s="150" t="s">
        <v>264</v>
      </c>
      <c r="H188" s="150">
        <v>0</v>
      </c>
      <c r="I188" s="150">
        <v>7393746</v>
      </c>
      <c r="J188" s="150" t="s">
        <v>1203</v>
      </c>
      <c r="K188" s="150">
        <v>0</v>
      </c>
      <c r="L188" s="150">
        <v>1635</v>
      </c>
      <c r="M188" s="150">
        <v>523.22</v>
      </c>
      <c r="N188" s="150">
        <v>0</v>
      </c>
      <c r="O188" s="150">
        <v>83556</v>
      </c>
      <c r="P188" s="150">
        <v>89038</v>
      </c>
      <c r="Q188" s="150">
        <v>92749.22</v>
      </c>
      <c r="R188" s="150">
        <v>92749.22</v>
      </c>
    </row>
    <row r="189" spans="1:18" x14ac:dyDescent="0.25">
      <c r="A189" t="str">
        <f t="shared" si="2"/>
        <v>21-3-32</v>
      </c>
      <c r="B189">
        <v>21</v>
      </c>
      <c r="C189" s="150" t="s">
        <v>1173</v>
      </c>
      <c r="D189" s="150">
        <v>3</v>
      </c>
      <c r="E189" s="150" t="s">
        <v>147</v>
      </c>
      <c r="F189" s="150">
        <v>32</v>
      </c>
      <c r="G189" s="150" t="s">
        <v>403</v>
      </c>
      <c r="H189" s="150">
        <v>0</v>
      </c>
      <c r="I189" s="150">
        <v>425325</v>
      </c>
      <c r="J189" s="150" t="s">
        <v>1203</v>
      </c>
      <c r="K189" s="150">
        <v>24</v>
      </c>
      <c r="L189" s="150">
        <v>285</v>
      </c>
      <c r="M189" s="150">
        <v>82.179999999999993</v>
      </c>
      <c r="N189" s="150">
        <v>0</v>
      </c>
      <c r="O189" s="150">
        <v>30530</v>
      </c>
      <c r="P189" s="150">
        <v>32179</v>
      </c>
      <c r="Q189" s="150">
        <v>35101.18</v>
      </c>
      <c r="R189" s="150">
        <v>35101.18</v>
      </c>
    </row>
    <row r="190" spans="1:18" x14ac:dyDescent="0.25">
      <c r="A190" t="str">
        <f t="shared" si="2"/>
        <v>28-3-33</v>
      </c>
      <c r="B190">
        <v>28</v>
      </c>
      <c r="C190" s="150" t="s">
        <v>1180</v>
      </c>
      <c r="D190" s="150">
        <v>3</v>
      </c>
      <c r="E190" s="150" t="s">
        <v>147</v>
      </c>
      <c r="F190" s="150">
        <v>33</v>
      </c>
      <c r="G190" s="150" t="s">
        <v>497</v>
      </c>
      <c r="H190" s="150">
        <v>7056620</v>
      </c>
      <c r="I190" s="150">
        <v>50710748</v>
      </c>
      <c r="J190" s="150" t="s">
        <v>1203</v>
      </c>
      <c r="K190" s="150">
        <v>461</v>
      </c>
      <c r="L190" s="150">
        <v>288085</v>
      </c>
      <c r="M190" s="150">
        <v>39034.449999999997</v>
      </c>
      <c r="N190" s="150">
        <v>0</v>
      </c>
      <c r="O190" s="150">
        <v>23673874</v>
      </c>
      <c r="P190" s="150">
        <v>25583815</v>
      </c>
      <c r="Q190" s="150">
        <v>26595026.449999999</v>
      </c>
      <c r="R190" s="150">
        <v>26595026.449999999</v>
      </c>
    </row>
    <row r="191" spans="1:18" x14ac:dyDescent="0.25">
      <c r="A191" t="str">
        <f t="shared" si="2"/>
        <v>25-3-34</v>
      </c>
      <c r="B191">
        <v>25</v>
      </c>
      <c r="C191" s="150" t="s">
        <v>1177</v>
      </c>
      <c r="D191" s="150">
        <v>3</v>
      </c>
      <c r="E191" s="150" t="s">
        <v>147</v>
      </c>
      <c r="F191" s="150">
        <v>34</v>
      </c>
      <c r="G191" s="150" t="s">
        <v>452</v>
      </c>
      <c r="H191" s="150">
        <v>10980</v>
      </c>
      <c r="I191" s="150">
        <v>775763</v>
      </c>
      <c r="J191" s="150" t="s">
        <v>1203</v>
      </c>
      <c r="K191" s="150">
        <v>0</v>
      </c>
      <c r="L191" s="150">
        <v>4976</v>
      </c>
      <c r="M191" s="150">
        <v>579.40000000000009</v>
      </c>
      <c r="N191" s="150">
        <v>0</v>
      </c>
      <c r="O191" s="150">
        <v>297003</v>
      </c>
      <c r="P191" s="150">
        <v>314000</v>
      </c>
      <c r="Q191" s="150">
        <v>323730.40000000002</v>
      </c>
      <c r="R191" s="150">
        <v>323730.40000000002</v>
      </c>
    </row>
    <row r="192" spans="1:18" x14ac:dyDescent="0.25">
      <c r="A192" t="str">
        <f t="shared" si="2"/>
        <v>2-3-35</v>
      </c>
      <c r="B192">
        <v>2</v>
      </c>
      <c r="C192" s="150" t="s">
        <v>1156</v>
      </c>
      <c r="D192" s="150">
        <v>3</v>
      </c>
      <c r="E192" s="150" t="s">
        <v>147</v>
      </c>
      <c r="F192" s="150">
        <v>35</v>
      </c>
      <c r="G192" s="150" t="s">
        <v>718</v>
      </c>
      <c r="H192" s="150">
        <v>31279</v>
      </c>
      <c r="I192" s="150">
        <v>1003406</v>
      </c>
      <c r="J192" s="150" t="s">
        <v>1203</v>
      </c>
      <c r="K192" s="150">
        <v>23</v>
      </c>
      <c r="L192" s="150">
        <v>8559</v>
      </c>
      <c r="M192" s="150">
        <v>939.19999999999993</v>
      </c>
      <c r="N192" s="150">
        <v>0</v>
      </c>
      <c r="O192" s="150">
        <v>198228</v>
      </c>
      <c r="P192" s="150">
        <v>206328</v>
      </c>
      <c r="Q192" s="150">
        <v>218232.2</v>
      </c>
      <c r="R192" s="150">
        <v>218232.2</v>
      </c>
    </row>
    <row r="193" spans="1:18" x14ac:dyDescent="0.25">
      <c r="A193" t="str">
        <f t="shared" si="2"/>
        <v>31-3-36</v>
      </c>
      <c r="B193">
        <v>31</v>
      </c>
      <c r="C193" s="150" t="s">
        <v>1183</v>
      </c>
      <c r="D193" s="150">
        <v>3</v>
      </c>
      <c r="E193" s="150" t="s">
        <v>147</v>
      </c>
      <c r="F193" s="150">
        <v>36</v>
      </c>
      <c r="G193" s="150" t="s">
        <v>550</v>
      </c>
      <c r="H193" s="150">
        <v>3846</v>
      </c>
      <c r="I193" s="150">
        <v>535983</v>
      </c>
      <c r="J193" s="150" t="s">
        <v>1203</v>
      </c>
      <c r="K193" s="150">
        <v>838</v>
      </c>
      <c r="L193" s="150">
        <v>4889</v>
      </c>
      <c r="M193" s="150">
        <v>2025.24</v>
      </c>
      <c r="N193" s="150">
        <v>0</v>
      </c>
      <c r="O193" s="150">
        <v>210000</v>
      </c>
      <c r="P193" s="150">
        <v>243109</v>
      </c>
      <c r="Q193" s="150">
        <v>255202.24</v>
      </c>
      <c r="R193" s="150">
        <v>255202.24</v>
      </c>
    </row>
    <row r="194" spans="1:18" x14ac:dyDescent="0.25">
      <c r="A194" t="str">
        <f t="shared" si="2"/>
        <v>35-3-38</v>
      </c>
      <c r="B194">
        <v>35</v>
      </c>
      <c r="C194" s="150" t="s">
        <v>1195</v>
      </c>
      <c r="D194" s="150">
        <v>3</v>
      </c>
      <c r="E194" s="150" t="s">
        <v>147</v>
      </c>
      <c r="F194" s="150">
        <v>38</v>
      </c>
      <c r="G194" s="150" t="s">
        <v>585</v>
      </c>
      <c r="H194" s="150">
        <v>360</v>
      </c>
      <c r="I194" s="150">
        <v>412826</v>
      </c>
      <c r="J194" s="150" t="s">
        <v>1203</v>
      </c>
      <c r="K194" s="150">
        <v>32</v>
      </c>
      <c r="L194" s="150">
        <v>148</v>
      </c>
      <c r="M194" s="150">
        <v>38.82</v>
      </c>
      <c r="N194" s="150">
        <v>0</v>
      </c>
      <c r="O194" s="150">
        <v>123365</v>
      </c>
      <c r="P194" s="150">
        <v>127060</v>
      </c>
      <c r="Q194" s="150">
        <v>130871.82</v>
      </c>
      <c r="R194" s="150">
        <v>130871.82</v>
      </c>
    </row>
    <row r="195" spans="1:18" x14ac:dyDescent="0.25">
      <c r="A195" t="str">
        <f t="shared" si="2"/>
        <v>28-3-39</v>
      </c>
      <c r="B195">
        <v>28</v>
      </c>
      <c r="C195" s="150" t="s">
        <v>1180</v>
      </c>
      <c r="D195" s="150">
        <v>3</v>
      </c>
      <c r="E195" s="150" t="s">
        <v>147</v>
      </c>
      <c r="F195" s="150">
        <v>39</v>
      </c>
      <c r="G195" s="150" t="s">
        <v>498</v>
      </c>
      <c r="H195" s="150">
        <v>5</v>
      </c>
      <c r="I195" s="150">
        <v>4293160</v>
      </c>
      <c r="J195" s="150" t="s">
        <v>1203</v>
      </c>
      <c r="K195" s="150">
        <v>2</v>
      </c>
      <c r="L195" s="150">
        <v>2169</v>
      </c>
      <c r="M195" s="150">
        <v>174.07999999999998</v>
      </c>
      <c r="N195" s="150">
        <v>0</v>
      </c>
      <c r="O195" s="150">
        <v>171090</v>
      </c>
      <c r="P195" s="150">
        <v>177265</v>
      </c>
      <c r="Q195" s="150">
        <v>183974.08</v>
      </c>
      <c r="R195" s="150">
        <v>183974.08</v>
      </c>
    </row>
    <row r="196" spans="1:18" x14ac:dyDescent="0.25">
      <c r="A196" t="str">
        <f t="shared" ref="A196:A261" si="3">B196&amp;"-"&amp;D196&amp;"-"&amp;F196</f>
        <v>21-3-40</v>
      </c>
      <c r="B196">
        <v>21</v>
      </c>
      <c r="C196" s="150" t="s">
        <v>1173</v>
      </c>
      <c r="D196" s="150">
        <v>3</v>
      </c>
      <c r="E196" s="150" t="s">
        <v>147</v>
      </c>
      <c r="F196" s="150">
        <v>40</v>
      </c>
      <c r="G196" s="150" t="s">
        <v>404</v>
      </c>
      <c r="H196" s="150">
        <v>0</v>
      </c>
      <c r="I196" s="150">
        <v>15521601</v>
      </c>
      <c r="J196" s="150" t="s">
        <v>1203</v>
      </c>
      <c r="K196" s="150">
        <v>875</v>
      </c>
      <c r="L196" s="150">
        <v>540</v>
      </c>
      <c r="M196" s="150">
        <v>190.79000000000002</v>
      </c>
      <c r="N196" s="150">
        <v>0</v>
      </c>
      <c r="O196" s="150">
        <v>31440</v>
      </c>
      <c r="P196" s="150">
        <v>32888</v>
      </c>
      <c r="Q196" s="150">
        <v>33874.79</v>
      </c>
      <c r="R196" s="150">
        <v>33874.79</v>
      </c>
    </row>
    <row r="197" spans="1:18" x14ac:dyDescent="0.25">
      <c r="A197" t="str">
        <f t="shared" si="3"/>
        <v>29-3-41</v>
      </c>
      <c r="B197">
        <v>29</v>
      </c>
      <c r="C197" s="150" t="s">
        <v>1181</v>
      </c>
      <c r="D197" s="150">
        <v>3</v>
      </c>
      <c r="E197" s="150" t="s">
        <v>147</v>
      </c>
      <c r="F197" s="150">
        <v>41</v>
      </c>
      <c r="G197" s="150" t="s">
        <v>526</v>
      </c>
      <c r="H197" s="150">
        <v>0</v>
      </c>
      <c r="I197" s="150">
        <v>744254</v>
      </c>
      <c r="J197" s="150" t="s">
        <v>1203</v>
      </c>
      <c r="K197" s="150">
        <v>31</v>
      </c>
      <c r="L197" s="150">
        <v>2314</v>
      </c>
      <c r="M197" s="150">
        <v>5.72</v>
      </c>
      <c r="N197" s="150">
        <v>0</v>
      </c>
      <c r="O197" s="150">
        <v>150615</v>
      </c>
      <c r="P197" s="150">
        <v>154624</v>
      </c>
      <c r="Q197" s="150">
        <v>157977.14000000001</v>
      </c>
      <c r="R197" s="150">
        <v>157976.72</v>
      </c>
    </row>
    <row r="198" spans="1:18" x14ac:dyDescent="0.25">
      <c r="A198" t="str">
        <f t="shared" si="3"/>
        <v>16-3-42</v>
      </c>
      <c r="B198">
        <v>16</v>
      </c>
      <c r="C198" s="150" t="s">
        <v>1168</v>
      </c>
      <c r="D198" s="150">
        <v>3</v>
      </c>
      <c r="E198" s="150" t="s">
        <v>147</v>
      </c>
      <c r="F198" s="150">
        <v>42</v>
      </c>
      <c r="G198" s="150" t="s">
        <v>356</v>
      </c>
      <c r="H198" s="150">
        <v>0</v>
      </c>
      <c r="I198" s="150">
        <v>359218</v>
      </c>
      <c r="J198" s="150" t="s">
        <v>1203</v>
      </c>
      <c r="K198" s="150">
        <v>935</v>
      </c>
      <c r="L198" s="150">
        <v>675</v>
      </c>
      <c r="M198" s="150">
        <v>22.02</v>
      </c>
      <c r="N198" s="150">
        <v>0</v>
      </c>
      <c r="O198" s="150">
        <v>31621</v>
      </c>
      <c r="P198" s="150">
        <v>32621</v>
      </c>
      <c r="Q198" s="150">
        <v>35231.019999999997</v>
      </c>
      <c r="R198" s="150">
        <v>35231.019999999997</v>
      </c>
    </row>
    <row r="199" spans="1:18" x14ac:dyDescent="0.25">
      <c r="A199" t="str">
        <f t="shared" si="3"/>
        <v>32-3-43</v>
      </c>
      <c r="B199">
        <v>32</v>
      </c>
      <c r="C199" s="150" t="s">
        <v>1184</v>
      </c>
      <c r="D199" s="150">
        <v>3</v>
      </c>
      <c r="E199" s="150" t="s">
        <v>147</v>
      </c>
      <c r="F199" s="150">
        <v>43</v>
      </c>
      <c r="G199" s="150" t="s">
        <v>557</v>
      </c>
      <c r="H199" s="150">
        <v>0</v>
      </c>
      <c r="I199" s="150">
        <v>715635</v>
      </c>
      <c r="J199" s="150" t="s">
        <v>1203</v>
      </c>
      <c r="K199" s="150">
        <v>10</v>
      </c>
      <c r="L199" s="150">
        <v>232</v>
      </c>
      <c r="M199" s="150">
        <v>35.659999999999997</v>
      </c>
      <c r="N199" s="150">
        <v>0</v>
      </c>
      <c r="O199" s="150">
        <v>27638</v>
      </c>
      <c r="P199" s="150">
        <v>28500</v>
      </c>
      <c r="Q199" s="150">
        <v>30325.66</v>
      </c>
      <c r="R199" s="150">
        <v>30325.66</v>
      </c>
    </row>
    <row r="200" spans="1:18" x14ac:dyDescent="0.25">
      <c r="A200" t="str">
        <f t="shared" si="3"/>
        <v>43-3-44</v>
      </c>
      <c r="B200">
        <v>43</v>
      </c>
      <c r="C200" s="150" t="s">
        <v>1192</v>
      </c>
      <c r="D200" s="150">
        <v>3</v>
      </c>
      <c r="E200" s="150" t="s">
        <v>147</v>
      </c>
      <c r="F200" s="150">
        <v>44</v>
      </c>
      <c r="G200" s="150" t="s">
        <v>659</v>
      </c>
      <c r="H200" s="150">
        <v>0</v>
      </c>
      <c r="I200" s="150">
        <v>581861</v>
      </c>
      <c r="J200" s="150" t="s">
        <v>1203</v>
      </c>
      <c r="K200" s="150">
        <v>36</v>
      </c>
      <c r="L200" s="150">
        <v>2276</v>
      </c>
      <c r="M200" s="150">
        <v>408.97</v>
      </c>
      <c r="N200" s="150">
        <v>0</v>
      </c>
      <c r="O200" s="150">
        <v>132169</v>
      </c>
      <c r="P200" s="150">
        <v>138169</v>
      </c>
      <c r="Q200" s="150">
        <v>143910.97</v>
      </c>
      <c r="R200" s="150">
        <v>143910.97</v>
      </c>
    </row>
    <row r="201" spans="1:18" x14ac:dyDescent="0.25">
      <c r="A201" t="str">
        <f t="shared" si="3"/>
        <v>9-3-200</v>
      </c>
      <c r="B201">
        <v>9</v>
      </c>
      <c r="C201" s="150" t="s">
        <v>1161</v>
      </c>
      <c r="D201" s="150">
        <v>3</v>
      </c>
      <c r="E201" s="150" t="s">
        <v>147</v>
      </c>
      <c r="F201" s="150">
        <v>200</v>
      </c>
      <c r="G201" s="150" t="s">
        <v>265</v>
      </c>
      <c r="H201" s="150">
        <v>11507</v>
      </c>
      <c r="I201" s="150">
        <v>5362520</v>
      </c>
      <c r="J201" s="150" t="s">
        <v>1203</v>
      </c>
      <c r="K201" s="150">
        <v>18</v>
      </c>
      <c r="L201" s="150">
        <v>560</v>
      </c>
      <c r="M201" s="150">
        <v>89.96</v>
      </c>
      <c r="N201" s="150">
        <v>0</v>
      </c>
      <c r="O201" s="150">
        <v>89703</v>
      </c>
      <c r="P201" s="150">
        <v>91718</v>
      </c>
      <c r="Q201" s="150">
        <v>97357.96</v>
      </c>
      <c r="R201" s="150">
        <v>97357.96</v>
      </c>
    </row>
    <row r="202" spans="1:18" x14ac:dyDescent="0.25">
      <c r="A202" t="str">
        <f t="shared" si="3"/>
        <v>3-3-45</v>
      </c>
      <c r="B202">
        <v>3</v>
      </c>
      <c r="C202" s="150" t="s">
        <v>1157</v>
      </c>
      <c r="D202" s="150">
        <v>3</v>
      </c>
      <c r="E202" s="150" t="s">
        <v>147</v>
      </c>
      <c r="F202" s="150">
        <v>45</v>
      </c>
      <c r="G202" s="150" t="s">
        <v>186</v>
      </c>
      <c r="H202" s="150">
        <v>54778</v>
      </c>
      <c r="I202" s="150">
        <v>8322452</v>
      </c>
      <c r="J202" s="150" t="s">
        <v>1203</v>
      </c>
      <c r="K202" s="150">
        <v>0</v>
      </c>
      <c r="L202" s="150">
        <v>4046</v>
      </c>
      <c r="M202" s="150">
        <v>673.93999999999994</v>
      </c>
      <c r="N202" s="150">
        <v>0</v>
      </c>
      <c r="O202" s="150">
        <v>155462</v>
      </c>
      <c r="P202" s="150">
        <v>160126</v>
      </c>
      <c r="Q202" s="150">
        <v>163715.94</v>
      </c>
      <c r="R202" s="150">
        <v>163715.94</v>
      </c>
    </row>
    <row r="203" spans="1:18" x14ac:dyDescent="0.25">
      <c r="A203" t="str">
        <f t="shared" si="3"/>
        <v>41-3-46</v>
      </c>
      <c r="B203">
        <v>41</v>
      </c>
      <c r="C203" s="150" t="s">
        <v>1191</v>
      </c>
      <c r="D203" s="150">
        <v>3</v>
      </c>
      <c r="E203" s="150" t="s">
        <v>147</v>
      </c>
      <c r="F203" s="150">
        <v>46</v>
      </c>
      <c r="G203" s="150" t="s">
        <v>636</v>
      </c>
      <c r="H203" s="150">
        <v>0</v>
      </c>
      <c r="I203" s="150">
        <v>676068</v>
      </c>
      <c r="J203" s="150" t="s">
        <v>1203</v>
      </c>
      <c r="K203" s="150">
        <v>292</v>
      </c>
      <c r="L203" s="150">
        <v>6439</v>
      </c>
      <c r="M203" s="150">
        <v>786.9</v>
      </c>
      <c r="N203" s="150">
        <v>0</v>
      </c>
      <c r="O203" s="150">
        <v>625244</v>
      </c>
      <c r="P203" s="150">
        <v>675264</v>
      </c>
      <c r="Q203" s="150">
        <v>729284.9</v>
      </c>
      <c r="R203" s="150">
        <v>729284.9</v>
      </c>
    </row>
    <row r="204" spans="1:18" x14ac:dyDescent="0.25">
      <c r="A204" t="str">
        <f t="shared" si="3"/>
        <v>22-3-47</v>
      </c>
      <c r="B204">
        <v>22</v>
      </c>
      <c r="C204" s="150" t="s">
        <v>1174</v>
      </c>
      <c r="D204" s="150">
        <v>3</v>
      </c>
      <c r="E204" s="150" t="s">
        <v>147</v>
      </c>
      <c r="F204" s="150">
        <v>47</v>
      </c>
      <c r="G204" s="150" t="s">
        <v>422</v>
      </c>
      <c r="H204" s="150">
        <v>296</v>
      </c>
      <c r="I204" s="150">
        <v>9491</v>
      </c>
      <c r="J204" s="150" t="s">
        <v>1203</v>
      </c>
      <c r="K204" s="150">
        <v>0</v>
      </c>
      <c r="L204" s="150">
        <v>11</v>
      </c>
      <c r="M204" s="150">
        <v>12.21</v>
      </c>
      <c r="N204" s="150">
        <v>0</v>
      </c>
      <c r="O204" s="150">
        <v>782</v>
      </c>
      <c r="P204" s="150">
        <v>805</v>
      </c>
      <c r="Q204" s="150">
        <v>829.21</v>
      </c>
      <c r="R204" s="150">
        <v>829.21</v>
      </c>
    </row>
    <row r="205" spans="1:18" x14ac:dyDescent="0.25">
      <c r="A205" t="str">
        <f t="shared" si="3"/>
        <v>17-3-48</v>
      </c>
      <c r="B205">
        <v>17</v>
      </c>
      <c r="C205" s="150" t="s">
        <v>1169</v>
      </c>
      <c r="D205" s="150">
        <v>3</v>
      </c>
      <c r="E205" s="150" t="s">
        <v>147</v>
      </c>
      <c r="F205" s="150">
        <v>48</v>
      </c>
      <c r="G205" s="150" t="s">
        <v>369</v>
      </c>
      <c r="H205" s="150">
        <v>0</v>
      </c>
      <c r="I205" s="150">
        <v>3442330</v>
      </c>
      <c r="J205" s="150" t="s">
        <v>1203</v>
      </c>
      <c r="K205" s="150">
        <v>1732</v>
      </c>
      <c r="L205" s="150">
        <v>2225</v>
      </c>
      <c r="M205" s="150">
        <v>879.47</v>
      </c>
      <c r="N205" s="150">
        <v>0</v>
      </c>
      <c r="O205" s="150">
        <v>63537</v>
      </c>
      <c r="P205" s="150">
        <v>65546</v>
      </c>
      <c r="Q205" s="150">
        <v>68313.47</v>
      </c>
      <c r="R205" s="150">
        <v>68313.47</v>
      </c>
    </row>
    <row r="206" spans="1:18" x14ac:dyDescent="0.25">
      <c r="A206" t="str">
        <f t="shared" si="3"/>
        <v>1-3-50</v>
      </c>
      <c r="B206">
        <v>1</v>
      </c>
      <c r="C206" s="150" t="s">
        <v>1155</v>
      </c>
      <c r="D206" s="150">
        <v>3</v>
      </c>
      <c r="E206" s="150" t="s">
        <v>147</v>
      </c>
      <c r="F206" s="150">
        <v>50</v>
      </c>
      <c r="G206" s="150" t="s">
        <v>696</v>
      </c>
      <c r="H206" s="150">
        <v>28006</v>
      </c>
      <c r="I206" s="150">
        <v>61085995</v>
      </c>
      <c r="J206" s="150">
        <v>1</v>
      </c>
      <c r="K206" s="150">
        <v>19</v>
      </c>
      <c r="L206" s="150">
        <v>8463</v>
      </c>
      <c r="M206" s="150">
        <v>1839.25</v>
      </c>
      <c r="N206" s="150">
        <v>0</v>
      </c>
      <c r="O206" s="150">
        <v>4208829</v>
      </c>
      <c r="P206" s="150">
        <v>4498862</v>
      </c>
      <c r="Q206" s="150">
        <v>4773069.25</v>
      </c>
      <c r="R206" s="150">
        <v>4773069.25</v>
      </c>
    </row>
    <row r="207" spans="1:18" x14ac:dyDescent="0.25">
      <c r="A207" s="284" t="s">
        <v>1417</v>
      </c>
      <c r="B207">
        <v>8</v>
      </c>
      <c r="C207" s="150" t="s">
        <v>1160</v>
      </c>
      <c r="D207" s="150">
        <v>3</v>
      </c>
      <c r="E207" s="150" t="s">
        <v>147</v>
      </c>
      <c r="F207" s="150">
        <v>50</v>
      </c>
      <c r="G207" s="150" t="s">
        <v>696</v>
      </c>
      <c r="H207" s="150">
        <v>28006</v>
      </c>
      <c r="I207" s="150">
        <v>0</v>
      </c>
      <c r="J207" s="150">
        <v>1</v>
      </c>
      <c r="K207" s="150">
        <v>19</v>
      </c>
      <c r="L207" s="150">
        <v>8463</v>
      </c>
      <c r="M207" s="150">
        <v>1839.25</v>
      </c>
      <c r="N207" s="150">
        <v>0</v>
      </c>
      <c r="O207" s="150">
        <v>4208829</v>
      </c>
      <c r="P207" s="150">
        <v>4498862</v>
      </c>
      <c r="Q207" s="150">
        <v>4773069.25</v>
      </c>
      <c r="R207" s="150">
        <v>4773069.25</v>
      </c>
    </row>
    <row r="208" spans="1:18" x14ac:dyDescent="0.25">
      <c r="A208" s="284" t="s">
        <v>1418</v>
      </c>
      <c r="B208">
        <v>23</v>
      </c>
      <c r="C208" s="150" t="s">
        <v>1175</v>
      </c>
      <c r="D208" s="150">
        <v>3</v>
      </c>
      <c r="E208" s="150" t="s">
        <v>147</v>
      </c>
      <c r="F208" s="150">
        <v>50</v>
      </c>
      <c r="G208" s="150" t="s">
        <v>696</v>
      </c>
      <c r="H208" s="150">
        <v>28006</v>
      </c>
      <c r="I208" s="150">
        <v>0</v>
      </c>
      <c r="J208" s="150">
        <v>1</v>
      </c>
      <c r="K208" s="150">
        <v>19</v>
      </c>
      <c r="L208" s="150">
        <v>8463</v>
      </c>
      <c r="M208" s="150">
        <v>1839.25</v>
      </c>
      <c r="N208" s="150">
        <v>0</v>
      </c>
      <c r="O208" s="150">
        <v>4208829</v>
      </c>
      <c r="P208" s="150">
        <v>4498862</v>
      </c>
      <c r="Q208" s="150">
        <v>4773069.25</v>
      </c>
      <c r="R208" s="150">
        <v>4773069.25</v>
      </c>
    </row>
    <row r="209" spans="1:18" x14ac:dyDescent="0.25">
      <c r="A209" t="str">
        <f t="shared" si="3"/>
        <v>9-3-49</v>
      </c>
      <c r="B209">
        <v>9</v>
      </c>
      <c r="C209" s="150" t="s">
        <v>1161</v>
      </c>
      <c r="D209" s="150">
        <v>3</v>
      </c>
      <c r="E209" s="150" t="s">
        <v>147</v>
      </c>
      <c r="F209" s="150">
        <v>49</v>
      </c>
      <c r="G209" s="150" t="s">
        <v>266</v>
      </c>
      <c r="H209" s="150">
        <v>0</v>
      </c>
      <c r="I209" s="150">
        <v>3232905</v>
      </c>
      <c r="J209" s="150" t="s">
        <v>1203</v>
      </c>
      <c r="K209" s="150">
        <v>11</v>
      </c>
      <c r="L209" s="150">
        <v>356</v>
      </c>
      <c r="M209" s="150">
        <v>59.53</v>
      </c>
      <c r="N209" s="150">
        <v>0</v>
      </c>
      <c r="O209" s="150">
        <v>53126</v>
      </c>
      <c r="P209" s="150">
        <v>55196</v>
      </c>
      <c r="Q209" s="150">
        <v>57313.53</v>
      </c>
      <c r="R209" s="150">
        <v>57313.53</v>
      </c>
    </row>
    <row r="210" spans="1:18" x14ac:dyDescent="0.25">
      <c r="A210" t="str">
        <f t="shared" si="3"/>
        <v>27-3-51</v>
      </c>
      <c r="B210">
        <v>27</v>
      </c>
      <c r="C210" s="150" t="s">
        <v>1179</v>
      </c>
      <c r="D210" s="150">
        <v>3</v>
      </c>
      <c r="E210" s="150" t="s">
        <v>147</v>
      </c>
      <c r="F210" s="150">
        <v>51</v>
      </c>
      <c r="G210" s="150" t="s">
        <v>489</v>
      </c>
      <c r="H210" s="150">
        <v>12651</v>
      </c>
      <c r="I210" s="150">
        <v>186878</v>
      </c>
      <c r="J210" s="150" t="s">
        <v>1203</v>
      </c>
      <c r="K210" s="150">
        <v>73</v>
      </c>
      <c r="L210" s="150">
        <v>443</v>
      </c>
      <c r="M210" s="150">
        <v>25.89</v>
      </c>
      <c r="N210" s="150">
        <v>0</v>
      </c>
      <c r="O210" s="150">
        <v>55085</v>
      </c>
      <c r="P210" s="150">
        <v>56738</v>
      </c>
      <c r="Q210" s="150">
        <v>58439.89</v>
      </c>
      <c r="R210" s="150">
        <v>58439.89</v>
      </c>
    </row>
    <row r="211" spans="1:18" x14ac:dyDescent="0.25">
      <c r="A211" t="str">
        <f t="shared" si="3"/>
        <v>18-3-52</v>
      </c>
      <c r="B211">
        <v>18</v>
      </c>
      <c r="C211" s="150" t="s">
        <v>1170</v>
      </c>
      <c r="D211" s="150">
        <v>3</v>
      </c>
      <c r="E211" s="150" t="s">
        <v>147</v>
      </c>
      <c r="F211" s="150">
        <v>52</v>
      </c>
      <c r="G211" s="150" t="s">
        <v>374</v>
      </c>
      <c r="H211" s="150">
        <v>0</v>
      </c>
      <c r="I211" s="150">
        <v>167139</v>
      </c>
      <c r="J211" s="150" t="s">
        <v>1203</v>
      </c>
      <c r="K211" s="150">
        <v>0</v>
      </c>
      <c r="L211" s="150">
        <v>2006</v>
      </c>
      <c r="M211" s="150">
        <v>2.06</v>
      </c>
      <c r="N211" s="150">
        <v>0</v>
      </c>
      <c r="O211" s="150">
        <v>80025</v>
      </c>
      <c r="P211" s="150">
        <v>82492</v>
      </c>
      <c r="Q211" s="150">
        <v>85633.06</v>
      </c>
      <c r="R211" s="150">
        <v>85633.06</v>
      </c>
    </row>
    <row r="212" spans="1:18" x14ac:dyDescent="0.25">
      <c r="A212" t="str">
        <f t="shared" si="3"/>
        <v>23-3-53</v>
      </c>
      <c r="B212">
        <v>23</v>
      </c>
      <c r="C212" s="150" t="s">
        <v>1175</v>
      </c>
      <c r="D212" s="150">
        <v>3</v>
      </c>
      <c r="E212" s="150" t="s">
        <v>147</v>
      </c>
      <c r="F212" s="150">
        <v>53</v>
      </c>
      <c r="G212" s="150" t="s">
        <v>429</v>
      </c>
      <c r="H212" s="150">
        <v>1</v>
      </c>
      <c r="I212" s="150">
        <v>3659431</v>
      </c>
      <c r="J212" s="150" t="s">
        <v>1203</v>
      </c>
      <c r="K212" s="150">
        <v>1043</v>
      </c>
      <c r="L212" s="150">
        <v>49101</v>
      </c>
      <c r="M212" s="150">
        <v>3633.2999999999997</v>
      </c>
      <c r="N212" s="150">
        <v>0</v>
      </c>
      <c r="O212" s="150">
        <v>2022769</v>
      </c>
      <c r="P212" s="150">
        <v>2152843</v>
      </c>
      <c r="Q212" s="150">
        <v>2296813.2999999998</v>
      </c>
      <c r="R212" s="150">
        <v>2296813.2999999998</v>
      </c>
    </row>
    <row r="213" spans="1:18" x14ac:dyDescent="0.25">
      <c r="A213" t="str">
        <f t="shared" si="3"/>
        <v>13-3-54</v>
      </c>
      <c r="B213">
        <v>13</v>
      </c>
      <c r="C213" s="150" t="s">
        <v>1165</v>
      </c>
      <c r="D213" s="150">
        <v>3</v>
      </c>
      <c r="E213" s="150" t="s">
        <v>147</v>
      </c>
      <c r="F213" s="150">
        <v>54</v>
      </c>
      <c r="G213" s="150" t="s">
        <v>303</v>
      </c>
      <c r="H213" s="150">
        <v>0</v>
      </c>
      <c r="I213" s="150">
        <v>954056</v>
      </c>
      <c r="J213" s="150" t="s">
        <v>1203</v>
      </c>
      <c r="K213" s="150">
        <v>255</v>
      </c>
      <c r="L213" s="150">
        <v>2405</v>
      </c>
      <c r="M213" s="150">
        <v>77.819999999999993</v>
      </c>
      <c r="N213" s="150">
        <v>0</v>
      </c>
      <c r="O213" s="150">
        <v>184236</v>
      </c>
      <c r="P213" s="150">
        <v>190030</v>
      </c>
      <c r="Q213" s="150">
        <v>196268.82</v>
      </c>
      <c r="R213" s="150">
        <v>196268.82</v>
      </c>
    </row>
    <row r="214" spans="1:18" x14ac:dyDescent="0.25">
      <c r="A214" t="str">
        <f t="shared" si="3"/>
        <v>25-3-55</v>
      </c>
      <c r="B214">
        <v>25</v>
      </c>
      <c r="C214" s="150" t="s">
        <v>1177</v>
      </c>
      <c r="D214" s="150">
        <v>3</v>
      </c>
      <c r="E214" s="150" t="s">
        <v>147</v>
      </c>
      <c r="F214" s="150">
        <v>55</v>
      </c>
      <c r="G214" s="150" t="s">
        <v>453</v>
      </c>
      <c r="H214" s="150">
        <v>0</v>
      </c>
      <c r="I214" s="150">
        <v>158177</v>
      </c>
      <c r="J214" s="150" t="s">
        <v>1203</v>
      </c>
      <c r="K214" s="150">
        <v>0</v>
      </c>
      <c r="L214" s="150">
        <v>834</v>
      </c>
      <c r="M214" s="150">
        <v>1.83</v>
      </c>
      <c r="N214" s="150">
        <v>0</v>
      </c>
      <c r="O214" s="150">
        <v>24363</v>
      </c>
      <c r="P214" s="150">
        <v>25094</v>
      </c>
      <c r="Q214" s="150">
        <v>25846.83</v>
      </c>
      <c r="R214" s="150">
        <v>25846.83</v>
      </c>
    </row>
    <row r="215" spans="1:18" x14ac:dyDescent="0.25">
      <c r="A215" t="str">
        <f t="shared" si="3"/>
        <v>28-3-56</v>
      </c>
      <c r="B215">
        <v>28</v>
      </c>
      <c r="C215" s="150" t="s">
        <v>1180</v>
      </c>
      <c r="D215" s="150">
        <v>3</v>
      </c>
      <c r="E215" s="150" t="s">
        <v>147</v>
      </c>
      <c r="F215" s="150">
        <v>56</v>
      </c>
      <c r="G215" s="150" t="s">
        <v>499</v>
      </c>
      <c r="H215" s="150">
        <v>0</v>
      </c>
      <c r="I215" s="150">
        <v>202788</v>
      </c>
      <c r="J215" s="150" t="s">
        <v>1203</v>
      </c>
      <c r="K215" s="150">
        <v>0</v>
      </c>
      <c r="L215" s="150">
        <v>27</v>
      </c>
      <c r="M215" s="150">
        <v>2.17</v>
      </c>
      <c r="N215" s="150">
        <v>0</v>
      </c>
      <c r="O215" s="150">
        <v>45494</v>
      </c>
      <c r="P215" s="150">
        <v>46859</v>
      </c>
      <c r="Q215" s="150">
        <v>48265.17</v>
      </c>
      <c r="R215" s="150">
        <v>48265.17</v>
      </c>
    </row>
    <row r="216" spans="1:18" x14ac:dyDescent="0.25">
      <c r="A216" t="str">
        <f t="shared" si="3"/>
        <v>42-3-57</v>
      </c>
      <c r="B216">
        <v>42</v>
      </c>
      <c r="C216" s="150" t="s">
        <v>1194</v>
      </c>
      <c r="D216" s="150">
        <v>3</v>
      </c>
      <c r="E216" s="150" t="s">
        <v>147</v>
      </c>
      <c r="F216" s="150">
        <v>57</v>
      </c>
      <c r="G216" s="150" t="s">
        <v>646</v>
      </c>
      <c r="H216" s="150">
        <v>50921</v>
      </c>
      <c r="I216" s="150">
        <v>7524249</v>
      </c>
      <c r="J216" s="150" t="s">
        <v>1203</v>
      </c>
      <c r="K216" s="150">
        <v>1657</v>
      </c>
      <c r="L216" s="150">
        <v>13350</v>
      </c>
      <c r="M216" s="150">
        <v>6793.61</v>
      </c>
      <c r="N216" s="150">
        <v>0</v>
      </c>
      <c r="O216" s="150">
        <v>1144576</v>
      </c>
      <c r="P216" s="150">
        <v>1204427</v>
      </c>
      <c r="Q216" s="150">
        <v>1194140.6100000001</v>
      </c>
      <c r="R216" s="150">
        <v>1204427</v>
      </c>
    </row>
    <row r="217" spans="1:18" x14ac:dyDescent="0.25">
      <c r="A217" t="str">
        <f t="shared" si="3"/>
        <v>6-3-58</v>
      </c>
      <c r="B217">
        <v>6</v>
      </c>
      <c r="C217" s="150" t="s">
        <v>1159</v>
      </c>
      <c r="D217" s="150">
        <v>3</v>
      </c>
      <c r="E217" s="150" t="s">
        <v>147</v>
      </c>
      <c r="F217" s="150">
        <v>58</v>
      </c>
      <c r="G217" s="150" t="s">
        <v>222</v>
      </c>
      <c r="H217" s="150">
        <v>23947</v>
      </c>
      <c r="I217" s="150">
        <v>1082112</v>
      </c>
      <c r="J217" s="150" t="s">
        <v>1203</v>
      </c>
      <c r="K217" s="150">
        <v>481</v>
      </c>
      <c r="L217" s="150">
        <v>1507</v>
      </c>
      <c r="M217" s="150">
        <v>274.53999999999996</v>
      </c>
      <c r="N217" s="150">
        <v>0</v>
      </c>
      <c r="O217" s="150">
        <v>88626</v>
      </c>
      <c r="P217" s="150">
        <v>88626</v>
      </c>
      <c r="Q217" s="150">
        <v>88625.54</v>
      </c>
      <c r="R217" s="150">
        <v>88626</v>
      </c>
    </row>
    <row r="218" spans="1:18" x14ac:dyDescent="0.25">
      <c r="A218" t="str">
        <f t="shared" si="3"/>
        <v>21-3-59</v>
      </c>
      <c r="B218">
        <v>21</v>
      </c>
      <c r="C218" s="150" t="s">
        <v>1173</v>
      </c>
      <c r="D218" s="150">
        <v>3</v>
      </c>
      <c r="E218" s="150" t="s">
        <v>147</v>
      </c>
      <c r="F218" s="150">
        <v>59</v>
      </c>
      <c r="G218" s="150" t="s">
        <v>405</v>
      </c>
      <c r="H218" s="150">
        <v>0</v>
      </c>
      <c r="I218" s="150">
        <v>1517458</v>
      </c>
      <c r="J218" s="150" t="s">
        <v>1203</v>
      </c>
      <c r="K218" s="150">
        <v>729</v>
      </c>
      <c r="L218" s="150">
        <v>1318</v>
      </c>
      <c r="M218" s="150">
        <v>1156.72</v>
      </c>
      <c r="N218" s="150">
        <v>0</v>
      </c>
      <c r="O218" s="150">
        <v>136973</v>
      </c>
      <c r="P218" s="150">
        <v>147931</v>
      </c>
      <c r="Q218" s="150">
        <v>155362.72</v>
      </c>
      <c r="R218" s="150">
        <v>155362.72</v>
      </c>
    </row>
    <row r="219" spans="1:18" x14ac:dyDescent="0.25">
      <c r="A219" t="str">
        <f t="shared" si="3"/>
        <v>38-3-60</v>
      </c>
      <c r="B219">
        <v>38</v>
      </c>
      <c r="C219" s="150" t="s">
        <v>1189</v>
      </c>
      <c r="D219" s="150">
        <v>3</v>
      </c>
      <c r="E219" s="150" t="s">
        <v>147</v>
      </c>
      <c r="F219" s="150">
        <v>60</v>
      </c>
      <c r="G219" s="150" t="s">
        <v>611</v>
      </c>
      <c r="H219" s="150">
        <v>0</v>
      </c>
      <c r="I219" s="150">
        <v>10722339</v>
      </c>
      <c r="J219" s="150" t="s">
        <v>1203</v>
      </c>
      <c r="K219" s="150">
        <v>37</v>
      </c>
      <c r="L219" s="150">
        <v>29115</v>
      </c>
      <c r="M219" s="150">
        <v>6892.36</v>
      </c>
      <c r="N219" s="150">
        <v>0</v>
      </c>
      <c r="O219" s="150">
        <v>2544527</v>
      </c>
      <c r="P219" s="150">
        <v>2712102</v>
      </c>
      <c r="Q219" s="150">
        <v>2853948.36</v>
      </c>
      <c r="R219" s="150">
        <v>2853948.36</v>
      </c>
    </row>
    <row r="220" spans="1:18" x14ac:dyDescent="0.25">
      <c r="A220" t="str">
        <f t="shared" si="3"/>
        <v>1-3-61</v>
      </c>
      <c r="B220">
        <v>1</v>
      </c>
      <c r="C220" s="150" t="s">
        <v>1155</v>
      </c>
      <c r="D220" s="150">
        <v>3</v>
      </c>
      <c r="E220" s="150" t="s">
        <v>147</v>
      </c>
      <c r="F220" s="150">
        <v>61</v>
      </c>
      <c r="G220" s="150" t="s">
        <v>697</v>
      </c>
      <c r="H220" s="150">
        <v>156580</v>
      </c>
      <c r="I220" s="150">
        <v>11888529</v>
      </c>
      <c r="J220" s="150" t="s">
        <v>1203</v>
      </c>
      <c r="K220" s="150">
        <v>32</v>
      </c>
      <c r="L220" s="150">
        <v>54448</v>
      </c>
      <c r="M220" s="150">
        <v>7018.53</v>
      </c>
      <c r="N220" s="150">
        <v>0</v>
      </c>
      <c r="O220" s="150">
        <v>4775165</v>
      </c>
      <c r="P220" s="150">
        <v>4963787</v>
      </c>
      <c r="Q220" s="150">
        <v>5188147.53</v>
      </c>
      <c r="R220" s="150">
        <v>5188147.53</v>
      </c>
    </row>
    <row r="221" spans="1:18" x14ac:dyDescent="0.25">
      <c r="A221" t="str">
        <f t="shared" si="3"/>
        <v>29-3-62</v>
      </c>
      <c r="B221">
        <v>29</v>
      </c>
      <c r="C221" s="150" t="s">
        <v>1181</v>
      </c>
      <c r="D221" s="150">
        <v>3</v>
      </c>
      <c r="E221" s="150" t="s">
        <v>147</v>
      </c>
      <c r="F221" s="150">
        <v>62</v>
      </c>
      <c r="G221" s="150" t="s">
        <v>527</v>
      </c>
      <c r="H221" s="150">
        <v>11884</v>
      </c>
      <c r="I221" s="150">
        <v>997587</v>
      </c>
      <c r="J221" s="150" t="s">
        <v>1203</v>
      </c>
      <c r="K221" s="150">
        <v>114</v>
      </c>
      <c r="L221" s="150">
        <v>1980</v>
      </c>
      <c r="M221" s="150">
        <v>1596.35</v>
      </c>
      <c r="N221" s="150">
        <v>0</v>
      </c>
      <c r="O221" s="150">
        <v>269186</v>
      </c>
      <c r="P221" s="150">
        <v>277056</v>
      </c>
      <c r="Q221" s="150">
        <v>288386.44999999995</v>
      </c>
      <c r="R221" s="150">
        <v>288386.34999999998</v>
      </c>
    </row>
    <row r="222" spans="1:18" x14ac:dyDescent="0.25">
      <c r="A222" t="str">
        <f t="shared" si="3"/>
        <v>4-3-63</v>
      </c>
      <c r="B222">
        <v>4</v>
      </c>
      <c r="C222" s="150" t="s">
        <v>1196</v>
      </c>
      <c r="D222" s="150">
        <v>3</v>
      </c>
      <c r="E222" s="150" t="s">
        <v>147</v>
      </c>
      <c r="F222" s="150">
        <v>63</v>
      </c>
      <c r="G222" s="150" t="s">
        <v>200</v>
      </c>
      <c r="H222" s="150">
        <v>0</v>
      </c>
      <c r="I222" s="150">
        <v>495826</v>
      </c>
      <c r="J222" s="150" t="s">
        <v>1203</v>
      </c>
      <c r="K222" s="150">
        <v>201</v>
      </c>
      <c r="L222" s="150">
        <v>134</v>
      </c>
      <c r="M222" s="150">
        <v>7.9399999999999995</v>
      </c>
      <c r="N222" s="150">
        <v>0</v>
      </c>
      <c r="O222" s="150">
        <v>32169</v>
      </c>
      <c r="P222" s="150">
        <v>33168</v>
      </c>
      <c r="Q222" s="150">
        <v>34340.94</v>
      </c>
      <c r="R222" s="150">
        <v>34340.94</v>
      </c>
    </row>
    <row r="223" spans="1:18" x14ac:dyDescent="0.25">
      <c r="A223" t="str">
        <f t="shared" si="3"/>
        <v>20-3-64</v>
      </c>
      <c r="B223">
        <v>20</v>
      </c>
      <c r="C223" s="150" t="s">
        <v>1172</v>
      </c>
      <c r="D223" s="150">
        <v>3</v>
      </c>
      <c r="E223" s="150" t="s">
        <v>147</v>
      </c>
      <c r="F223" s="150">
        <v>64</v>
      </c>
      <c r="G223" s="150" t="s">
        <v>396</v>
      </c>
      <c r="H223" s="150">
        <v>189325</v>
      </c>
      <c r="I223" s="150">
        <v>12470106</v>
      </c>
      <c r="J223" s="150" t="s">
        <v>1203</v>
      </c>
      <c r="K223" s="150">
        <v>723</v>
      </c>
      <c r="L223" s="150">
        <v>24337</v>
      </c>
      <c r="M223" s="150">
        <v>4193.6899999999996</v>
      </c>
      <c r="N223" s="150">
        <v>0</v>
      </c>
      <c r="O223" s="150">
        <v>677954</v>
      </c>
      <c r="P223" s="150">
        <v>704348</v>
      </c>
      <c r="Q223" s="150">
        <v>729348.69</v>
      </c>
      <c r="R223" s="150">
        <v>729348.69</v>
      </c>
    </row>
    <row r="224" spans="1:18" x14ac:dyDescent="0.25">
      <c r="A224" t="str">
        <f t="shared" si="3"/>
        <v>24-3-65</v>
      </c>
      <c r="B224">
        <v>24</v>
      </c>
      <c r="C224" s="150" t="s">
        <v>1176</v>
      </c>
      <c r="D224" s="150">
        <v>3</v>
      </c>
      <c r="E224" s="150" t="s">
        <v>147</v>
      </c>
      <c r="F224" s="150">
        <v>65</v>
      </c>
      <c r="G224" s="150" t="s">
        <v>436</v>
      </c>
      <c r="H224" s="150">
        <v>0</v>
      </c>
      <c r="I224" s="150">
        <v>5136359</v>
      </c>
      <c r="J224" s="150" t="s">
        <v>1203</v>
      </c>
      <c r="K224" s="150">
        <v>3793</v>
      </c>
      <c r="L224" s="150">
        <v>29650</v>
      </c>
      <c r="M224" s="150">
        <v>2185.39</v>
      </c>
      <c r="N224" s="150">
        <v>0</v>
      </c>
      <c r="O224" s="150">
        <v>1178715</v>
      </c>
      <c r="P224" s="150">
        <v>1220229</v>
      </c>
      <c r="Q224" s="150">
        <v>1268307.3899999999</v>
      </c>
      <c r="R224" s="150">
        <v>1268307.3899999999</v>
      </c>
    </row>
    <row r="225" spans="1:18" x14ac:dyDescent="0.25">
      <c r="A225" t="str">
        <f t="shared" si="3"/>
        <v>15-3-66</v>
      </c>
      <c r="B225">
        <v>15</v>
      </c>
      <c r="C225" s="150" t="s">
        <v>1167</v>
      </c>
      <c r="D225" s="150">
        <v>3</v>
      </c>
      <c r="E225" s="150" t="s">
        <v>147</v>
      </c>
      <c r="F225" s="150">
        <v>66</v>
      </c>
      <c r="G225" s="150" t="s">
        <v>343</v>
      </c>
      <c r="H225" s="150">
        <v>0</v>
      </c>
      <c r="I225" s="150">
        <v>948615</v>
      </c>
      <c r="J225" s="150" t="s">
        <v>1203</v>
      </c>
      <c r="K225" s="150">
        <v>79</v>
      </c>
      <c r="L225" s="150">
        <v>3075</v>
      </c>
      <c r="M225" s="150">
        <v>68.53</v>
      </c>
      <c r="N225" s="150">
        <v>0</v>
      </c>
      <c r="O225" s="150">
        <v>290044</v>
      </c>
      <c r="P225" s="150">
        <v>299719</v>
      </c>
      <c r="Q225" s="150">
        <v>312163.53000000003</v>
      </c>
      <c r="R225" s="150">
        <v>312163.53000000003</v>
      </c>
    </row>
    <row r="226" spans="1:18" x14ac:dyDescent="0.25">
      <c r="A226" t="str">
        <f t="shared" si="3"/>
        <v>37-3-67</v>
      </c>
      <c r="B226">
        <v>37</v>
      </c>
      <c r="C226" s="150" t="s">
        <v>1188</v>
      </c>
      <c r="D226" s="150">
        <v>3</v>
      </c>
      <c r="E226" s="150" t="s">
        <v>147</v>
      </c>
      <c r="F226" s="150">
        <v>67</v>
      </c>
      <c r="G226" s="150" t="s">
        <v>601</v>
      </c>
      <c r="H226" s="150">
        <v>0</v>
      </c>
      <c r="I226" s="150">
        <v>219089</v>
      </c>
      <c r="J226" s="150" t="s">
        <v>1203</v>
      </c>
      <c r="K226" s="150">
        <v>92</v>
      </c>
      <c r="L226" s="150">
        <v>362</v>
      </c>
      <c r="M226" s="150">
        <v>80.949999999999989</v>
      </c>
      <c r="N226" s="150">
        <v>0</v>
      </c>
      <c r="O226" s="150">
        <v>11096</v>
      </c>
      <c r="P226" s="150">
        <v>11573</v>
      </c>
      <c r="Q226" s="150">
        <v>12076.95</v>
      </c>
      <c r="R226" s="150">
        <v>12076.95</v>
      </c>
    </row>
    <row r="227" spans="1:18" x14ac:dyDescent="0.25">
      <c r="A227" t="str">
        <f t="shared" si="3"/>
        <v>25-3-68</v>
      </c>
      <c r="B227">
        <v>25</v>
      </c>
      <c r="C227" s="150" t="s">
        <v>1177</v>
      </c>
      <c r="D227" s="150">
        <v>3</v>
      </c>
      <c r="E227" s="150" t="s">
        <v>147</v>
      </c>
      <c r="F227" s="150">
        <v>68</v>
      </c>
      <c r="G227" s="150" t="s">
        <v>454</v>
      </c>
      <c r="H227" s="150">
        <v>0</v>
      </c>
      <c r="I227" s="150">
        <v>2015882</v>
      </c>
      <c r="J227" s="150" t="s">
        <v>1203</v>
      </c>
      <c r="K227" s="150">
        <v>0</v>
      </c>
      <c r="L227" s="150">
        <v>23095</v>
      </c>
      <c r="M227" s="150">
        <v>5091.4399999999996</v>
      </c>
      <c r="N227" s="150">
        <v>0</v>
      </c>
      <c r="O227" s="150">
        <v>1116065</v>
      </c>
      <c r="P227" s="150">
        <v>1155266</v>
      </c>
      <c r="Q227" s="150">
        <v>1200840.44</v>
      </c>
      <c r="R227" s="150">
        <v>1200840.44</v>
      </c>
    </row>
    <row r="228" spans="1:18" x14ac:dyDescent="0.25">
      <c r="A228" t="str">
        <f t="shared" si="3"/>
        <v>14-3-69</v>
      </c>
      <c r="B228">
        <v>14</v>
      </c>
      <c r="C228" s="150" t="s">
        <v>1166</v>
      </c>
      <c r="D228" s="150">
        <v>3</v>
      </c>
      <c r="E228" s="150" t="s">
        <v>147</v>
      </c>
      <c r="F228" s="150">
        <v>69</v>
      </c>
      <c r="G228" s="150" t="s">
        <v>307</v>
      </c>
      <c r="H228" s="150">
        <v>0</v>
      </c>
      <c r="I228" s="150">
        <v>675625</v>
      </c>
      <c r="J228" s="150" t="s">
        <v>1203</v>
      </c>
      <c r="K228" s="150">
        <v>9</v>
      </c>
      <c r="L228" s="150">
        <v>1697</v>
      </c>
      <c r="M228" s="150">
        <v>183</v>
      </c>
      <c r="N228" s="150">
        <v>0</v>
      </c>
      <c r="O228" s="150">
        <v>90848</v>
      </c>
      <c r="P228" s="150">
        <v>95621</v>
      </c>
      <c r="Q228" s="150">
        <v>99946</v>
      </c>
      <c r="R228" s="150">
        <v>99946</v>
      </c>
    </row>
    <row r="229" spans="1:18" x14ac:dyDescent="0.25">
      <c r="A229" t="str">
        <f t="shared" si="3"/>
        <v>24-3-70</v>
      </c>
      <c r="B229">
        <v>24</v>
      </c>
      <c r="C229" s="150" t="s">
        <v>1176</v>
      </c>
      <c r="D229" s="150">
        <v>3</v>
      </c>
      <c r="E229" s="150" t="s">
        <v>147</v>
      </c>
      <c r="F229" s="150">
        <v>70</v>
      </c>
      <c r="G229" s="150" t="s">
        <v>437</v>
      </c>
      <c r="H229" s="150">
        <v>9101</v>
      </c>
      <c r="I229" s="150">
        <v>769336</v>
      </c>
      <c r="J229" s="150" t="s">
        <v>1203</v>
      </c>
      <c r="K229" s="150">
        <v>77</v>
      </c>
      <c r="L229" s="150">
        <v>3097</v>
      </c>
      <c r="M229" s="150">
        <v>17.62</v>
      </c>
      <c r="N229" s="150">
        <v>0</v>
      </c>
      <c r="O229" s="150">
        <v>228488</v>
      </c>
      <c r="P229" s="150">
        <v>235251</v>
      </c>
      <c r="Q229" s="150">
        <v>242227.62</v>
      </c>
      <c r="R229" s="150">
        <v>242227.62</v>
      </c>
    </row>
    <row r="230" spans="1:18" x14ac:dyDescent="0.25">
      <c r="A230" t="str">
        <f t="shared" si="3"/>
        <v>7-3-71</v>
      </c>
      <c r="B230">
        <v>7</v>
      </c>
      <c r="C230" s="150" t="s">
        <v>1199</v>
      </c>
      <c r="D230" s="150">
        <v>3</v>
      </c>
      <c r="E230" s="150" t="s">
        <v>147</v>
      </c>
      <c r="F230" s="150">
        <v>71</v>
      </c>
      <c r="G230" s="150" t="s">
        <v>242</v>
      </c>
      <c r="H230" s="150">
        <v>36</v>
      </c>
      <c r="I230" s="150">
        <v>5912671</v>
      </c>
      <c r="J230" s="150" t="s">
        <v>1203</v>
      </c>
      <c r="K230" s="150">
        <v>139</v>
      </c>
      <c r="L230" s="150">
        <v>25557</v>
      </c>
      <c r="M230" s="150">
        <v>3779.51</v>
      </c>
      <c r="N230" s="150">
        <v>0</v>
      </c>
      <c r="O230" s="150">
        <v>2915555</v>
      </c>
      <c r="P230" s="150">
        <v>3040826</v>
      </c>
      <c r="Q230" s="150">
        <v>3178236.51</v>
      </c>
      <c r="R230" s="150">
        <v>3178236.51</v>
      </c>
    </row>
    <row r="231" spans="1:18" x14ac:dyDescent="0.25">
      <c r="A231" t="str">
        <f t="shared" si="3"/>
        <v>42-3-73</v>
      </c>
      <c r="B231">
        <v>42</v>
      </c>
      <c r="C231" s="150" t="s">
        <v>1194</v>
      </c>
      <c r="D231" s="150">
        <v>3</v>
      </c>
      <c r="E231" s="150" t="s">
        <v>147</v>
      </c>
      <c r="F231" s="150">
        <v>73</v>
      </c>
      <c r="G231" s="150" t="s">
        <v>647</v>
      </c>
      <c r="H231" s="150">
        <v>56477</v>
      </c>
      <c r="I231" s="150">
        <v>521811</v>
      </c>
      <c r="J231" s="150" t="s">
        <v>1203</v>
      </c>
      <c r="K231" s="150">
        <v>121</v>
      </c>
      <c r="L231" s="150">
        <v>942</v>
      </c>
      <c r="M231" s="150">
        <v>25.26</v>
      </c>
      <c r="N231" s="150">
        <v>0</v>
      </c>
      <c r="O231" s="150">
        <v>168238</v>
      </c>
      <c r="P231" s="150">
        <v>174327</v>
      </c>
      <c r="Q231" s="150">
        <v>179550.26</v>
      </c>
      <c r="R231" s="150">
        <v>179550.26</v>
      </c>
    </row>
    <row r="232" spans="1:18" x14ac:dyDescent="0.25">
      <c r="A232" t="str">
        <f t="shared" si="3"/>
        <v>28-3-74</v>
      </c>
      <c r="B232">
        <v>28</v>
      </c>
      <c r="C232" s="150" t="s">
        <v>1180</v>
      </c>
      <c r="D232" s="150">
        <v>3</v>
      </c>
      <c r="E232" s="150" t="s">
        <v>147</v>
      </c>
      <c r="F232" s="150">
        <v>74</v>
      </c>
      <c r="G232" s="150" t="s">
        <v>500</v>
      </c>
      <c r="H232" s="150">
        <v>21115</v>
      </c>
      <c r="I232" s="150">
        <v>852759</v>
      </c>
      <c r="J232" s="150" t="s">
        <v>1203</v>
      </c>
      <c r="K232" s="150">
        <v>0</v>
      </c>
      <c r="L232" s="150">
        <v>1555</v>
      </c>
      <c r="M232" s="150">
        <v>216.56</v>
      </c>
      <c r="N232" s="150">
        <v>0</v>
      </c>
      <c r="O232" s="150">
        <v>140687</v>
      </c>
      <c r="P232" s="150">
        <v>140685</v>
      </c>
      <c r="Q232" s="150">
        <v>140901.56</v>
      </c>
      <c r="R232" s="150">
        <v>140901.56</v>
      </c>
    </row>
    <row r="233" spans="1:18" x14ac:dyDescent="0.25">
      <c r="A233" t="str">
        <f t="shared" si="3"/>
        <v>28-3-75</v>
      </c>
      <c r="B233">
        <v>28</v>
      </c>
      <c r="C233" s="150" t="s">
        <v>1180</v>
      </c>
      <c r="D233" s="150">
        <v>3</v>
      </c>
      <c r="E233" s="150" t="s">
        <v>147</v>
      </c>
      <c r="F233" s="150">
        <v>75</v>
      </c>
      <c r="G233" s="150" t="s">
        <v>501</v>
      </c>
      <c r="H233" s="150">
        <v>1999</v>
      </c>
      <c r="I233" s="150">
        <v>395805</v>
      </c>
      <c r="J233" s="150" t="s">
        <v>1203</v>
      </c>
      <c r="K233" s="150">
        <v>0</v>
      </c>
      <c r="L233" s="150">
        <v>205</v>
      </c>
      <c r="M233" s="150">
        <v>2.57</v>
      </c>
      <c r="N233" s="150">
        <v>0</v>
      </c>
      <c r="O233" s="150">
        <v>24575</v>
      </c>
      <c r="P233" s="150">
        <v>26541</v>
      </c>
      <c r="Q233" s="150">
        <v>26543.57</v>
      </c>
      <c r="R233" s="150">
        <v>26543.57</v>
      </c>
    </row>
    <row r="234" spans="1:18" x14ac:dyDescent="0.25">
      <c r="A234" t="str">
        <f t="shared" si="3"/>
        <v>28-3-76</v>
      </c>
      <c r="B234">
        <v>28</v>
      </c>
      <c r="C234" s="150" t="s">
        <v>1180</v>
      </c>
      <c r="D234" s="150">
        <v>3</v>
      </c>
      <c r="E234" s="150" t="s">
        <v>147</v>
      </c>
      <c r="F234" s="150">
        <v>76</v>
      </c>
      <c r="G234" s="150" t="s">
        <v>502</v>
      </c>
      <c r="H234" s="150">
        <v>38</v>
      </c>
      <c r="I234" s="150">
        <v>17004434</v>
      </c>
      <c r="J234" s="150" t="s">
        <v>1203</v>
      </c>
      <c r="K234" s="150">
        <v>80</v>
      </c>
      <c r="L234" s="150">
        <v>17075</v>
      </c>
      <c r="M234" s="150">
        <v>2080.61</v>
      </c>
      <c r="N234" s="150">
        <v>0</v>
      </c>
      <c r="O234" s="150">
        <v>1777535</v>
      </c>
      <c r="P234" s="150">
        <v>1858174</v>
      </c>
      <c r="Q234" s="150">
        <v>2498603.61</v>
      </c>
      <c r="R234" s="150">
        <v>2498603.61</v>
      </c>
    </row>
    <row r="235" spans="1:18" x14ac:dyDescent="0.25">
      <c r="A235" t="str">
        <f t="shared" si="3"/>
        <v>28-3-77</v>
      </c>
      <c r="B235">
        <v>28</v>
      </c>
      <c r="C235" s="150" t="s">
        <v>1180</v>
      </c>
      <c r="D235" s="150">
        <v>3</v>
      </c>
      <c r="E235" s="150" t="s">
        <v>147</v>
      </c>
      <c r="F235" s="150">
        <v>77</v>
      </c>
      <c r="G235" s="150" t="s">
        <v>503</v>
      </c>
      <c r="H235" s="150">
        <v>614</v>
      </c>
      <c r="I235" s="150">
        <v>984286</v>
      </c>
      <c r="J235" s="150" t="s">
        <v>1203</v>
      </c>
      <c r="K235" s="150">
        <v>0</v>
      </c>
      <c r="L235" s="150">
        <v>328</v>
      </c>
      <c r="M235" s="150">
        <v>111.14</v>
      </c>
      <c r="N235" s="150">
        <v>0</v>
      </c>
      <c r="O235" s="150">
        <v>123249</v>
      </c>
      <c r="P235" s="150">
        <v>259817</v>
      </c>
      <c r="Q235" s="150">
        <v>269128.14</v>
      </c>
      <c r="R235" s="150">
        <v>269128.14</v>
      </c>
    </row>
    <row r="236" spans="1:18" x14ac:dyDescent="0.25">
      <c r="A236" t="str">
        <f t="shared" si="3"/>
        <v>27-3-78</v>
      </c>
      <c r="B236">
        <v>27</v>
      </c>
      <c r="C236" s="150" t="s">
        <v>1179</v>
      </c>
      <c r="D236" s="150">
        <v>3</v>
      </c>
      <c r="E236" s="150" t="s">
        <v>147</v>
      </c>
      <c r="F236" s="150">
        <v>78</v>
      </c>
      <c r="G236" s="150" t="s">
        <v>490</v>
      </c>
      <c r="H236" s="150">
        <v>12397</v>
      </c>
      <c r="I236" s="150">
        <v>286274</v>
      </c>
      <c r="J236" s="150" t="s">
        <v>1203</v>
      </c>
      <c r="K236" s="150">
        <v>233</v>
      </c>
      <c r="L236" s="150">
        <v>2622</v>
      </c>
      <c r="M236" s="150">
        <v>1133.98</v>
      </c>
      <c r="N236" s="150">
        <v>0</v>
      </c>
      <c r="O236" s="150">
        <v>151096</v>
      </c>
      <c r="P236" s="150">
        <v>154950</v>
      </c>
      <c r="Q236" s="150">
        <v>148003.98000000001</v>
      </c>
      <c r="R236" s="150">
        <v>154950</v>
      </c>
    </row>
    <row r="237" spans="1:18" x14ac:dyDescent="0.25">
      <c r="A237" t="str">
        <f t="shared" si="3"/>
        <v>34-3-79</v>
      </c>
      <c r="B237">
        <v>34</v>
      </c>
      <c r="C237" s="150" t="s">
        <v>1186</v>
      </c>
      <c r="D237" s="150">
        <v>3</v>
      </c>
      <c r="E237" s="150" t="s">
        <v>147</v>
      </c>
      <c r="F237" s="150">
        <v>79</v>
      </c>
      <c r="G237" s="150" t="s">
        <v>580</v>
      </c>
      <c r="H237" s="150">
        <v>15</v>
      </c>
      <c r="I237" s="150">
        <v>2342831</v>
      </c>
      <c r="J237" s="150" t="s">
        <v>1203</v>
      </c>
      <c r="K237" s="150">
        <v>497</v>
      </c>
      <c r="L237" s="150">
        <v>10226</v>
      </c>
      <c r="M237" s="150">
        <v>3730.81</v>
      </c>
      <c r="N237" s="150">
        <v>0</v>
      </c>
      <c r="O237" s="150">
        <v>1187444</v>
      </c>
      <c r="P237" s="150">
        <v>1238104</v>
      </c>
      <c r="Q237" s="150">
        <v>1327384.81</v>
      </c>
      <c r="R237" s="150">
        <v>1327384.81</v>
      </c>
    </row>
    <row r="238" spans="1:18" x14ac:dyDescent="0.25">
      <c r="A238" t="str">
        <f t="shared" si="3"/>
        <v>42-3-80</v>
      </c>
      <c r="B238">
        <v>42</v>
      </c>
      <c r="C238" s="150" t="s">
        <v>1194</v>
      </c>
      <c r="D238" s="150">
        <v>3</v>
      </c>
      <c r="E238" s="150" t="s">
        <v>147</v>
      </c>
      <c r="F238" s="150">
        <v>80</v>
      </c>
      <c r="G238" s="150" t="s">
        <v>648</v>
      </c>
      <c r="H238" s="150">
        <v>1015</v>
      </c>
      <c r="I238" s="150">
        <v>1376014</v>
      </c>
      <c r="J238" s="150" t="s">
        <v>1203</v>
      </c>
      <c r="K238" s="150">
        <v>0</v>
      </c>
      <c r="L238" s="150">
        <v>362</v>
      </c>
      <c r="M238" s="150">
        <v>3.13</v>
      </c>
      <c r="N238" s="150">
        <v>0</v>
      </c>
      <c r="O238" s="150">
        <v>31691</v>
      </c>
      <c r="P238" s="150">
        <v>32642</v>
      </c>
      <c r="Q238" s="150">
        <v>32645.13</v>
      </c>
      <c r="R238" s="150">
        <v>32645.13</v>
      </c>
    </row>
    <row r="239" spans="1:18" x14ac:dyDescent="0.25">
      <c r="A239" t="str">
        <f t="shared" si="3"/>
        <v>37-3-81</v>
      </c>
      <c r="B239">
        <v>37</v>
      </c>
      <c r="C239" s="150" t="s">
        <v>1188</v>
      </c>
      <c r="D239" s="150">
        <v>3</v>
      </c>
      <c r="E239" s="150" t="s">
        <v>147</v>
      </c>
      <c r="F239" s="150">
        <v>81</v>
      </c>
      <c r="G239" s="150" t="s">
        <v>602</v>
      </c>
      <c r="H239" s="150">
        <v>14660</v>
      </c>
      <c r="I239" s="150">
        <v>2409423</v>
      </c>
      <c r="J239" s="150" t="s">
        <v>1203</v>
      </c>
      <c r="K239" s="150">
        <v>247</v>
      </c>
      <c r="L239" s="150">
        <v>14425</v>
      </c>
      <c r="M239" s="150">
        <v>2216.9</v>
      </c>
      <c r="N239" s="150">
        <v>0</v>
      </c>
      <c r="O239" s="150">
        <v>527136</v>
      </c>
      <c r="P239" s="150">
        <v>548388</v>
      </c>
      <c r="Q239" s="150">
        <v>592258.9</v>
      </c>
      <c r="R239" s="150">
        <v>592258.9</v>
      </c>
    </row>
    <row r="240" spans="1:18" x14ac:dyDescent="0.25">
      <c r="A240" t="str">
        <f t="shared" si="3"/>
        <v>9-3-82</v>
      </c>
      <c r="B240">
        <v>9</v>
      </c>
      <c r="C240" s="150" t="s">
        <v>1161</v>
      </c>
      <c r="D240" s="150">
        <v>3</v>
      </c>
      <c r="E240" s="150" t="s">
        <v>147</v>
      </c>
      <c r="F240" s="150">
        <v>82</v>
      </c>
      <c r="G240" s="150" t="s">
        <v>267</v>
      </c>
      <c r="H240" s="150">
        <v>3181</v>
      </c>
      <c r="I240" s="150">
        <v>6469834</v>
      </c>
      <c r="J240" s="150" t="s">
        <v>1203</v>
      </c>
      <c r="K240" s="150">
        <v>0</v>
      </c>
      <c r="L240" s="150">
        <v>319</v>
      </c>
      <c r="M240" s="150">
        <v>404.16</v>
      </c>
      <c r="N240" s="150">
        <v>0</v>
      </c>
      <c r="O240" s="150">
        <v>57835</v>
      </c>
      <c r="P240" s="150">
        <v>57319</v>
      </c>
      <c r="Q240" s="150">
        <v>57723.16</v>
      </c>
      <c r="R240" s="150">
        <v>57835</v>
      </c>
    </row>
    <row r="241" spans="1:18" x14ac:dyDescent="0.25">
      <c r="A241" t="str">
        <f t="shared" si="3"/>
        <v>8-3-83</v>
      </c>
      <c r="B241">
        <v>8</v>
      </c>
      <c r="C241" s="150" t="s">
        <v>1160</v>
      </c>
      <c r="D241" s="150">
        <v>3</v>
      </c>
      <c r="E241" s="150" t="s">
        <v>147</v>
      </c>
      <c r="F241" s="150">
        <v>83</v>
      </c>
      <c r="G241" s="150" t="s">
        <v>253</v>
      </c>
      <c r="H241" s="150">
        <v>21818</v>
      </c>
      <c r="I241" s="150">
        <v>453585</v>
      </c>
      <c r="J241" s="150" t="s">
        <v>1203</v>
      </c>
      <c r="K241" s="150">
        <v>0</v>
      </c>
      <c r="L241" s="150">
        <v>5368</v>
      </c>
      <c r="M241" s="150">
        <v>723.67000000000007</v>
      </c>
      <c r="N241" s="150">
        <v>0</v>
      </c>
      <c r="O241" s="150">
        <v>210368</v>
      </c>
      <c r="P241" s="150">
        <v>222379</v>
      </c>
      <c r="Q241" s="150">
        <v>227402.67</v>
      </c>
      <c r="R241" s="150">
        <v>227402.67</v>
      </c>
    </row>
    <row r="242" spans="1:18" x14ac:dyDescent="0.25">
      <c r="A242" t="str">
        <f t="shared" si="3"/>
        <v>28-3-84</v>
      </c>
      <c r="B242">
        <v>28</v>
      </c>
      <c r="C242" s="150" t="s">
        <v>1180</v>
      </c>
      <c r="D242" s="150">
        <v>3</v>
      </c>
      <c r="E242" s="150" t="s">
        <v>147</v>
      </c>
      <c r="F242" s="150">
        <v>84</v>
      </c>
      <c r="G242" s="150" t="s">
        <v>504</v>
      </c>
      <c r="H242" s="150">
        <v>3329</v>
      </c>
      <c r="I242" s="150">
        <v>167999</v>
      </c>
      <c r="J242" s="150" t="s">
        <v>1203</v>
      </c>
      <c r="K242" s="150">
        <v>0</v>
      </c>
      <c r="L242" s="150">
        <v>934</v>
      </c>
      <c r="M242" s="150">
        <v>0</v>
      </c>
      <c r="N242" s="150">
        <v>0</v>
      </c>
      <c r="O242" s="150">
        <v>68336</v>
      </c>
      <c r="P242" s="150">
        <v>934</v>
      </c>
      <c r="Q242" s="150">
        <v>69452</v>
      </c>
      <c r="R242" s="150">
        <v>69452</v>
      </c>
    </row>
    <row r="243" spans="1:18" x14ac:dyDescent="0.25">
      <c r="A243" t="str">
        <f t="shared" si="3"/>
        <v>8-3-85</v>
      </c>
      <c r="B243">
        <v>8</v>
      </c>
      <c r="C243" s="150" t="s">
        <v>1160</v>
      </c>
      <c r="D243" s="150">
        <v>3</v>
      </c>
      <c r="E243" s="150" t="s">
        <v>147</v>
      </c>
      <c r="F243" s="150">
        <v>85</v>
      </c>
      <c r="G243" s="150" t="s">
        <v>254</v>
      </c>
      <c r="H243" s="150">
        <v>9291</v>
      </c>
      <c r="I243" s="150">
        <v>259471</v>
      </c>
      <c r="J243" s="150" t="s">
        <v>1203</v>
      </c>
      <c r="K243" s="150">
        <v>3</v>
      </c>
      <c r="L243" s="150">
        <v>4662</v>
      </c>
      <c r="M243" s="150">
        <v>152.26000000000002</v>
      </c>
      <c r="N243" s="150">
        <v>0</v>
      </c>
      <c r="O243" s="150">
        <v>143647</v>
      </c>
      <c r="P243" s="150">
        <v>149322</v>
      </c>
      <c r="Q243" s="150">
        <v>158145.26</v>
      </c>
      <c r="R243" s="150">
        <v>158145.26</v>
      </c>
    </row>
    <row r="244" spans="1:18" x14ac:dyDescent="0.25">
      <c r="A244" t="str">
        <f t="shared" si="3"/>
        <v>10-3-86</v>
      </c>
      <c r="B244">
        <v>10</v>
      </c>
      <c r="C244" s="150" t="s">
        <v>1162</v>
      </c>
      <c r="D244" s="150">
        <v>3</v>
      </c>
      <c r="E244" s="150" t="s">
        <v>147</v>
      </c>
      <c r="F244" s="150">
        <v>86</v>
      </c>
      <c r="G244" s="150" t="s">
        <v>281</v>
      </c>
      <c r="H244" s="150">
        <v>6511393</v>
      </c>
      <c r="I244" s="150">
        <v>30164892</v>
      </c>
      <c r="J244" s="150" t="s">
        <v>1203</v>
      </c>
      <c r="K244" s="150">
        <v>1461</v>
      </c>
      <c r="L244" s="150">
        <v>470659</v>
      </c>
      <c r="M244" s="150">
        <v>151866.97999999998</v>
      </c>
      <c r="N244" s="150">
        <v>0</v>
      </c>
      <c r="O244" s="150">
        <v>41148580</v>
      </c>
      <c r="P244" s="150">
        <v>43177255</v>
      </c>
      <c r="Q244" s="150">
        <v>45467994.979999997</v>
      </c>
      <c r="R244" s="150">
        <v>45467994.979999997</v>
      </c>
    </row>
    <row r="245" spans="1:18" x14ac:dyDescent="0.25">
      <c r="A245" t="str">
        <f t="shared" si="3"/>
        <v>3-3-87</v>
      </c>
      <c r="B245">
        <v>3</v>
      </c>
      <c r="C245" s="150" t="s">
        <v>1157</v>
      </c>
      <c r="D245" s="150">
        <v>3</v>
      </c>
      <c r="E245" s="150" t="s">
        <v>147</v>
      </c>
      <c r="F245" s="150">
        <v>87</v>
      </c>
      <c r="G245" s="150" t="s">
        <v>187</v>
      </c>
      <c r="H245" s="150">
        <v>8474</v>
      </c>
      <c r="I245" s="150">
        <v>3281962</v>
      </c>
      <c r="J245" s="150" t="s">
        <v>1203</v>
      </c>
      <c r="K245" s="150">
        <v>0</v>
      </c>
      <c r="L245" s="150">
        <v>1805</v>
      </c>
      <c r="M245" s="150">
        <v>933.99</v>
      </c>
      <c r="N245" s="150">
        <v>0</v>
      </c>
      <c r="O245" s="150">
        <v>282704</v>
      </c>
      <c r="P245" s="150">
        <v>293263</v>
      </c>
      <c r="Q245" s="150">
        <v>307752.99</v>
      </c>
      <c r="R245" s="150">
        <v>307752.99</v>
      </c>
    </row>
    <row r="246" spans="1:18" x14ac:dyDescent="0.25">
      <c r="A246" t="str">
        <f t="shared" si="3"/>
        <v>10-3-88</v>
      </c>
      <c r="B246">
        <v>10</v>
      </c>
      <c r="C246" s="150" t="s">
        <v>1162</v>
      </c>
      <c r="D246" s="150">
        <v>3</v>
      </c>
      <c r="E246" s="150" t="s">
        <v>147</v>
      </c>
      <c r="F246" s="150">
        <v>88</v>
      </c>
      <c r="G246" s="150" t="s">
        <v>282</v>
      </c>
      <c r="H246" s="150">
        <v>92703</v>
      </c>
      <c r="I246" s="150">
        <v>1275061</v>
      </c>
      <c r="J246" s="150" t="s">
        <v>1203</v>
      </c>
      <c r="K246" s="150">
        <v>0</v>
      </c>
      <c r="L246" s="150">
        <v>1073</v>
      </c>
      <c r="M246" s="150">
        <v>34.35</v>
      </c>
      <c r="N246" s="150">
        <v>0</v>
      </c>
      <c r="O246" s="150">
        <v>311549</v>
      </c>
      <c r="P246" s="150">
        <v>336473</v>
      </c>
      <c r="Q246" s="150">
        <v>360307.35</v>
      </c>
      <c r="R246" s="150">
        <v>360307.35</v>
      </c>
    </row>
    <row r="247" spans="1:18" x14ac:dyDescent="0.25">
      <c r="A247" t="str">
        <f t="shared" si="3"/>
        <v>22-3-90</v>
      </c>
      <c r="B247">
        <v>22</v>
      </c>
      <c r="C247" s="150" t="s">
        <v>1174</v>
      </c>
      <c r="D247" s="150">
        <v>3</v>
      </c>
      <c r="E247" s="150" t="s">
        <v>147</v>
      </c>
      <c r="F247" s="150">
        <v>90</v>
      </c>
      <c r="G247" s="150" t="s">
        <v>423</v>
      </c>
      <c r="H247" s="150">
        <v>1956</v>
      </c>
      <c r="I247" s="150">
        <v>234003</v>
      </c>
      <c r="J247" s="150" t="s">
        <v>1203</v>
      </c>
      <c r="K247" s="150">
        <v>0</v>
      </c>
      <c r="L247" s="150">
        <v>730</v>
      </c>
      <c r="M247" s="150">
        <v>26</v>
      </c>
      <c r="N247" s="150">
        <v>0</v>
      </c>
      <c r="O247" s="150">
        <v>28437</v>
      </c>
      <c r="P247" s="150">
        <v>30249</v>
      </c>
      <c r="Q247" s="150">
        <v>30275</v>
      </c>
      <c r="R247" s="150">
        <v>30275</v>
      </c>
    </row>
    <row r="248" spans="1:18" x14ac:dyDescent="0.25">
      <c r="A248" t="str">
        <f t="shared" si="3"/>
        <v>27-3-91</v>
      </c>
      <c r="B248">
        <v>27</v>
      </c>
      <c r="C248" s="150" t="s">
        <v>1179</v>
      </c>
      <c r="D248" s="150">
        <v>3</v>
      </c>
      <c r="E248" s="150" t="s">
        <v>147</v>
      </c>
      <c r="F248" s="150">
        <v>91</v>
      </c>
      <c r="G248" s="150" t="s">
        <v>491</v>
      </c>
      <c r="H248" s="150">
        <v>500246</v>
      </c>
      <c r="I248" s="150">
        <v>5493907</v>
      </c>
      <c r="J248" s="150" t="s">
        <v>1203</v>
      </c>
      <c r="K248" s="150">
        <v>1658</v>
      </c>
      <c r="L248" s="150">
        <v>76979</v>
      </c>
      <c r="M248" s="150">
        <v>25913.26</v>
      </c>
      <c r="N248" s="150">
        <v>0</v>
      </c>
      <c r="O248" s="150">
        <v>5205191</v>
      </c>
      <c r="P248" s="150">
        <v>6019115</v>
      </c>
      <c r="Q248" s="150">
        <v>6302008.2599999998</v>
      </c>
      <c r="R248" s="150">
        <v>6302008.2599999998</v>
      </c>
    </row>
    <row r="249" spans="1:18" x14ac:dyDescent="0.25">
      <c r="A249" t="str">
        <f t="shared" si="3"/>
        <v>29-3-92</v>
      </c>
      <c r="B249">
        <v>29</v>
      </c>
      <c r="C249" s="150" t="s">
        <v>1181</v>
      </c>
      <c r="D249" s="150">
        <v>3</v>
      </c>
      <c r="E249" s="150" t="s">
        <v>147</v>
      </c>
      <c r="F249" s="150">
        <v>92</v>
      </c>
      <c r="G249" s="150" t="s">
        <v>528</v>
      </c>
      <c r="H249" s="150">
        <v>7</v>
      </c>
      <c r="I249" s="150">
        <v>900086</v>
      </c>
      <c r="J249" s="150" t="s">
        <v>1203</v>
      </c>
      <c r="K249" s="150">
        <v>37</v>
      </c>
      <c r="L249" s="150">
        <v>3708</v>
      </c>
      <c r="M249" s="150">
        <v>1038.02</v>
      </c>
      <c r="N249" s="150">
        <v>0</v>
      </c>
      <c r="O249" s="150">
        <v>143881</v>
      </c>
      <c r="P249" s="150">
        <v>140480</v>
      </c>
      <c r="Q249" s="150">
        <v>148197.03999999998</v>
      </c>
      <c r="R249" s="150">
        <v>148197.01999999999</v>
      </c>
    </row>
    <row r="250" spans="1:18" x14ac:dyDescent="0.25">
      <c r="A250" t="str">
        <f t="shared" si="3"/>
        <v>25-3-93</v>
      </c>
      <c r="B250">
        <v>25</v>
      </c>
      <c r="C250" s="150" t="s">
        <v>1177</v>
      </c>
      <c r="D250" s="150">
        <v>3</v>
      </c>
      <c r="E250" s="150" t="s">
        <v>147</v>
      </c>
      <c r="F250" s="150">
        <v>93</v>
      </c>
      <c r="G250" s="150" t="s">
        <v>551</v>
      </c>
      <c r="H250" s="150">
        <v>7418</v>
      </c>
      <c r="I250" s="150">
        <v>6998</v>
      </c>
      <c r="J250" s="150">
        <v>1</v>
      </c>
      <c r="K250" s="150">
        <v>1</v>
      </c>
      <c r="L250" s="150">
        <v>6377</v>
      </c>
      <c r="M250" s="150">
        <v>899.31</v>
      </c>
      <c r="N250" s="150">
        <v>0</v>
      </c>
      <c r="O250" s="150">
        <v>247552</v>
      </c>
      <c r="P250" s="150">
        <v>252478</v>
      </c>
      <c r="Q250" s="150">
        <v>260341.31</v>
      </c>
      <c r="R250" s="150">
        <v>260341.31</v>
      </c>
    </row>
    <row r="251" spans="1:18" x14ac:dyDescent="0.25">
      <c r="A251" t="str">
        <f t="shared" si="3"/>
        <v>31-3-93</v>
      </c>
      <c r="B251">
        <v>31</v>
      </c>
      <c r="C251" s="150" t="s">
        <v>1183</v>
      </c>
      <c r="D251" s="150">
        <v>3</v>
      </c>
      <c r="E251" s="150" t="s">
        <v>147</v>
      </c>
      <c r="F251" s="150">
        <v>93</v>
      </c>
      <c r="G251" s="150" t="s">
        <v>551</v>
      </c>
      <c r="H251" s="150">
        <v>7418</v>
      </c>
      <c r="I251" s="150">
        <v>905523</v>
      </c>
      <c r="J251" s="150">
        <v>1</v>
      </c>
      <c r="K251" s="150">
        <v>1</v>
      </c>
      <c r="L251" s="150">
        <v>6377</v>
      </c>
      <c r="M251" s="150">
        <v>899.31</v>
      </c>
      <c r="N251" s="150">
        <v>0</v>
      </c>
      <c r="O251" s="150">
        <v>247552</v>
      </c>
      <c r="P251" s="150">
        <v>252478</v>
      </c>
      <c r="Q251" s="150">
        <v>260341.31</v>
      </c>
      <c r="R251" s="150">
        <v>260341.31</v>
      </c>
    </row>
    <row r="252" spans="1:18" x14ac:dyDescent="0.25">
      <c r="A252" t="str">
        <f t="shared" si="3"/>
        <v>40-3-94</v>
      </c>
      <c r="B252">
        <v>40</v>
      </c>
      <c r="C252" s="150" t="s">
        <v>1190</v>
      </c>
      <c r="D252" s="150">
        <v>3</v>
      </c>
      <c r="E252" s="150" t="s">
        <v>147</v>
      </c>
      <c r="F252" s="150">
        <v>94</v>
      </c>
      <c r="G252" s="150" t="s">
        <v>625</v>
      </c>
      <c r="H252" s="150">
        <v>0</v>
      </c>
      <c r="I252" s="150">
        <v>6432103</v>
      </c>
      <c r="J252" s="150" t="s">
        <v>1203</v>
      </c>
      <c r="K252" s="150">
        <v>0</v>
      </c>
      <c r="L252" s="150">
        <v>26290</v>
      </c>
      <c r="M252" s="150">
        <v>2868.81</v>
      </c>
      <c r="N252" s="150">
        <v>0</v>
      </c>
      <c r="O252" s="150">
        <v>1350492</v>
      </c>
      <c r="P252" s="150">
        <v>1393261</v>
      </c>
      <c r="Q252" s="150">
        <v>1447918.81</v>
      </c>
      <c r="R252" s="150">
        <v>1447918.81</v>
      </c>
    </row>
    <row r="253" spans="1:18" x14ac:dyDescent="0.25">
      <c r="A253" t="str">
        <f t="shared" si="3"/>
        <v>29-3-95</v>
      </c>
      <c r="B253">
        <v>29</v>
      </c>
      <c r="C253" s="150" t="s">
        <v>1181</v>
      </c>
      <c r="D253" s="150">
        <v>3</v>
      </c>
      <c r="E253" s="150" t="s">
        <v>147</v>
      </c>
      <c r="F253" s="150">
        <v>95</v>
      </c>
      <c r="G253" s="150" t="s">
        <v>529</v>
      </c>
      <c r="H253" s="150">
        <v>0</v>
      </c>
      <c r="I253" s="150">
        <v>608137</v>
      </c>
      <c r="J253" s="150" t="s">
        <v>1203</v>
      </c>
      <c r="K253" s="150">
        <v>945</v>
      </c>
      <c r="L253" s="150">
        <v>3349</v>
      </c>
      <c r="M253" s="150">
        <v>705.21</v>
      </c>
      <c r="N253" s="150">
        <v>0</v>
      </c>
      <c r="O253" s="150">
        <v>119442</v>
      </c>
      <c r="P253" s="150">
        <v>123531</v>
      </c>
      <c r="Q253" s="150">
        <v>123719.29000000001</v>
      </c>
      <c r="R253" s="150">
        <v>123719</v>
      </c>
    </row>
    <row r="254" spans="1:18" x14ac:dyDescent="0.25">
      <c r="A254" t="str">
        <f t="shared" si="3"/>
        <v>7-3-96</v>
      </c>
      <c r="B254">
        <v>7</v>
      </c>
      <c r="C254" s="150" t="s">
        <v>1199</v>
      </c>
      <c r="D254" s="150">
        <v>3</v>
      </c>
      <c r="E254" s="150" t="s">
        <v>147</v>
      </c>
      <c r="F254" s="150">
        <v>96</v>
      </c>
      <c r="G254" s="150" t="s">
        <v>243</v>
      </c>
      <c r="H254" s="150">
        <v>0</v>
      </c>
      <c r="I254" s="150">
        <v>3949051</v>
      </c>
      <c r="J254" s="150" t="s">
        <v>1203</v>
      </c>
      <c r="K254" s="150">
        <v>43</v>
      </c>
      <c r="L254" s="150">
        <v>11373</v>
      </c>
      <c r="M254" s="150">
        <v>2234.6400000000003</v>
      </c>
      <c r="N254" s="150">
        <v>0</v>
      </c>
      <c r="O254" s="150">
        <v>4763914</v>
      </c>
      <c r="P254" s="150">
        <v>4929020</v>
      </c>
      <c r="Q254" s="150">
        <v>5090542.12</v>
      </c>
      <c r="R254" s="150">
        <v>5090541.6399999997</v>
      </c>
    </row>
    <row r="255" spans="1:18" x14ac:dyDescent="0.25">
      <c r="A255" t="str">
        <f t="shared" si="3"/>
        <v>42-3-97</v>
      </c>
      <c r="B255">
        <v>42</v>
      </c>
      <c r="C255" s="150" t="s">
        <v>1194</v>
      </c>
      <c r="D255" s="150">
        <v>3</v>
      </c>
      <c r="E255" s="150" t="s">
        <v>147</v>
      </c>
      <c r="F255" s="150">
        <v>97</v>
      </c>
      <c r="G255" s="150" t="s">
        <v>649</v>
      </c>
      <c r="H255" s="150">
        <v>0</v>
      </c>
      <c r="I255" s="150">
        <v>2316670</v>
      </c>
      <c r="J255" s="150" t="s">
        <v>1203</v>
      </c>
      <c r="K255" s="150">
        <v>6956</v>
      </c>
      <c r="L255" s="150">
        <v>12009</v>
      </c>
      <c r="M255" s="150">
        <v>3028.5099999999998</v>
      </c>
      <c r="N255" s="150">
        <v>0</v>
      </c>
      <c r="O255" s="150">
        <v>1399816</v>
      </c>
      <c r="P255" s="150">
        <v>1511801</v>
      </c>
      <c r="Q255" s="150">
        <v>1632744.51</v>
      </c>
      <c r="R255" s="150">
        <v>1632744.51</v>
      </c>
    </row>
    <row r="256" spans="1:18" x14ac:dyDescent="0.25">
      <c r="A256" t="str">
        <f t="shared" si="3"/>
        <v>25-3-98</v>
      </c>
      <c r="B256">
        <v>25</v>
      </c>
      <c r="C256" s="150" t="s">
        <v>1177</v>
      </c>
      <c r="D256" s="150">
        <v>3</v>
      </c>
      <c r="E256" s="150" t="s">
        <v>147</v>
      </c>
      <c r="F256" s="150">
        <v>98</v>
      </c>
      <c r="G256" s="150" t="s">
        <v>455</v>
      </c>
      <c r="H256" s="150">
        <v>0</v>
      </c>
      <c r="I256" s="150">
        <v>620270</v>
      </c>
      <c r="J256" s="150" t="s">
        <v>1203</v>
      </c>
      <c r="K256" s="150">
        <v>32</v>
      </c>
      <c r="L256" s="150">
        <v>2112</v>
      </c>
      <c r="M256" s="150">
        <v>13.29</v>
      </c>
      <c r="N256" s="150">
        <v>0</v>
      </c>
      <c r="O256" s="150">
        <v>113486</v>
      </c>
      <c r="P256" s="150">
        <v>117059</v>
      </c>
      <c r="Q256" s="150">
        <v>121152.29</v>
      </c>
      <c r="R256" s="150">
        <v>121152.29</v>
      </c>
    </row>
    <row r="257" spans="1:18" x14ac:dyDescent="0.25">
      <c r="A257" t="str">
        <f t="shared" si="3"/>
        <v>9-3-99</v>
      </c>
      <c r="B257">
        <v>9</v>
      </c>
      <c r="C257" s="150" t="s">
        <v>1161</v>
      </c>
      <c r="D257" s="150">
        <v>3</v>
      </c>
      <c r="E257" s="150" t="s">
        <v>147</v>
      </c>
      <c r="F257" s="150">
        <v>99</v>
      </c>
      <c r="G257" s="150" t="s">
        <v>268</v>
      </c>
      <c r="H257" s="150">
        <v>0</v>
      </c>
      <c r="I257" s="150">
        <v>3343816</v>
      </c>
      <c r="J257" s="150" t="s">
        <v>1203</v>
      </c>
      <c r="K257" s="150">
        <v>0</v>
      </c>
      <c r="L257" s="150">
        <v>1262</v>
      </c>
      <c r="M257" s="150">
        <v>302.60000000000002</v>
      </c>
      <c r="N257" s="150">
        <v>0</v>
      </c>
      <c r="O257" s="150">
        <v>67208</v>
      </c>
      <c r="P257" s="150">
        <v>69895</v>
      </c>
      <c r="Q257" s="150">
        <v>72147.600000000006</v>
      </c>
      <c r="R257" s="150">
        <v>72147.600000000006</v>
      </c>
    </row>
    <row r="258" spans="1:18" x14ac:dyDescent="0.25">
      <c r="A258" t="str">
        <f t="shared" si="3"/>
        <v>1-3-100</v>
      </c>
      <c r="B258">
        <v>1</v>
      </c>
      <c r="C258" s="150" t="s">
        <v>1155</v>
      </c>
      <c r="D258" s="150">
        <v>3</v>
      </c>
      <c r="E258" s="150" t="s">
        <v>147</v>
      </c>
      <c r="F258" s="150">
        <v>100</v>
      </c>
      <c r="G258" s="150" t="s">
        <v>698</v>
      </c>
      <c r="H258" s="150">
        <v>0</v>
      </c>
      <c r="I258" s="150">
        <v>27343162</v>
      </c>
      <c r="J258" s="150" t="s">
        <v>1203</v>
      </c>
      <c r="K258" s="150">
        <v>225</v>
      </c>
      <c r="L258" s="150">
        <v>11034</v>
      </c>
      <c r="M258" s="150">
        <v>2233.27</v>
      </c>
      <c r="N258" s="150">
        <v>12620</v>
      </c>
      <c r="O258" s="150">
        <v>3869794</v>
      </c>
      <c r="P258" s="150">
        <v>4181383</v>
      </c>
      <c r="Q258" s="150">
        <v>4479334.2699999996</v>
      </c>
      <c r="R258" s="150">
        <v>4479334.2699999996</v>
      </c>
    </row>
    <row r="259" spans="1:18" x14ac:dyDescent="0.25">
      <c r="A259" t="str">
        <f t="shared" si="3"/>
        <v>35-3-101</v>
      </c>
      <c r="B259">
        <v>35</v>
      </c>
      <c r="C259" s="150" t="s">
        <v>1195</v>
      </c>
      <c r="D259" s="150">
        <v>3</v>
      </c>
      <c r="E259" s="150" t="s">
        <v>147</v>
      </c>
      <c r="F259" s="150">
        <v>101</v>
      </c>
      <c r="G259" s="150" t="s">
        <v>586</v>
      </c>
      <c r="H259" s="150">
        <v>3105</v>
      </c>
      <c r="I259" s="150">
        <v>1118084</v>
      </c>
      <c r="J259" s="150" t="s">
        <v>1203</v>
      </c>
      <c r="K259" s="150">
        <v>168</v>
      </c>
      <c r="L259" s="150">
        <v>4919</v>
      </c>
      <c r="M259" s="150">
        <v>517.1</v>
      </c>
      <c r="N259" s="150">
        <v>0</v>
      </c>
      <c r="O259" s="150">
        <v>74451</v>
      </c>
      <c r="P259" s="150">
        <f>71152+168+4919</f>
        <v>76239</v>
      </c>
      <c r="Q259" s="150">
        <v>76756.100000000006</v>
      </c>
      <c r="R259" s="150">
        <v>76756</v>
      </c>
    </row>
    <row r="260" spans="1:18" x14ac:dyDescent="0.25">
      <c r="A260" t="str">
        <f t="shared" si="3"/>
        <v>3-3-102</v>
      </c>
      <c r="B260">
        <v>3</v>
      </c>
      <c r="C260" s="150" t="s">
        <v>1157</v>
      </c>
      <c r="D260" s="150">
        <v>3</v>
      </c>
      <c r="E260" s="150" t="s">
        <v>147</v>
      </c>
      <c r="F260" s="150">
        <v>102</v>
      </c>
      <c r="G260" s="150" t="s">
        <v>188</v>
      </c>
      <c r="H260" s="150">
        <v>71387</v>
      </c>
      <c r="I260" s="150">
        <v>6013184</v>
      </c>
      <c r="J260" s="150" t="s">
        <v>1203</v>
      </c>
      <c r="K260" s="150">
        <v>0</v>
      </c>
      <c r="L260" s="150">
        <v>1773</v>
      </c>
      <c r="M260" s="150">
        <v>207.04</v>
      </c>
      <c r="N260" s="150">
        <v>0</v>
      </c>
      <c r="O260" s="150">
        <v>165060</v>
      </c>
      <c r="P260" s="150">
        <v>171902</v>
      </c>
      <c r="Q260" s="150">
        <v>172109.04</v>
      </c>
      <c r="R260" s="150">
        <v>172109.04</v>
      </c>
    </row>
    <row r="261" spans="1:18" x14ac:dyDescent="0.25">
      <c r="A261" t="str">
        <f t="shared" si="3"/>
        <v>30-3-103</v>
      </c>
      <c r="B261">
        <v>30</v>
      </c>
      <c r="C261" s="150" t="s">
        <v>1182</v>
      </c>
      <c r="D261" s="150">
        <v>3</v>
      </c>
      <c r="E261" s="150" t="s">
        <v>147</v>
      </c>
      <c r="F261" s="150">
        <v>103</v>
      </c>
      <c r="G261" s="150" t="s">
        <v>544</v>
      </c>
      <c r="H261" s="150">
        <v>0</v>
      </c>
      <c r="I261" s="150">
        <v>60319</v>
      </c>
      <c r="J261" s="150" t="s">
        <v>1203</v>
      </c>
      <c r="K261" s="150">
        <v>0</v>
      </c>
      <c r="L261" s="150">
        <v>137</v>
      </c>
      <c r="M261" s="150">
        <v>2.1</v>
      </c>
      <c r="N261" s="150">
        <v>0</v>
      </c>
      <c r="O261" s="150">
        <v>15991</v>
      </c>
      <c r="P261" s="150">
        <v>16792</v>
      </c>
      <c r="Q261" s="150">
        <v>17474.099999999999</v>
      </c>
      <c r="R261" s="150">
        <v>17474.099999999999</v>
      </c>
    </row>
    <row r="262" spans="1:18" x14ac:dyDescent="0.25">
      <c r="A262" t="str">
        <f t="shared" ref="A262:A325" si="4">B262&amp;"-"&amp;D262&amp;"-"&amp;F262</f>
        <v>35-3-104</v>
      </c>
      <c r="B262">
        <v>35</v>
      </c>
      <c r="C262" s="150" t="s">
        <v>1195</v>
      </c>
      <c r="D262" s="150">
        <v>3</v>
      </c>
      <c r="E262" s="150" t="s">
        <v>147</v>
      </c>
      <c r="F262" s="150">
        <v>104</v>
      </c>
      <c r="G262" s="150" t="s">
        <v>587</v>
      </c>
      <c r="H262" s="150">
        <v>2992807</v>
      </c>
      <c r="I262" s="150">
        <v>45812865</v>
      </c>
      <c r="J262" s="150" t="s">
        <v>1203</v>
      </c>
      <c r="K262" s="150">
        <v>587</v>
      </c>
      <c r="L262" s="150">
        <v>290652</v>
      </c>
      <c r="M262" s="150">
        <v>87074.680000000008</v>
      </c>
      <c r="N262" s="150">
        <v>0</v>
      </c>
      <c r="O262" s="150">
        <v>23432493</v>
      </c>
      <c r="P262" s="150">
        <v>23599259</v>
      </c>
      <c r="Q262" s="150">
        <v>23687813.68</v>
      </c>
      <c r="R262" s="150">
        <v>23687813.68</v>
      </c>
    </row>
    <row r="263" spans="1:18" x14ac:dyDescent="0.25">
      <c r="A263" t="str">
        <f t="shared" si="4"/>
        <v>26-3-105</v>
      </c>
      <c r="B263">
        <v>26</v>
      </c>
      <c r="C263" s="150" t="s">
        <v>1178</v>
      </c>
      <c r="D263" s="150">
        <v>3</v>
      </c>
      <c r="E263" s="150" t="s">
        <v>147</v>
      </c>
      <c r="F263" s="150">
        <v>105</v>
      </c>
      <c r="G263" s="150" t="s">
        <v>481</v>
      </c>
      <c r="H263" s="150">
        <v>41</v>
      </c>
      <c r="I263" s="150">
        <v>515156</v>
      </c>
      <c r="J263" s="150" t="s">
        <v>1203</v>
      </c>
      <c r="K263" s="150">
        <v>15</v>
      </c>
      <c r="L263" s="150">
        <v>475</v>
      </c>
      <c r="M263" s="150">
        <v>321.81</v>
      </c>
      <c r="N263" s="150">
        <v>0</v>
      </c>
      <c r="O263" s="150">
        <v>61382</v>
      </c>
      <c r="P263" s="150">
        <v>66293</v>
      </c>
      <c r="Q263" s="150">
        <v>69690.81</v>
      </c>
      <c r="R263" s="150">
        <v>69690.81</v>
      </c>
    </row>
    <row r="264" spans="1:18" x14ac:dyDescent="0.25">
      <c r="A264" t="str">
        <f t="shared" si="4"/>
        <v>19-3-109</v>
      </c>
      <c r="B264">
        <v>19</v>
      </c>
      <c r="C264" s="150" t="s">
        <v>1171</v>
      </c>
      <c r="D264" s="150">
        <v>3</v>
      </c>
      <c r="E264" s="150" t="s">
        <v>147</v>
      </c>
      <c r="F264" s="150">
        <v>109</v>
      </c>
      <c r="G264" s="150" t="s">
        <v>389</v>
      </c>
      <c r="H264" s="150">
        <v>0</v>
      </c>
      <c r="I264" s="150">
        <v>425732</v>
      </c>
      <c r="J264" s="150" t="s">
        <v>1203</v>
      </c>
      <c r="K264" s="150">
        <v>105</v>
      </c>
      <c r="L264" s="150">
        <v>1892</v>
      </c>
      <c r="M264" s="150">
        <v>424.74</v>
      </c>
      <c r="N264" s="150">
        <v>0</v>
      </c>
      <c r="O264" s="150">
        <v>84271</v>
      </c>
      <c r="P264" s="150">
        <v>89510</v>
      </c>
      <c r="Q264" s="150">
        <v>93827.74</v>
      </c>
      <c r="R264" s="150">
        <v>93827.74</v>
      </c>
    </row>
    <row r="265" spans="1:18" x14ac:dyDescent="0.25">
      <c r="A265" t="str">
        <f t="shared" si="4"/>
        <v>36-3-110</v>
      </c>
      <c r="B265">
        <v>36</v>
      </c>
      <c r="C265" s="150" t="s">
        <v>1187</v>
      </c>
      <c r="D265" s="150">
        <v>3</v>
      </c>
      <c r="E265" s="150" t="s">
        <v>147</v>
      </c>
      <c r="F265" s="150">
        <v>110</v>
      </c>
      <c r="G265" s="150" t="s">
        <v>594</v>
      </c>
      <c r="H265" s="150">
        <v>0</v>
      </c>
      <c r="I265" s="150">
        <v>4575755</v>
      </c>
      <c r="J265" s="150" t="s">
        <v>1203</v>
      </c>
      <c r="K265" s="150">
        <v>840</v>
      </c>
      <c r="L265" s="150">
        <v>13611</v>
      </c>
      <c r="M265" s="150">
        <v>3473.69</v>
      </c>
      <c r="N265" s="150">
        <v>0</v>
      </c>
      <c r="O265" s="150">
        <v>791363</v>
      </c>
      <c r="P265" s="150">
        <v>818301</v>
      </c>
      <c r="Q265" s="150">
        <v>869236.69</v>
      </c>
      <c r="R265" s="150">
        <v>869236.69</v>
      </c>
    </row>
    <row r="266" spans="1:18" x14ac:dyDescent="0.25">
      <c r="A266" t="str">
        <f t="shared" si="4"/>
        <v>16-3-111</v>
      </c>
      <c r="B266">
        <v>16</v>
      </c>
      <c r="C266" s="150" t="s">
        <v>1168</v>
      </c>
      <c r="D266" s="150">
        <v>3</v>
      </c>
      <c r="E266" s="150" t="s">
        <v>147</v>
      </c>
      <c r="F266" s="150">
        <v>111</v>
      </c>
      <c r="G266" s="150" t="s">
        <v>357</v>
      </c>
      <c r="H266" s="150">
        <v>2340</v>
      </c>
      <c r="I266" s="150">
        <v>195460</v>
      </c>
      <c r="J266" s="150" t="s">
        <v>1203</v>
      </c>
      <c r="K266" s="150">
        <v>28</v>
      </c>
      <c r="L266" s="150">
        <v>310</v>
      </c>
      <c r="M266" s="150">
        <v>2.9</v>
      </c>
      <c r="N266" s="150">
        <v>0</v>
      </c>
      <c r="O266" s="150">
        <v>4608</v>
      </c>
      <c r="P266" s="150">
        <v>4793</v>
      </c>
      <c r="Q266" s="150">
        <v>4983.8999999999996</v>
      </c>
      <c r="R266" s="150">
        <v>4983.8999999999996</v>
      </c>
    </row>
    <row r="267" spans="1:18" x14ac:dyDescent="0.25">
      <c r="A267" t="str">
        <f t="shared" si="4"/>
        <v>37-3-112</v>
      </c>
      <c r="B267">
        <v>37</v>
      </c>
      <c r="C267" s="150" t="s">
        <v>1188</v>
      </c>
      <c r="D267" s="150">
        <v>3</v>
      </c>
      <c r="E267" s="150" t="s">
        <v>147</v>
      </c>
      <c r="F267" s="150">
        <v>112</v>
      </c>
      <c r="G267" s="150" t="s">
        <v>603</v>
      </c>
      <c r="H267" s="150">
        <v>0</v>
      </c>
      <c r="I267" s="150">
        <v>1170261</v>
      </c>
      <c r="J267" s="150" t="s">
        <v>1203</v>
      </c>
      <c r="K267" s="150">
        <v>0</v>
      </c>
      <c r="L267" s="150">
        <v>4722</v>
      </c>
      <c r="M267" s="150">
        <v>670.25</v>
      </c>
      <c r="N267" s="150">
        <v>0</v>
      </c>
      <c r="O267" s="150">
        <v>205900</v>
      </c>
      <c r="P267" s="150">
        <v>212612</v>
      </c>
      <c r="Q267" s="150">
        <v>220167.25</v>
      </c>
      <c r="R267" s="150">
        <v>220167.25</v>
      </c>
    </row>
    <row r="268" spans="1:18" x14ac:dyDescent="0.25">
      <c r="A268" t="str">
        <f t="shared" si="4"/>
        <v>43-3-107</v>
      </c>
      <c r="B268">
        <v>43</v>
      </c>
      <c r="C268" s="150" t="s">
        <v>1192</v>
      </c>
      <c r="D268" s="150">
        <v>3</v>
      </c>
      <c r="E268" s="150" t="s">
        <v>147</v>
      </c>
      <c r="F268" s="150">
        <v>107</v>
      </c>
      <c r="G268" s="150" t="s">
        <v>660</v>
      </c>
      <c r="H268" s="150">
        <v>433484</v>
      </c>
      <c r="I268" s="150">
        <v>9501298</v>
      </c>
      <c r="J268" s="150" t="s">
        <v>1203</v>
      </c>
      <c r="K268" s="150">
        <v>268</v>
      </c>
      <c r="L268" s="150">
        <v>29423</v>
      </c>
      <c r="M268" s="150">
        <v>5510.79</v>
      </c>
      <c r="N268" s="150">
        <v>0</v>
      </c>
      <c r="O268" s="150">
        <v>6926140</v>
      </c>
      <c r="P268" s="150">
        <v>7251036</v>
      </c>
      <c r="Q268" s="150">
        <v>7679027.79</v>
      </c>
      <c r="R268" s="150">
        <v>7679027.79</v>
      </c>
    </row>
    <row r="269" spans="1:18" x14ac:dyDescent="0.25">
      <c r="A269" t="str">
        <f t="shared" si="4"/>
        <v>3-3-108</v>
      </c>
      <c r="B269">
        <v>3</v>
      </c>
      <c r="C269" s="150" t="s">
        <v>1157</v>
      </c>
      <c r="D269" s="150">
        <v>3</v>
      </c>
      <c r="E269" s="150" t="s">
        <v>147</v>
      </c>
      <c r="F269" s="150">
        <v>108</v>
      </c>
      <c r="G269" s="150" t="s">
        <v>189</v>
      </c>
      <c r="H269" s="150">
        <v>81498</v>
      </c>
      <c r="I269" s="150">
        <v>16986367</v>
      </c>
      <c r="J269" s="150" t="s">
        <v>1203</v>
      </c>
      <c r="K269" s="150">
        <v>0</v>
      </c>
      <c r="L269" s="150">
        <v>2698</v>
      </c>
      <c r="M269" s="150">
        <v>1615.99</v>
      </c>
      <c r="N269" s="150">
        <v>0</v>
      </c>
      <c r="O269" s="150">
        <v>254043</v>
      </c>
      <c r="P269" s="150">
        <v>261493</v>
      </c>
      <c r="Q269" s="150">
        <v>268041.99</v>
      </c>
      <c r="R269" s="150">
        <v>268041.99</v>
      </c>
    </row>
    <row r="270" spans="1:18" x14ac:dyDescent="0.25">
      <c r="A270" t="str">
        <f t="shared" si="4"/>
        <v>14-3-113</v>
      </c>
      <c r="B270">
        <v>14</v>
      </c>
      <c r="C270" s="150" t="s">
        <v>1166</v>
      </c>
      <c r="D270" s="150">
        <v>3</v>
      </c>
      <c r="E270" s="150" t="s">
        <v>147</v>
      </c>
      <c r="F270" s="150">
        <v>113</v>
      </c>
      <c r="G270" s="150" t="s">
        <v>308</v>
      </c>
      <c r="H270" s="150">
        <v>325</v>
      </c>
      <c r="I270" s="150">
        <v>242389</v>
      </c>
      <c r="J270" s="150" t="s">
        <v>1203</v>
      </c>
      <c r="K270" s="150">
        <v>330</v>
      </c>
      <c r="L270" s="150">
        <v>2310</v>
      </c>
      <c r="M270" s="150">
        <v>194.71</v>
      </c>
      <c r="N270" s="150">
        <v>0</v>
      </c>
      <c r="O270" s="150">
        <v>108712</v>
      </c>
      <c r="P270" s="150">
        <v>111973</v>
      </c>
      <c r="Q270" s="150">
        <v>118859.71</v>
      </c>
      <c r="R270" s="150">
        <v>118859.71</v>
      </c>
    </row>
    <row r="271" spans="1:18" x14ac:dyDescent="0.25">
      <c r="A271" t="str">
        <f t="shared" si="4"/>
        <v>26-3-114</v>
      </c>
      <c r="B271">
        <v>26</v>
      </c>
      <c r="C271" s="150" t="s">
        <v>1178</v>
      </c>
      <c r="D271" s="150">
        <v>3</v>
      </c>
      <c r="E271" s="150" t="s">
        <v>147</v>
      </c>
      <c r="F271" s="150">
        <v>114</v>
      </c>
      <c r="G271" s="150" t="s">
        <v>482</v>
      </c>
      <c r="H271" s="150">
        <v>167</v>
      </c>
      <c r="I271" s="150">
        <v>571174</v>
      </c>
      <c r="J271" s="150" t="s">
        <v>1203</v>
      </c>
      <c r="K271" s="150">
        <v>0</v>
      </c>
      <c r="L271" s="150">
        <v>919</v>
      </c>
      <c r="M271" s="150">
        <v>36.909999999999997</v>
      </c>
      <c r="N271" s="150">
        <v>0</v>
      </c>
      <c r="O271" s="150">
        <v>146129</v>
      </c>
      <c r="P271" s="150">
        <v>153429</v>
      </c>
      <c r="Q271" s="150">
        <v>160486.91</v>
      </c>
      <c r="R271" s="150">
        <v>160486.91</v>
      </c>
    </row>
    <row r="272" spans="1:18" x14ac:dyDescent="0.25">
      <c r="A272" t="str">
        <f t="shared" si="4"/>
        <v>1-3-115</v>
      </c>
      <c r="B272">
        <v>1</v>
      </c>
      <c r="C272" s="150" t="s">
        <v>1155</v>
      </c>
      <c r="D272" s="150">
        <v>3</v>
      </c>
      <c r="E272" s="150" t="s">
        <v>147</v>
      </c>
      <c r="F272" s="150">
        <v>115</v>
      </c>
      <c r="G272" s="150" t="s">
        <v>699</v>
      </c>
      <c r="H272" s="150">
        <v>4711141</v>
      </c>
      <c r="I272" s="150">
        <v>103648024</v>
      </c>
      <c r="J272" s="150" t="s">
        <v>1203</v>
      </c>
      <c r="K272" s="150">
        <v>58</v>
      </c>
      <c r="L272" s="150">
        <v>183264</v>
      </c>
      <c r="M272" s="150">
        <v>48361.11</v>
      </c>
      <c r="N272" s="150">
        <v>0</v>
      </c>
      <c r="O272" s="150">
        <v>42424938</v>
      </c>
      <c r="P272" s="150">
        <v>45556044</v>
      </c>
      <c r="Q272" s="150">
        <v>47639055.109999999</v>
      </c>
      <c r="R272" s="150">
        <v>47639055.109999999</v>
      </c>
    </row>
    <row r="273" spans="1:18" x14ac:dyDescent="0.25">
      <c r="A273" t="str">
        <f t="shared" si="4"/>
        <v>14-3-116</v>
      </c>
      <c r="B273">
        <v>14</v>
      </c>
      <c r="C273" s="150" t="s">
        <v>1166</v>
      </c>
      <c r="D273" s="150">
        <v>3</v>
      </c>
      <c r="E273" s="150" t="s">
        <v>147</v>
      </c>
      <c r="F273" s="150">
        <v>116</v>
      </c>
      <c r="G273" s="150" t="s">
        <v>309</v>
      </c>
      <c r="H273" s="150">
        <v>82</v>
      </c>
      <c r="I273" s="150">
        <v>6697318</v>
      </c>
      <c r="J273" s="150" t="s">
        <v>1203</v>
      </c>
      <c r="K273" s="150">
        <v>71</v>
      </c>
      <c r="L273" s="150">
        <v>12004</v>
      </c>
      <c r="M273" s="150">
        <v>1806.01</v>
      </c>
      <c r="N273" s="150">
        <v>0</v>
      </c>
      <c r="O273" s="150">
        <v>2696473</v>
      </c>
      <c r="P273" s="150">
        <v>2912191</v>
      </c>
      <c r="Q273" s="150">
        <v>3145166.01</v>
      </c>
      <c r="R273" s="150">
        <v>3145166.01</v>
      </c>
    </row>
    <row r="274" spans="1:18" x14ac:dyDescent="0.25">
      <c r="A274" t="str">
        <f t="shared" si="4"/>
        <v>44-3-117</v>
      </c>
      <c r="B274">
        <v>44</v>
      </c>
      <c r="C274" s="150" t="s">
        <v>1193</v>
      </c>
      <c r="D274" s="150">
        <v>3</v>
      </c>
      <c r="E274" s="150" t="s">
        <v>147</v>
      </c>
      <c r="F274" s="150">
        <v>117</v>
      </c>
      <c r="G274" s="150" t="s">
        <v>670</v>
      </c>
      <c r="H274" s="150">
        <v>0</v>
      </c>
      <c r="I274" s="150">
        <v>2530562</v>
      </c>
      <c r="J274" s="150" t="s">
        <v>1203</v>
      </c>
      <c r="K274" s="150">
        <v>152</v>
      </c>
      <c r="L274" s="150">
        <v>498</v>
      </c>
      <c r="M274" s="150">
        <v>49.44</v>
      </c>
      <c r="N274" s="150">
        <v>0</v>
      </c>
      <c r="O274" s="150">
        <v>25613</v>
      </c>
      <c r="P274" s="150">
        <v>26951</v>
      </c>
      <c r="Q274" s="150">
        <v>28351.439999999999</v>
      </c>
      <c r="R274" s="150">
        <v>28351.439999999999</v>
      </c>
    </row>
    <row r="275" spans="1:18" x14ac:dyDescent="0.25">
      <c r="A275" t="str">
        <f t="shared" si="4"/>
        <v>34-3-118</v>
      </c>
      <c r="B275">
        <v>34</v>
      </c>
      <c r="C275" s="150" t="s">
        <v>1186</v>
      </c>
      <c r="D275" s="150">
        <v>3</v>
      </c>
      <c r="E275" s="150" t="s">
        <v>147</v>
      </c>
      <c r="F275" s="150">
        <v>118</v>
      </c>
      <c r="G275" s="150" t="s">
        <v>581</v>
      </c>
      <c r="H275" s="150">
        <v>0</v>
      </c>
      <c r="I275" s="150">
        <v>1662818</v>
      </c>
      <c r="J275" s="150" t="s">
        <v>1203</v>
      </c>
      <c r="K275" s="150">
        <v>0</v>
      </c>
      <c r="L275" s="150">
        <v>634</v>
      </c>
      <c r="M275" s="150">
        <v>155.72999999999999</v>
      </c>
      <c r="N275" s="150">
        <v>0</v>
      </c>
      <c r="O275" s="150">
        <v>21284</v>
      </c>
      <c r="P275" s="150">
        <v>21923</v>
      </c>
      <c r="Q275" s="150">
        <v>22078.73</v>
      </c>
      <c r="R275" s="150">
        <v>22078.73</v>
      </c>
    </row>
    <row r="276" spans="1:18" x14ac:dyDescent="0.25">
      <c r="A276" t="str">
        <f t="shared" si="4"/>
        <v>4-3-119</v>
      </c>
      <c r="B276">
        <v>4</v>
      </c>
      <c r="C276" s="150" t="s">
        <v>1196</v>
      </c>
      <c r="D276" s="150">
        <v>3</v>
      </c>
      <c r="E276" s="150" t="s">
        <v>147</v>
      </c>
      <c r="F276" s="150">
        <v>119</v>
      </c>
      <c r="G276" s="150" t="s">
        <v>201</v>
      </c>
      <c r="H276" s="150">
        <v>0</v>
      </c>
      <c r="I276" s="150">
        <v>5679507</v>
      </c>
      <c r="J276" s="150" t="s">
        <v>1203</v>
      </c>
      <c r="K276" s="150">
        <v>465</v>
      </c>
      <c r="L276" s="150">
        <v>14270</v>
      </c>
      <c r="M276" s="150">
        <v>2699.58</v>
      </c>
      <c r="N276" s="150">
        <v>0</v>
      </c>
      <c r="O276" s="150">
        <v>784458</v>
      </c>
      <c r="P276" s="150">
        <v>811521</v>
      </c>
      <c r="Q276" s="150">
        <v>842303.58</v>
      </c>
      <c r="R276" s="150">
        <v>842303.58</v>
      </c>
    </row>
    <row r="277" spans="1:18" x14ac:dyDescent="0.25">
      <c r="A277" t="str">
        <f t="shared" si="4"/>
        <v>12-3-120</v>
      </c>
      <c r="B277">
        <v>12</v>
      </c>
      <c r="C277" s="150" t="s">
        <v>1164</v>
      </c>
      <c r="D277" s="150">
        <v>3</v>
      </c>
      <c r="E277" s="150" t="s">
        <v>147</v>
      </c>
      <c r="F277" s="150">
        <v>120</v>
      </c>
      <c r="G277" s="150" t="s">
        <v>299</v>
      </c>
      <c r="H277" s="150">
        <v>0</v>
      </c>
      <c r="I277" s="150">
        <v>23022</v>
      </c>
      <c r="J277" s="150" t="s">
        <v>1203</v>
      </c>
      <c r="K277" s="150">
        <v>0</v>
      </c>
      <c r="L277" s="150">
        <v>284</v>
      </c>
      <c r="M277" s="150">
        <v>0.27</v>
      </c>
      <c r="N277" s="150">
        <v>0</v>
      </c>
      <c r="O277" s="150">
        <v>7660</v>
      </c>
      <c r="P277" s="150">
        <v>8146</v>
      </c>
      <c r="Q277" s="150">
        <v>8524.27</v>
      </c>
      <c r="R277" s="150">
        <v>8524.27</v>
      </c>
    </row>
    <row r="278" spans="1:18" x14ac:dyDescent="0.25">
      <c r="A278" t="str">
        <f t="shared" si="4"/>
        <v>29-3-121</v>
      </c>
      <c r="B278">
        <v>29</v>
      </c>
      <c r="C278" s="150" t="s">
        <v>1181</v>
      </c>
      <c r="D278" s="150">
        <v>3</v>
      </c>
      <c r="E278" s="150" t="s">
        <v>147</v>
      </c>
      <c r="F278" s="150">
        <v>121</v>
      </c>
      <c r="G278" s="150" t="s">
        <v>530</v>
      </c>
      <c r="H278" s="150">
        <v>171563</v>
      </c>
      <c r="I278" s="150">
        <v>12697104</v>
      </c>
      <c r="J278" s="150" t="s">
        <v>1203</v>
      </c>
      <c r="K278" s="150">
        <v>376</v>
      </c>
      <c r="L278" s="150">
        <v>89765</v>
      </c>
      <c r="M278" s="150">
        <v>22024.019999999997</v>
      </c>
      <c r="N278" s="150">
        <v>0</v>
      </c>
      <c r="O278" s="150">
        <v>6583035</v>
      </c>
      <c r="P278" s="150">
        <v>6904329</v>
      </c>
      <c r="Q278" s="150">
        <v>7282269.8899999997</v>
      </c>
      <c r="R278" s="150">
        <v>7282270.0199999996</v>
      </c>
    </row>
    <row r="279" spans="1:18" x14ac:dyDescent="0.25">
      <c r="A279" t="str">
        <f t="shared" si="4"/>
        <v>20-3-122</v>
      </c>
      <c r="B279">
        <v>20</v>
      </c>
      <c r="C279" s="150" t="s">
        <v>1172</v>
      </c>
      <c r="D279" s="150">
        <v>3</v>
      </c>
      <c r="E279" s="150" t="s">
        <v>147</v>
      </c>
      <c r="F279" s="150">
        <v>122</v>
      </c>
      <c r="G279" s="150" t="s">
        <v>397</v>
      </c>
      <c r="H279" s="150">
        <v>0</v>
      </c>
      <c r="I279" s="150">
        <v>34709317</v>
      </c>
      <c r="J279" s="150" t="s">
        <v>1203</v>
      </c>
      <c r="K279" s="150">
        <v>1101</v>
      </c>
      <c r="L279" s="150">
        <v>91159</v>
      </c>
      <c r="M279" s="150">
        <v>12963.98</v>
      </c>
      <c r="N279" s="150">
        <v>0</v>
      </c>
      <c r="O279" s="150">
        <v>7213721</v>
      </c>
      <c r="P279" s="150">
        <v>7549893</v>
      </c>
      <c r="Q279" s="150">
        <v>7863367.9800000004</v>
      </c>
      <c r="R279" s="150">
        <v>7863367.9800000004</v>
      </c>
    </row>
    <row r="280" spans="1:18" x14ac:dyDescent="0.25">
      <c r="A280" t="str">
        <f t="shared" si="4"/>
        <v>11-3-123</v>
      </c>
      <c r="B280">
        <v>11</v>
      </c>
      <c r="C280" s="150" t="s">
        <v>1163</v>
      </c>
      <c r="D280" s="150">
        <v>3</v>
      </c>
      <c r="E280" s="150" t="s">
        <v>147</v>
      </c>
      <c r="F280" s="150">
        <v>123</v>
      </c>
      <c r="G280" s="150" t="s">
        <v>839</v>
      </c>
      <c r="H280" s="150">
        <v>397</v>
      </c>
      <c r="I280" s="150">
        <v>2876316</v>
      </c>
      <c r="J280" s="150" t="s">
        <v>1203</v>
      </c>
      <c r="K280" s="150">
        <v>87</v>
      </c>
      <c r="L280" s="150">
        <v>671</v>
      </c>
      <c r="M280" s="150">
        <v>194.22</v>
      </c>
      <c r="N280" s="150">
        <v>0</v>
      </c>
      <c r="O280" s="150">
        <v>80460</v>
      </c>
      <c r="P280" s="150">
        <v>86897</v>
      </c>
      <c r="Q280" s="150">
        <v>91712.22</v>
      </c>
      <c r="R280" s="150">
        <v>91712.22</v>
      </c>
    </row>
    <row r="281" spans="1:18" x14ac:dyDescent="0.25">
      <c r="A281" t="str">
        <f t="shared" si="4"/>
        <v>26-3-124</v>
      </c>
      <c r="B281">
        <v>26</v>
      </c>
      <c r="C281" s="150" t="s">
        <v>1178</v>
      </c>
      <c r="D281" s="150">
        <v>3</v>
      </c>
      <c r="E281" s="150" t="s">
        <v>147</v>
      </c>
      <c r="F281" s="150">
        <v>124</v>
      </c>
      <c r="G281" s="150" t="s">
        <v>483</v>
      </c>
      <c r="H281" s="150">
        <v>0</v>
      </c>
      <c r="I281" s="150">
        <v>273839</v>
      </c>
      <c r="J281" s="150" t="s">
        <v>1203</v>
      </c>
      <c r="K281" s="150">
        <v>19</v>
      </c>
      <c r="L281" s="150">
        <v>721</v>
      </c>
      <c r="M281" s="150">
        <v>155.76000000000002</v>
      </c>
      <c r="N281" s="150">
        <v>0</v>
      </c>
      <c r="O281" s="150">
        <v>47350</v>
      </c>
      <c r="P281" s="150">
        <v>49237</v>
      </c>
      <c r="Q281" s="150">
        <v>50939.76</v>
      </c>
      <c r="R281" s="150">
        <v>50939.76</v>
      </c>
    </row>
    <row r="282" spans="1:18" x14ac:dyDescent="0.25">
      <c r="A282" t="str">
        <f t="shared" si="4"/>
        <v>40-3-125</v>
      </c>
      <c r="B282">
        <v>40</v>
      </c>
      <c r="C282" s="150" t="s">
        <v>1190</v>
      </c>
      <c r="D282" s="150">
        <v>3</v>
      </c>
      <c r="E282" s="150" t="s">
        <v>147</v>
      </c>
      <c r="F282" s="150">
        <v>125</v>
      </c>
      <c r="G282" s="150" t="s">
        <v>626</v>
      </c>
      <c r="H282" s="150">
        <v>46</v>
      </c>
      <c r="I282" s="150">
        <v>1037889</v>
      </c>
      <c r="J282" s="150" t="s">
        <v>1203</v>
      </c>
      <c r="K282" s="150">
        <v>0</v>
      </c>
      <c r="L282" s="150">
        <v>1929</v>
      </c>
      <c r="M282" s="150">
        <v>47.62</v>
      </c>
      <c r="N282" s="150">
        <v>0</v>
      </c>
      <c r="O282" s="150">
        <v>180723</v>
      </c>
      <c r="P282" s="150">
        <v>186218</v>
      </c>
      <c r="Q282" s="150">
        <v>191904.62</v>
      </c>
      <c r="R282" s="150">
        <v>191904.62</v>
      </c>
    </row>
    <row r="283" spans="1:18" x14ac:dyDescent="0.25">
      <c r="A283" t="str">
        <f t="shared" si="4"/>
        <v>42-3-126</v>
      </c>
      <c r="B283">
        <v>42</v>
      </c>
      <c r="C283" s="150" t="s">
        <v>1194</v>
      </c>
      <c r="D283" s="150">
        <v>3</v>
      </c>
      <c r="E283" s="150" t="s">
        <v>147</v>
      </c>
      <c r="F283" s="150">
        <v>126</v>
      </c>
      <c r="G283" s="150" t="s">
        <v>650</v>
      </c>
      <c r="H283" s="150">
        <v>4384</v>
      </c>
      <c r="I283" s="150">
        <v>255114</v>
      </c>
      <c r="J283" s="150" t="s">
        <v>1203</v>
      </c>
      <c r="K283" s="150">
        <v>0</v>
      </c>
      <c r="L283" s="150">
        <v>1651</v>
      </c>
      <c r="M283" s="150">
        <v>899.6</v>
      </c>
      <c r="N283" s="150">
        <v>0</v>
      </c>
      <c r="O283" s="150">
        <v>59063</v>
      </c>
      <c r="P283" s="150">
        <v>63271</v>
      </c>
      <c r="Q283" s="150">
        <v>66293.600000000006</v>
      </c>
      <c r="R283" s="150">
        <v>66293.600000000006</v>
      </c>
    </row>
    <row r="284" spans="1:18" x14ac:dyDescent="0.25">
      <c r="A284" t="str">
        <f t="shared" si="4"/>
        <v>14-3-127</v>
      </c>
      <c r="B284">
        <v>14</v>
      </c>
      <c r="C284" s="150" t="s">
        <v>1166</v>
      </c>
      <c r="D284" s="150">
        <v>3</v>
      </c>
      <c r="E284" s="150" t="s">
        <v>147</v>
      </c>
      <c r="F284" s="150">
        <v>127</v>
      </c>
      <c r="G284" s="150" t="s">
        <v>310</v>
      </c>
      <c r="H284" s="150">
        <v>4399561</v>
      </c>
      <c r="I284" s="150">
        <v>83361264</v>
      </c>
      <c r="J284" s="150" t="s">
        <v>1203</v>
      </c>
      <c r="K284" s="150">
        <v>7579</v>
      </c>
      <c r="L284" s="150">
        <v>523275</v>
      </c>
      <c r="M284" s="150">
        <v>80386.14</v>
      </c>
      <c r="N284" s="150">
        <v>0</v>
      </c>
      <c r="O284" s="150">
        <v>36425217</v>
      </c>
      <c r="P284" s="150">
        <v>38660548</v>
      </c>
      <c r="Q284" s="150">
        <v>41061657.140000001</v>
      </c>
      <c r="R284" s="150">
        <v>41061657.140000001</v>
      </c>
    </row>
    <row r="285" spans="1:18" x14ac:dyDescent="0.25">
      <c r="A285" t="str">
        <f t="shared" si="4"/>
        <v>2-3-129</v>
      </c>
      <c r="B285">
        <v>2</v>
      </c>
      <c r="C285" s="150" t="s">
        <v>1156</v>
      </c>
      <c r="D285" s="150">
        <v>3</v>
      </c>
      <c r="E285" s="150" t="s">
        <v>147</v>
      </c>
      <c r="F285" s="150">
        <v>129</v>
      </c>
      <c r="G285" s="150" t="s">
        <v>719</v>
      </c>
      <c r="H285" s="150">
        <v>0</v>
      </c>
      <c r="I285" s="150">
        <v>567236</v>
      </c>
      <c r="J285" s="150" t="s">
        <v>1203</v>
      </c>
      <c r="K285" s="150">
        <v>17</v>
      </c>
      <c r="L285" s="150">
        <v>7372</v>
      </c>
      <c r="M285" s="150">
        <v>933.51</v>
      </c>
      <c r="N285" s="150">
        <v>0</v>
      </c>
      <c r="O285" s="150">
        <v>166158</v>
      </c>
      <c r="P285" s="150">
        <v>171143</v>
      </c>
      <c r="Q285" s="150">
        <v>179176.51</v>
      </c>
      <c r="R285" s="150">
        <v>179176.51</v>
      </c>
    </row>
    <row r="286" spans="1:18" x14ac:dyDescent="0.25">
      <c r="A286" t="str">
        <f t="shared" si="4"/>
        <v>38-3-130</v>
      </c>
      <c r="B286">
        <v>38</v>
      </c>
      <c r="C286" s="150" t="s">
        <v>1189</v>
      </c>
      <c r="D286" s="150">
        <v>3</v>
      </c>
      <c r="E286" s="150" t="s">
        <v>147</v>
      </c>
      <c r="F286" s="150">
        <v>130</v>
      </c>
      <c r="G286" s="150" t="s">
        <v>612</v>
      </c>
      <c r="H286" s="150">
        <v>98053</v>
      </c>
      <c r="I286" s="150">
        <v>1305817</v>
      </c>
      <c r="J286" s="150" t="s">
        <v>1203</v>
      </c>
      <c r="K286" s="150">
        <v>136</v>
      </c>
      <c r="L286" s="150">
        <v>12454</v>
      </c>
      <c r="M286" s="150">
        <v>1967.72</v>
      </c>
      <c r="N286" s="150">
        <v>0</v>
      </c>
      <c r="O286" s="150">
        <v>509660</v>
      </c>
      <c r="P286" s="150">
        <v>532371</v>
      </c>
      <c r="Q286" s="150">
        <v>549890.72</v>
      </c>
      <c r="R286" s="150">
        <v>549890.72</v>
      </c>
    </row>
    <row r="287" spans="1:18" x14ac:dyDescent="0.25">
      <c r="A287" t="str">
        <f t="shared" si="4"/>
        <v>22-3-128</v>
      </c>
      <c r="B287">
        <v>22</v>
      </c>
      <c r="C287" s="150" t="s">
        <v>1174</v>
      </c>
      <c r="D287" s="150">
        <v>3</v>
      </c>
      <c r="E287" s="150" t="s">
        <v>147</v>
      </c>
      <c r="F287" s="150">
        <v>128</v>
      </c>
      <c r="G287" s="150" t="s">
        <v>424</v>
      </c>
      <c r="H287" s="150">
        <v>702</v>
      </c>
      <c r="I287" s="150">
        <v>92980</v>
      </c>
      <c r="J287" s="150" t="s">
        <v>1203</v>
      </c>
      <c r="K287" s="150">
        <v>53</v>
      </c>
      <c r="L287" s="150">
        <v>791</v>
      </c>
      <c r="M287" s="150">
        <v>450.07</v>
      </c>
      <c r="N287" s="150">
        <v>0</v>
      </c>
      <c r="O287" s="150">
        <v>55950</v>
      </c>
      <c r="P287" s="150">
        <v>57789</v>
      </c>
      <c r="Q287" s="150">
        <v>59523.07</v>
      </c>
      <c r="R287" s="150">
        <v>59523.07</v>
      </c>
    </row>
    <row r="288" spans="1:18" x14ac:dyDescent="0.25">
      <c r="A288" t="str">
        <f t="shared" si="4"/>
        <v>31-3-131</v>
      </c>
      <c r="B288">
        <v>31</v>
      </c>
      <c r="C288" s="150" t="s">
        <v>1183</v>
      </c>
      <c r="D288" s="150">
        <v>3</v>
      </c>
      <c r="E288" s="150" t="s">
        <v>147</v>
      </c>
      <c r="F288" s="150">
        <v>131</v>
      </c>
      <c r="G288" s="150" t="s">
        <v>1044</v>
      </c>
      <c r="H288" s="150">
        <v>0</v>
      </c>
      <c r="I288" s="150">
        <v>406326</v>
      </c>
      <c r="J288" s="150" t="s">
        <v>1203</v>
      </c>
      <c r="K288" s="150">
        <v>4658</v>
      </c>
      <c r="L288" s="150">
        <v>7859</v>
      </c>
      <c r="M288" s="150">
        <v>2423.1600000000003</v>
      </c>
      <c r="N288" s="150">
        <v>0</v>
      </c>
      <c r="O288" s="150">
        <v>173800</v>
      </c>
      <c r="P288" s="150">
        <v>183281</v>
      </c>
      <c r="Q288" s="150">
        <v>188779.16</v>
      </c>
      <c r="R288" s="150">
        <v>188779.16</v>
      </c>
    </row>
    <row r="289" spans="1:18" x14ac:dyDescent="0.25">
      <c r="A289" t="str">
        <f t="shared" si="4"/>
        <v>14-3-132</v>
      </c>
      <c r="B289">
        <v>14</v>
      </c>
      <c r="C289" s="150" t="s">
        <v>1166</v>
      </c>
      <c r="D289" s="150">
        <v>3</v>
      </c>
      <c r="E289" s="150" t="s">
        <v>147</v>
      </c>
      <c r="F289" s="150">
        <v>132</v>
      </c>
      <c r="G289" s="150" t="s">
        <v>311</v>
      </c>
      <c r="H289" s="150">
        <v>911</v>
      </c>
      <c r="I289" s="150">
        <v>2267178</v>
      </c>
      <c r="J289" s="150" t="s">
        <v>1203</v>
      </c>
      <c r="K289" s="150">
        <v>596</v>
      </c>
      <c r="L289" s="150">
        <v>2318</v>
      </c>
      <c r="M289" s="150">
        <v>451.46000000000004</v>
      </c>
      <c r="N289" s="150">
        <v>0</v>
      </c>
      <c r="O289" s="150">
        <v>96716</v>
      </c>
      <c r="P289" s="150">
        <v>101726</v>
      </c>
      <c r="Q289" s="150">
        <v>105092.46</v>
      </c>
      <c r="R289" s="150">
        <v>105092.46</v>
      </c>
    </row>
    <row r="290" spans="1:18" x14ac:dyDescent="0.25">
      <c r="A290" t="str">
        <f t="shared" si="4"/>
        <v>16-3-133</v>
      </c>
      <c r="B290">
        <v>16</v>
      </c>
      <c r="C290" s="150" t="s">
        <v>1168</v>
      </c>
      <c r="D290" s="150">
        <v>3</v>
      </c>
      <c r="E290" s="150" t="s">
        <v>147</v>
      </c>
      <c r="F290" s="150">
        <v>133</v>
      </c>
      <c r="G290" s="150" t="s">
        <v>358</v>
      </c>
      <c r="H290" s="150">
        <v>764</v>
      </c>
      <c r="I290" s="150">
        <v>1089319</v>
      </c>
      <c r="J290" s="150" t="s">
        <v>1203</v>
      </c>
      <c r="K290" s="150">
        <v>3171</v>
      </c>
      <c r="L290" s="150">
        <v>1106</v>
      </c>
      <c r="M290" s="150">
        <v>190.73</v>
      </c>
      <c r="N290" s="150">
        <v>0</v>
      </c>
      <c r="O290" s="150">
        <v>55755</v>
      </c>
      <c r="P290" s="150">
        <v>58018</v>
      </c>
      <c r="Q290" s="150">
        <v>61658.73</v>
      </c>
      <c r="R290" s="150">
        <v>61658.73</v>
      </c>
    </row>
    <row r="291" spans="1:18" x14ac:dyDescent="0.25">
      <c r="A291" t="str">
        <f t="shared" si="4"/>
        <v>9-3-134</v>
      </c>
      <c r="B291">
        <v>9</v>
      </c>
      <c r="C291" s="150" t="s">
        <v>1161</v>
      </c>
      <c r="D291" s="150">
        <v>3</v>
      </c>
      <c r="E291" s="150" t="s">
        <v>147</v>
      </c>
      <c r="F291" s="150">
        <v>134</v>
      </c>
      <c r="G291" s="150" t="s">
        <v>269</v>
      </c>
      <c r="H291" s="150">
        <v>0</v>
      </c>
      <c r="I291" s="150">
        <v>1097043</v>
      </c>
      <c r="J291" s="150" t="s">
        <v>1203</v>
      </c>
      <c r="K291" s="150">
        <v>10</v>
      </c>
      <c r="L291" s="150">
        <v>2135</v>
      </c>
      <c r="M291" s="150">
        <v>444.18</v>
      </c>
      <c r="N291" s="150">
        <v>0</v>
      </c>
      <c r="O291" s="150">
        <v>31991</v>
      </c>
      <c r="P291" s="150">
        <v>33434</v>
      </c>
      <c r="Q291" s="150">
        <v>34489.18</v>
      </c>
      <c r="R291" s="150">
        <v>34489.18</v>
      </c>
    </row>
    <row r="292" spans="1:18" x14ac:dyDescent="0.25">
      <c r="A292" t="str">
        <f t="shared" si="4"/>
        <v>18-3-136</v>
      </c>
      <c r="B292">
        <v>18</v>
      </c>
      <c r="C292" s="150" t="s">
        <v>1170</v>
      </c>
      <c r="D292" s="150">
        <v>3</v>
      </c>
      <c r="E292" s="150" t="s">
        <v>147</v>
      </c>
      <c r="F292" s="150">
        <v>136</v>
      </c>
      <c r="G292" s="150" t="s">
        <v>375</v>
      </c>
      <c r="H292" s="150">
        <v>0</v>
      </c>
      <c r="I292" s="150">
        <v>2620014</v>
      </c>
      <c r="J292" s="150" t="s">
        <v>1203</v>
      </c>
      <c r="K292" s="150">
        <v>141</v>
      </c>
      <c r="L292" s="150">
        <v>38069</v>
      </c>
      <c r="M292" s="150">
        <v>5261.4400000000005</v>
      </c>
      <c r="N292" s="150">
        <v>0</v>
      </c>
      <c r="O292" s="150">
        <v>1264019</v>
      </c>
      <c r="P292" s="150">
        <v>1306758</v>
      </c>
      <c r="Q292" s="150">
        <v>1350431.44</v>
      </c>
      <c r="R292" s="150">
        <v>1350431.44</v>
      </c>
    </row>
    <row r="293" spans="1:18" x14ac:dyDescent="0.25">
      <c r="A293" t="str">
        <f t="shared" si="4"/>
        <v>40-3-137</v>
      </c>
      <c r="B293">
        <v>40</v>
      </c>
      <c r="C293" s="150" t="s">
        <v>1190</v>
      </c>
      <c r="D293" s="150">
        <v>3</v>
      </c>
      <c r="E293" s="150" t="s">
        <v>147</v>
      </c>
      <c r="F293" s="150">
        <v>137</v>
      </c>
      <c r="G293" s="150" t="s">
        <v>627</v>
      </c>
      <c r="H293" s="150">
        <v>29546</v>
      </c>
      <c r="I293" s="150">
        <v>3266570</v>
      </c>
      <c r="J293" s="150" t="s">
        <v>1203</v>
      </c>
      <c r="K293" s="150">
        <v>0</v>
      </c>
      <c r="L293" s="150">
        <v>7135</v>
      </c>
      <c r="M293" s="150">
        <v>1674.25</v>
      </c>
      <c r="N293" s="150">
        <v>0</v>
      </c>
      <c r="O293" s="150">
        <v>374216</v>
      </c>
      <c r="P293" s="150">
        <v>386847</v>
      </c>
      <c r="Q293" s="150">
        <v>388521.25</v>
      </c>
      <c r="R293" s="150">
        <v>388521.25</v>
      </c>
    </row>
    <row r="294" spans="1:18" x14ac:dyDescent="0.25">
      <c r="A294" t="str">
        <f t="shared" si="4"/>
        <v>21-3-138</v>
      </c>
      <c r="B294">
        <v>21</v>
      </c>
      <c r="C294" s="150" t="s">
        <v>1173</v>
      </c>
      <c r="D294" s="150">
        <v>3</v>
      </c>
      <c r="E294" s="150" t="s">
        <v>147</v>
      </c>
      <c r="F294" s="150">
        <v>138</v>
      </c>
      <c r="G294" s="150" t="s">
        <v>406</v>
      </c>
      <c r="H294" s="150">
        <v>32</v>
      </c>
      <c r="I294" s="150">
        <v>75104</v>
      </c>
      <c r="J294" s="150" t="s">
        <v>1203</v>
      </c>
      <c r="K294" s="150">
        <v>1</v>
      </c>
      <c r="L294" s="150">
        <v>3</v>
      </c>
      <c r="M294" s="150">
        <v>0.29000000000000004</v>
      </c>
      <c r="N294" s="150">
        <v>0</v>
      </c>
      <c r="O294" s="150">
        <v>1446</v>
      </c>
      <c r="P294" s="150">
        <v>1515</v>
      </c>
      <c r="Q294" s="150">
        <v>1560.29</v>
      </c>
      <c r="R294" s="150">
        <v>1560.29</v>
      </c>
    </row>
    <row r="295" spans="1:18" x14ac:dyDescent="0.25">
      <c r="A295" t="str">
        <f t="shared" si="4"/>
        <v>4-3-139</v>
      </c>
      <c r="B295">
        <v>4</v>
      </c>
      <c r="C295" s="150" t="s">
        <v>1196</v>
      </c>
      <c r="D295" s="150">
        <v>3</v>
      </c>
      <c r="E295" s="150" t="s">
        <v>147</v>
      </c>
      <c r="F295" s="150">
        <v>139</v>
      </c>
      <c r="G295" s="150" t="s">
        <v>202</v>
      </c>
      <c r="H295" s="150">
        <v>0</v>
      </c>
      <c r="I295" s="150">
        <v>444166</v>
      </c>
      <c r="J295" s="150" t="s">
        <v>1203</v>
      </c>
      <c r="K295" s="150">
        <v>478</v>
      </c>
      <c r="L295" s="150">
        <v>621</v>
      </c>
      <c r="M295" s="150">
        <v>14.91</v>
      </c>
      <c r="N295" s="150">
        <v>0</v>
      </c>
      <c r="O295" s="150">
        <v>66619</v>
      </c>
      <c r="P295" s="150">
        <v>69718</v>
      </c>
      <c r="Q295" s="150">
        <v>72874.91</v>
      </c>
      <c r="R295" s="150">
        <v>72874.91</v>
      </c>
    </row>
    <row r="296" spans="1:18" x14ac:dyDescent="0.25">
      <c r="A296" t="str">
        <f t="shared" si="4"/>
        <v>22-3-140</v>
      </c>
      <c r="B296">
        <v>22</v>
      </c>
      <c r="C296" s="150" t="s">
        <v>1174</v>
      </c>
      <c r="D296" s="150">
        <v>3</v>
      </c>
      <c r="E296" s="150" t="s">
        <v>147</v>
      </c>
      <c r="F296" s="150">
        <v>140</v>
      </c>
      <c r="G296" s="150" t="s">
        <v>425</v>
      </c>
      <c r="H296" s="150">
        <v>0</v>
      </c>
      <c r="I296" s="150">
        <v>338838</v>
      </c>
      <c r="J296" s="150" t="s">
        <v>1203</v>
      </c>
      <c r="K296" s="150">
        <v>192</v>
      </c>
      <c r="L296" s="150">
        <v>55</v>
      </c>
      <c r="M296" s="150">
        <v>38.049999999999997</v>
      </c>
      <c r="N296" s="150">
        <v>0</v>
      </c>
      <c r="O296" s="150">
        <v>30739</v>
      </c>
      <c r="P296" s="150">
        <v>31661</v>
      </c>
      <c r="Q296" s="150">
        <v>31699.05</v>
      </c>
      <c r="R296" s="150">
        <v>31699.05</v>
      </c>
    </row>
    <row r="297" spans="1:18" x14ac:dyDescent="0.25">
      <c r="A297" t="str">
        <f t="shared" si="4"/>
        <v>14-3-141</v>
      </c>
      <c r="B297">
        <v>14</v>
      </c>
      <c r="C297" s="150" t="s">
        <v>1166</v>
      </c>
      <c r="D297" s="150">
        <v>3</v>
      </c>
      <c r="E297" s="150" t="s">
        <v>147</v>
      </c>
      <c r="F297" s="150">
        <v>141</v>
      </c>
      <c r="G297" s="150" t="s">
        <v>312</v>
      </c>
      <c r="H297" s="150">
        <v>0</v>
      </c>
      <c r="I297" s="150">
        <v>4640080</v>
      </c>
      <c r="J297" s="150" t="s">
        <v>1203</v>
      </c>
      <c r="K297" s="150">
        <v>1908</v>
      </c>
      <c r="L297" s="150">
        <v>18512</v>
      </c>
      <c r="M297" s="150">
        <v>6458.77</v>
      </c>
      <c r="N297" s="150">
        <v>0</v>
      </c>
      <c r="O297" s="150">
        <v>743558</v>
      </c>
      <c r="P297" s="150">
        <v>768606</v>
      </c>
      <c r="Q297" s="150">
        <v>795689.77</v>
      </c>
      <c r="R297" s="150">
        <v>795689.77</v>
      </c>
    </row>
    <row r="298" spans="1:18" x14ac:dyDescent="0.25">
      <c r="A298" t="str">
        <f t="shared" si="4"/>
        <v>34-3-142</v>
      </c>
      <c r="B298">
        <v>34</v>
      </c>
      <c r="C298" s="150" t="s">
        <v>1186</v>
      </c>
      <c r="D298" s="150">
        <v>3</v>
      </c>
      <c r="E298" s="150" t="s">
        <v>147</v>
      </c>
      <c r="F298" s="150">
        <v>142</v>
      </c>
      <c r="G298" s="150" t="s">
        <v>582</v>
      </c>
      <c r="H298" s="150">
        <v>21</v>
      </c>
      <c r="I298" s="150">
        <v>770651</v>
      </c>
      <c r="J298" s="150" t="s">
        <v>1203</v>
      </c>
      <c r="K298" s="150">
        <v>3501</v>
      </c>
      <c r="L298" s="150">
        <v>6193</v>
      </c>
      <c r="M298" s="150">
        <v>1964.6000000000001</v>
      </c>
      <c r="N298" s="150">
        <v>0</v>
      </c>
      <c r="O298" s="150">
        <v>255339</v>
      </c>
      <c r="P298" s="150">
        <v>273843</v>
      </c>
      <c r="Q298" s="150">
        <v>291561.59999999998</v>
      </c>
      <c r="R298" s="150">
        <v>291561.59999999998</v>
      </c>
    </row>
    <row r="299" spans="1:18" x14ac:dyDescent="0.25">
      <c r="A299" t="str">
        <f t="shared" si="4"/>
        <v>38-3-143</v>
      </c>
      <c r="B299">
        <v>38</v>
      </c>
      <c r="C299" s="150" t="s">
        <v>1189</v>
      </c>
      <c r="D299" s="150">
        <v>3</v>
      </c>
      <c r="E299" s="150" t="s">
        <v>147</v>
      </c>
      <c r="F299" s="150">
        <v>143</v>
      </c>
      <c r="G299" s="150" t="s">
        <v>613</v>
      </c>
      <c r="H299" s="150">
        <v>448598</v>
      </c>
      <c r="I299" s="150">
        <v>7935456</v>
      </c>
      <c r="J299" s="150" t="s">
        <v>1203</v>
      </c>
      <c r="K299" s="150">
        <v>1161</v>
      </c>
      <c r="L299" s="150">
        <v>48678</v>
      </c>
      <c r="M299" s="150">
        <v>7289.27</v>
      </c>
      <c r="N299" s="150">
        <v>0</v>
      </c>
      <c r="O299" s="150">
        <v>2703423</v>
      </c>
      <c r="P299" s="150">
        <v>2883879</v>
      </c>
      <c r="Q299" s="150">
        <v>2975197.27</v>
      </c>
      <c r="R299" s="150">
        <v>2975197.27</v>
      </c>
    </row>
    <row r="300" spans="1:18" x14ac:dyDescent="0.25">
      <c r="A300" t="str">
        <f t="shared" si="4"/>
        <v>35-3-144</v>
      </c>
      <c r="B300">
        <v>35</v>
      </c>
      <c r="C300" s="150" t="s">
        <v>1195</v>
      </c>
      <c r="D300" s="150">
        <v>3</v>
      </c>
      <c r="E300" s="150" t="s">
        <v>147</v>
      </c>
      <c r="F300" s="150">
        <v>144</v>
      </c>
      <c r="G300" s="150" t="s">
        <v>588</v>
      </c>
      <c r="H300" s="150">
        <v>750</v>
      </c>
      <c r="I300" s="150">
        <v>503</v>
      </c>
      <c r="J300" s="150" t="s">
        <v>1203</v>
      </c>
      <c r="K300" s="150">
        <v>8</v>
      </c>
      <c r="L300" s="150">
        <v>107</v>
      </c>
      <c r="M300" s="150">
        <v>2.1</v>
      </c>
      <c r="N300" s="150">
        <v>0</v>
      </c>
      <c r="O300" s="150">
        <v>38707</v>
      </c>
      <c r="P300" s="150">
        <v>41163</v>
      </c>
      <c r="Q300" s="150">
        <v>42288.1</v>
      </c>
      <c r="R300" s="150">
        <v>42288.1</v>
      </c>
    </row>
    <row r="301" spans="1:18" x14ac:dyDescent="0.25">
      <c r="A301" t="str">
        <f t="shared" si="4"/>
        <v>18-3-145</v>
      </c>
      <c r="B301">
        <v>18</v>
      </c>
      <c r="C301" s="150" t="s">
        <v>1170</v>
      </c>
      <c r="D301" s="150">
        <v>3</v>
      </c>
      <c r="E301" s="150" t="s">
        <v>147</v>
      </c>
      <c r="F301" s="150">
        <v>145</v>
      </c>
      <c r="G301" s="150" t="s">
        <v>376</v>
      </c>
      <c r="H301" s="150">
        <v>0</v>
      </c>
      <c r="I301" s="150">
        <v>546676</v>
      </c>
      <c r="J301" s="150" t="s">
        <v>1203</v>
      </c>
      <c r="K301" s="150">
        <v>771</v>
      </c>
      <c r="L301" s="150">
        <v>3060</v>
      </c>
      <c r="M301" s="150">
        <v>514.63</v>
      </c>
      <c r="N301" s="150">
        <v>0</v>
      </c>
      <c r="O301" s="150">
        <v>143541</v>
      </c>
      <c r="P301" s="150">
        <v>144033</v>
      </c>
      <c r="Q301" s="150">
        <v>148411.63</v>
      </c>
      <c r="R301" s="150">
        <v>148411.63</v>
      </c>
    </row>
    <row r="302" spans="1:18" x14ac:dyDescent="0.25">
      <c r="A302" t="str">
        <f t="shared" si="4"/>
        <v>40-3-146</v>
      </c>
      <c r="B302">
        <v>40</v>
      </c>
      <c r="C302" s="150" t="s">
        <v>1190</v>
      </c>
      <c r="D302" s="150">
        <v>3</v>
      </c>
      <c r="E302" s="150" t="s">
        <v>147</v>
      </c>
      <c r="F302" s="150">
        <v>146</v>
      </c>
      <c r="G302" s="150" t="s">
        <v>628</v>
      </c>
      <c r="H302" s="150">
        <v>16335</v>
      </c>
      <c r="I302" s="150">
        <v>2784775</v>
      </c>
      <c r="J302" s="150" t="s">
        <v>1203</v>
      </c>
      <c r="K302" s="150">
        <v>0</v>
      </c>
      <c r="L302" s="150">
        <v>2184</v>
      </c>
      <c r="M302" s="150">
        <v>271.48</v>
      </c>
      <c r="N302" s="150">
        <v>0</v>
      </c>
      <c r="O302" s="150">
        <v>212274</v>
      </c>
      <c r="P302" s="150">
        <v>219636</v>
      </c>
      <c r="Q302" s="150">
        <v>220725.48</v>
      </c>
      <c r="R302" s="150">
        <v>220725.48</v>
      </c>
    </row>
    <row r="303" spans="1:18" x14ac:dyDescent="0.25">
      <c r="A303" t="str">
        <f t="shared" si="4"/>
        <v>8-3-147</v>
      </c>
      <c r="B303">
        <v>8</v>
      </c>
      <c r="C303" s="150" t="s">
        <v>1160</v>
      </c>
      <c r="D303" s="150">
        <v>3</v>
      </c>
      <c r="E303" s="150" t="s">
        <v>147</v>
      </c>
      <c r="F303" s="150">
        <v>147</v>
      </c>
      <c r="G303" s="150" t="s">
        <v>255</v>
      </c>
      <c r="H303" s="150">
        <v>0</v>
      </c>
      <c r="I303" s="150">
        <v>60416</v>
      </c>
      <c r="J303" s="150" t="s">
        <v>1203</v>
      </c>
      <c r="K303" s="150">
        <v>0</v>
      </c>
      <c r="L303" s="150">
        <v>51</v>
      </c>
      <c r="M303" s="150">
        <v>10.89</v>
      </c>
      <c r="N303" s="150">
        <v>0</v>
      </c>
      <c r="O303" s="150">
        <v>31452</v>
      </c>
      <c r="P303" s="150">
        <v>34768</v>
      </c>
      <c r="Q303" s="150">
        <v>38196.89</v>
      </c>
      <c r="R303" s="150">
        <v>38196.89</v>
      </c>
    </row>
    <row r="304" spans="1:18" x14ac:dyDescent="0.25">
      <c r="A304" t="str">
        <f t="shared" si="4"/>
        <v>5-3-148</v>
      </c>
      <c r="B304">
        <v>5</v>
      </c>
      <c r="C304" s="150" t="s">
        <v>1158</v>
      </c>
      <c r="D304" s="150">
        <v>3</v>
      </c>
      <c r="E304" s="150" t="s">
        <v>147</v>
      </c>
      <c r="F304" s="150">
        <v>148</v>
      </c>
      <c r="G304" s="150" t="s">
        <v>216</v>
      </c>
      <c r="H304" s="150">
        <v>0</v>
      </c>
      <c r="I304" s="150">
        <v>179796</v>
      </c>
      <c r="J304" s="150" t="s">
        <v>1203</v>
      </c>
      <c r="K304" s="150">
        <v>137</v>
      </c>
      <c r="L304" s="150">
        <v>2781</v>
      </c>
      <c r="M304" s="150">
        <v>108.22</v>
      </c>
      <c r="N304" s="150">
        <v>0</v>
      </c>
      <c r="O304" s="150">
        <v>129049</v>
      </c>
      <c r="P304" s="150">
        <v>104546</v>
      </c>
      <c r="Q304" s="150">
        <v>104654.22</v>
      </c>
      <c r="R304" s="150">
        <v>129049</v>
      </c>
    </row>
    <row r="305" spans="1:18" x14ac:dyDescent="0.25">
      <c r="A305" t="str">
        <f t="shared" si="4"/>
        <v>3-3-149</v>
      </c>
      <c r="B305">
        <v>3</v>
      </c>
      <c r="C305" s="150" t="s">
        <v>1157</v>
      </c>
      <c r="D305" s="150">
        <v>3</v>
      </c>
      <c r="E305" s="150" t="s">
        <v>147</v>
      </c>
      <c r="F305" s="150">
        <v>149</v>
      </c>
      <c r="G305" s="150" t="s">
        <v>190</v>
      </c>
      <c r="H305" s="150">
        <v>5517990</v>
      </c>
      <c r="I305" s="150">
        <v>89816013</v>
      </c>
      <c r="J305" s="150">
        <v>1</v>
      </c>
      <c r="K305" s="150">
        <v>1884</v>
      </c>
      <c r="L305" s="150">
        <v>351527</v>
      </c>
      <c r="M305" s="150">
        <v>99431.03</v>
      </c>
      <c r="N305" s="150">
        <v>0</v>
      </c>
      <c r="O305" s="150">
        <v>31856191</v>
      </c>
      <c r="P305" s="150">
        <v>32341674</v>
      </c>
      <c r="Q305" s="150">
        <v>32965423.030000001</v>
      </c>
      <c r="R305" s="150">
        <v>32965423.030000001</v>
      </c>
    </row>
    <row r="306" spans="1:18" x14ac:dyDescent="0.25">
      <c r="A306" t="str">
        <f t="shared" si="4"/>
        <v>39-3-149</v>
      </c>
      <c r="B306">
        <v>39</v>
      </c>
      <c r="C306" s="150" t="s">
        <v>164</v>
      </c>
      <c r="D306" s="150">
        <v>3</v>
      </c>
      <c r="E306" s="150" t="s">
        <v>147</v>
      </c>
      <c r="F306" s="150">
        <v>149</v>
      </c>
      <c r="G306" s="150" t="s">
        <v>190</v>
      </c>
      <c r="H306" s="150">
        <v>5517990</v>
      </c>
      <c r="I306" s="150">
        <v>347087</v>
      </c>
      <c r="J306" s="150">
        <v>1</v>
      </c>
      <c r="K306" s="150">
        <v>1884</v>
      </c>
      <c r="L306" s="150">
        <v>351527</v>
      </c>
      <c r="M306" s="150">
        <v>99431.03</v>
      </c>
      <c r="N306" s="150">
        <v>0</v>
      </c>
      <c r="O306" s="150">
        <v>31856191</v>
      </c>
      <c r="P306" s="150">
        <v>32341674</v>
      </c>
      <c r="Q306" s="150">
        <v>32965423.030000001</v>
      </c>
      <c r="R306" s="150">
        <v>32965423.030000001</v>
      </c>
    </row>
    <row r="307" spans="1:18" x14ac:dyDescent="0.25">
      <c r="A307" t="str">
        <f t="shared" si="4"/>
        <v>9-3-150</v>
      </c>
      <c r="B307">
        <v>9</v>
      </c>
      <c r="C307" s="150" t="s">
        <v>1161</v>
      </c>
      <c r="D307" s="150">
        <v>3</v>
      </c>
      <c r="E307" s="150" t="s">
        <v>147</v>
      </c>
      <c r="F307" s="150">
        <v>150</v>
      </c>
      <c r="G307" s="150" t="s">
        <v>270</v>
      </c>
      <c r="H307" s="150">
        <v>0</v>
      </c>
      <c r="I307" s="150">
        <v>20197866</v>
      </c>
      <c r="J307" s="150" t="s">
        <v>1203</v>
      </c>
      <c r="K307" s="150">
        <v>62</v>
      </c>
      <c r="L307" s="150">
        <v>42749</v>
      </c>
      <c r="M307" s="150">
        <v>14873.869999999999</v>
      </c>
      <c r="N307" s="150">
        <v>0</v>
      </c>
      <c r="O307" s="150">
        <v>1054434</v>
      </c>
      <c r="P307" s="150">
        <v>1138789</v>
      </c>
      <c r="Q307" s="150">
        <v>1206047.8700000001</v>
      </c>
      <c r="R307" s="150">
        <v>1206047.8700000001</v>
      </c>
    </row>
    <row r="308" spans="1:18" x14ac:dyDescent="0.25">
      <c r="A308" t="str">
        <f t="shared" si="4"/>
        <v>28-3-151</v>
      </c>
      <c r="B308">
        <v>28</v>
      </c>
      <c r="C308" s="150" t="s">
        <v>1180</v>
      </c>
      <c r="D308" s="150">
        <v>3</v>
      </c>
      <c r="E308" s="150" t="s">
        <v>147</v>
      </c>
      <c r="F308" s="150">
        <v>151</v>
      </c>
      <c r="G308" s="150" t="s">
        <v>505</v>
      </c>
      <c r="H308" s="150">
        <v>3590119</v>
      </c>
      <c r="I308" s="150">
        <v>45749672</v>
      </c>
      <c r="J308" s="150" t="s">
        <v>1203</v>
      </c>
      <c r="K308" s="150">
        <v>1674</v>
      </c>
      <c r="L308" s="150">
        <v>110481</v>
      </c>
      <c r="M308" s="150">
        <v>15571.33</v>
      </c>
      <c r="N308" s="150">
        <v>0</v>
      </c>
      <c r="O308" s="150">
        <v>13157129</v>
      </c>
      <c r="P308" s="150">
        <v>13830857</v>
      </c>
      <c r="Q308" s="150">
        <v>15430173.33</v>
      </c>
      <c r="R308" s="150">
        <v>15430173.33</v>
      </c>
    </row>
    <row r="309" spans="1:18" x14ac:dyDescent="0.25">
      <c r="A309" t="str">
        <f t="shared" si="4"/>
        <v>29-3-152</v>
      </c>
      <c r="B309">
        <v>29</v>
      </c>
      <c r="C309" s="150" t="s">
        <v>1181</v>
      </c>
      <c r="D309" s="150">
        <v>3</v>
      </c>
      <c r="E309" s="150" t="s">
        <v>147</v>
      </c>
      <c r="F309" s="150">
        <v>152</v>
      </c>
      <c r="G309" s="150" t="s">
        <v>531</v>
      </c>
      <c r="H309" s="150">
        <v>0</v>
      </c>
      <c r="I309" s="150">
        <v>505539</v>
      </c>
      <c r="J309" s="150" t="s">
        <v>1203</v>
      </c>
      <c r="K309" s="150">
        <v>0</v>
      </c>
      <c r="L309" s="150">
        <v>3187</v>
      </c>
      <c r="M309" s="150">
        <v>355.01000000000005</v>
      </c>
      <c r="N309" s="150">
        <v>0</v>
      </c>
      <c r="O309" s="150">
        <v>174463</v>
      </c>
      <c r="P309" s="150">
        <v>179843</v>
      </c>
      <c r="Q309" s="150">
        <v>185398.49000000002</v>
      </c>
      <c r="R309" s="150">
        <v>185398.01</v>
      </c>
    </row>
    <row r="310" spans="1:18" x14ac:dyDescent="0.25">
      <c r="A310" t="str">
        <f t="shared" si="4"/>
        <v>21-3-153</v>
      </c>
      <c r="B310">
        <v>21</v>
      </c>
      <c r="C310" s="150" t="s">
        <v>1173</v>
      </c>
      <c r="D310" s="150">
        <v>3</v>
      </c>
      <c r="E310" s="150" t="s">
        <v>147</v>
      </c>
      <c r="F310" s="150">
        <v>153</v>
      </c>
      <c r="G310" s="150" t="s">
        <v>407</v>
      </c>
      <c r="H310" s="150">
        <v>137383</v>
      </c>
      <c r="I310" s="150">
        <v>6157691</v>
      </c>
      <c r="J310" s="150" t="s">
        <v>1203</v>
      </c>
      <c r="K310" s="150">
        <v>2539</v>
      </c>
      <c r="L310" s="150">
        <v>22094</v>
      </c>
      <c r="M310" s="150">
        <v>5668.05</v>
      </c>
      <c r="N310" s="150">
        <v>0</v>
      </c>
      <c r="O310" s="150">
        <v>1169558</v>
      </c>
      <c r="P310" s="150">
        <v>1200024</v>
      </c>
      <c r="Q310" s="150">
        <v>1214571.05</v>
      </c>
      <c r="R310" s="150">
        <v>1214571.05</v>
      </c>
    </row>
    <row r="311" spans="1:18" x14ac:dyDescent="0.25">
      <c r="A311" t="str">
        <f t="shared" si="4"/>
        <v>9-3-154</v>
      </c>
      <c r="B311">
        <v>9</v>
      </c>
      <c r="C311" s="150" t="s">
        <v>1161</v>
      </c>
      <c r="D311" s="150">
        <v>3</v>
      </c>
      <c r="E311" s="150" t="s">
        <v>147</v>
      </c>
      <c r="F311" s="150">
        <v>154</v>
      </c>
      <c r="G311" s="150" t="s">
        <v>271</v>
      </c>
      <c r="H311" s="150">
        <v>130</v>
      </c>
      <c r="I311" s="150">
        <v>1996176</v>
      </c>
      <c r="J311" s="150" t="s">
        <v>1203</v>
      </c>
      <c r="K311" s="150">
        <v>0</v>
      </c>
      <c r="L311" s="150">
        <v>22790</v>
      </c>
      <c r="M311" s="150">
        <v>3360.05</v>
      </c>
      <c r="N311" s="150">
        <v>0</v>
      </c>
      <c r="O311" s="150">
        <v>811905</v>
      </c>
      <c r="P311" s="150">
        <v>861637</v>
      </c>
      <c r="Q311" s="150">
        <v>908153.05</v>
      </c>
      <c r="R311" s="150">
        <v>908153.05</v>
      </c>
    </row>
    <row r="312" spans="1:18" x14ac:dyDescent="0.25">
      <c r="A312" t="str">
        <f t="shared" si="4"/>
        <v>28-3-155</v>
      </c>
      <c r="B312">
        <v>28</v>
      </c>
      <c r="C312" s="150" t="s">
        <v>1180</v>
      </c>
      <c r="D312" s="150">
        <v>3</v>
      </c>
      <c r="E312" s="150" t="s">
        <v>147</v>
      </c>
      <c r="F312" s="150">
        <v>155</v>
      </c>
      <c r="G312" s="150" t="s">
        <v>506</v>
      </c>
      <c r="H312" s="150">
        <v>607678</v>
      </c>
      <c r="I312" s="150">
        <v>123882399</v>
      </c>
      <c r="J312" s="150" t="s">
        <v>1203</v>
      </c>
      <c r="K312" s="150">
        <v>364</v>
      </c>
      <c r="L312" s="150">
        <v>24018</v>
      </c>
      <c r="M312" s="150">
        <v>4419.51</v>
      </c>
      <c r="N312" s="150">
        <v>0</v>
      </c>
      <c r="O312" s="150">
        <v>3226694</v>
      </c>
      <c r="P312" s="150">
        <v>3330222</v>
      </c>
      <c r="Q312" s="150">
        <v>3473815.51</v>
      </c>
      <c r="R312" s="150">
        <v>3473815.51</v>
      </c>
    </row>
    <row r="313" spans="1:18" x14ac:dyDescent="0.25">
      <c r="A313" t="str">
        <f t="shared" si="4"/>
        <v>31-3-156</v>
      </c>
      <c r="B313">
        <v>31</v>
      </c>
      <c r="C313" s="150" t="s">
        <v>1183</v>
      </c>
      <c r="D313" s="150">
        <v>3</v>
      </c>
      <c r="E313" s="150" t="s">
        <v>147</v>
      </c>
      <c r="F313" s="150">
        <v>156</v>
      </c>
      <c r="G313" s="150" t="s">
        <v>552</v>
      </c>
      <c r="H313" s="150">
        <v>1732</v>
      </c>
      <c r="I313" s="150">
        <v>106734</v>
      </c>
      <c r="J313" s="150" t="s">
        <v>1203</v>
      </c>
      <c r="K313" s="150">
        <v>0</v>
      </c>
      <c r="L313" s="150">
        <v>59</v>
      </c>
      <c r="M313" s="150">
        <v>11.520000000000001</v>
      </c>
      <c r="N313" s="150">
        <v>0</v>
      </c>
      <c r="O313" s="150">
        <v>10211</v>
      </c>
      <c r="P313" s="150">
        <v>10517</v>
      </c>
      <c r="Q313" s="150">
        <v>10832.52</v>
      </c>
      <c r="R313" s="150">
        <v>10832.52</v>
      </c>
    </row>
    <row r="314" spans="1:18" x14ac:dyDescent="0.25">
      <c r="A314" t="str">
        <f t="shared" si="4"/>
        <v>33-3-157</v>
      </c>
      <c r="B314">
        <v>33</v>
      </c>
      <c r="C314" s="150" t="s">
        <v>1185</v>
      </c>
      <c r="D314" s="150">
        <v>3</v>
      </c>
      <c r="E314" s="150" t="s">
        <v>147</v>
      </c>
      <c r="F314" s="150">
        <v>157</v>
      </c>
      <c r="G314" s="150" t="s">
        <v>569</v>
      </c>
      <c r="H314" s="150">
        <v>92662</v>
      </c>
      <c r="I314" s="150">
        <v>9972714</v>
      </c>
      <c r="J314" s="150" t="s">
        <v>1203</v>
      </c>
      <c r="K314" s="150">
        <v>498</v>
      </c>
      <c r="L314" s="150">
        <v>51406</v>
      </c>
      <c r="M314" s="150">
        <v>20685.3</v>
      </c>
      <c r="N314" s="150">
        <v>0</v>
      </c>
      <c r="O314" s="150">
        <v>5918967</v>
      </c>
      <c r="P314" s="150">
        <v>6287848</v>
      </c>
      <c r="Q314" s="150">
        <v>6670834.2999999998</v>
      </c>
      <c r="R314" s="150">
        <v>6670834.2999999998</v>
      </c>
    </row>
    <row r="315" spans="1:18" x14ac:dyDescent="0.25">
      <c r="A315" t="str">
        <f t="shared" si="4"/>
        <v>32-3-158</v>
      </c>
      <c r="B315">
        <v>32</v>
      </c>
      <c r="C315" s="150" t="s">
        <v>1184</v>
      </c>
      <c r="D315" s="150">
        <v>3</v>
      </c>
      <c r="E315" s="150" t="s">
        <v>147</v>
      </c>
      <c r="F315" s="150">
        <v>158</v>
      </c>
      <c r="G315" s="150" t="s">
        <v>558</v>
      </c>
      <c r="H315" s="150">
        <v>0</v>
      </c>
      <c r="I315" s="150">
        <v>258577</v>
      </c>
      <c r="J315" s="150" t="s">
        <v>1203</v>
      </c>
      <c r="K315" s="150">
        <v>554</v>
      </c>
      <c r="L315" s="150">
        <v>3079</v>
      </c>
      <c r="M315" s="150">
        <v>7.36</v>
      </c>
      <c r="N315" s="150">
        <v>0</v>
      </c>
      <c r="O315" s="150">
        <v>73850</v>
      </c>
      <c r="P315" s="150">
        <v>76066</v>
      </c>
      <c r="Q315" s="150">
        <v>79917.36</v>
      </c>
      <c r="R315" s="150">
        <v>79917.36</v>
      </c>
    </row>
    <row r="316" spans="1:18" x14ac:dyDescent="0.25">
      <c r="A316" t="str">
        <f t="shared" si="4"/>
        <v>26-3-159</v>
      </c>
      <c r="B316">
        <v>26</v>
      </c>
      <c r="C316" s="150" t="s">
        <v>1178</v>
      </c>
      <c r="D316" s="150">
        <v>3</v>
      </c>
      <c r="E316" s="150" t="s">
        <v>147</v>
      </c>
      <c r="F316" s="150">
        <v>159</v>
      </c>
      <c r="G316" s="150" t="s">
        <v>484</v>
      </c>
      <c r="H316" s="150">
        <v>43225</v>
      </c>
      <c r="I316" s="150">
        <v>2174071</v>
      </c>
      <c r="J316" s="150" t="s">
        <v>1203</v>
      </c>
      <c r="K316" s="150">
        <v>305</v>
      </c>
      <c r="L316" s="150">
        <v>25069</v>
      </c>
      <c r="M316" s="150">
        <v>8707.68</v>
      </c>
      <c r="N316" s="150">
        <v>0</v>
      </c>
      <c r="O316" s="150">
        <v>1604105</v>
      </c>
      <c r="P316" s="150">
        <v>1732433</v>
      </c>
      <c r="Q316" s="150">
        <v>1871027.68</v>
      </c>
      <c r="R316" s="150">
        <v>1871027.68</v>
      </c>
    </row>
    <row r="317" spans="1:18" x14ac:dyDescent="0.25">
      <c r="A317" t="str">
        <f t="shared" si="4"/>
        <v>25-3-160</v>
      </c>
      <c r="B317">
        <v>25</v>
      </c>
      <c r="C317" s="150" t="s">
        <v>1177</v>
      </c>
      <c r="D317" s="150">
        <v>3</v>
      </c>
      <c r="E317" s="150" t="s">
        <v>147</v>
      </c>
      <c r="F317" s="150">
        <v>160</v>
      </c>
      <c r="G317" s="150" t="s">
        <v>456</v>
      </c>
      <c r="H317" s="150">
        <v>29433</v>
      </c>
      <c r="I317" s="150">
        <v>358592</v>
      </c>
      <c r="J317" s="150" t="s">
        <v>1203</v>
      </c>
      <c r="K317" s="150">
        <v>37</v>
      </c>
      <c r="L317" s="150">
        <v>1718</v>
      </c>
      <c r="M317" s="150">
        <v>120.44</v>
      </c>
      <c r="N317" s="150">
        <v>0</v>
      </c>
      <c r="O317" s="150">
        <v>84251</v>
      </c>
      <c r="P317" s="150">
        <v>51280</v>
      </c>
      <c r="Q317" s="150">
        <v>70277.440000000002</v>
      </c>
      <c r="R317" s="150">
        <v>84251</v>
      </c>
    </row>
    <row r="318" spans="1:18" x14ac:dyDescent="0.25">
      <c r="A318" t="str">
        <f t="shared" si="4"/>
        <v>10-3-161</v>
      </c>
      <c r="B318">
        <v>10</v>
      </c>
      <c r="C318" s="150" t="s">
        <v>1162</v>
      </c>
      <c r="D318" s="150">
        <v>3</v>
      </c>
      <c r="E318" s="150" t="s">
        <v>147</v>
      </c>
      <c r="F318" s="150">
        <v>161</v>
      </c>
      <c r="G318" s="150" t="s">
        <v>283</v>
      </c>
      <c r="H318" s="150">
        <v>50462</v>
      </c>
      <c r="I318" s="150">
        <v>34865</v>
      </c>
      <c r="J318" s="150">
        <v>1</v>
      </c>
      <c r="K318" s="150">
        <v>0</v>
      </c>
      <c r="L318" s="150">
        <v>1622</v>
      </c>
      <c r="M318" s="150">
        <v>670.81000000000006</v>
      </c>
      <c r="N318" s="150">
        <v>0</v>
      </c>
      <c r="O318" s="150">
        <v>108474</v>
      </c>
      <c r="P318" s="150">
        <v>113512</v>
      </c>
      <c r="Q318" s="150">
        <v>118568.81</v>
      </c>
      <c r="R318" s="150">
        <v>118568.81</v>
      </c>
    </row>
    <row r="319" spans="1:18" x14ac:dyDescent="0.25">
      <c r="A319" t="str">
        <f t="shared" si="4"/>
        <v>26-3-161</v>
      </c>
      <c r="B319">
        <v>26</v>
      </c>
      <c r="C319" s="150" t="s">
        <v>1178</v>
      </c>
      <c r="D319" s="150">
        <v>3</v>
      </c>
      <c r="E319" s="150" t="s">
        <v>147</v>
      </c>
      <c r="F319" s="150">
        <v>161</v>
      </c>
      <c r="G319" s="150" t="s">
        <v>283</v>
      </c>
      <c r="H319" s="150">
        <v>50462</v>
      </c>
      <c r="I319" s="150">
        <v>424751</v>
      </c>
      <c r="J319" s="150">
        <v>1</v>
      </c>
      <c r="K319" s="150">
        <v>0</v>
      </c>
      <c r="L319" s="150">
        <v>1622</v>
      </c>
      <c r="M319" s="150">
        <v>670.81000000000006</v>
      </c>
      <c r="N319" s="150">
        <v>0</v>
      </c>
      <c r="O319" s="150">
        <v>108474</v>
      </c>
      <c r="P319" s="150">
        <v>113512</v>
      </c>
      <c r="Q319" s="150">
        <v>118568.81</v>
      </c>
      <c r="R319" s="150">
        <v>118568.81</v>
      </c>
    </row>
    <row r="320" spans="1:18" x14ac:dyDescent="0.25">
      <c r="A320" t="str">
        <f t="shared" si="4"/>
        <v>26-3-162</v>
      </c>
      <c r="B320">
        <v>26</v>
      </c>
      <c r="C320" s="150" t="s">
        <v>1178</v>
      </c>
      <c r="D320" s="150">
        <v>3</v>
      </c>
      <c r="E320" s="150" t="s">
        <v>147</v>
      </c>
      <c r="F320" s="150">
        <v>162</v>
      </c>
      <c r="G320" s="150" t="s">
        <v>485</v>
      </c>
      <c r="H320" s="150">
        <v>0</v>
      </c>
      <c r="I320" s="150">
        <v>1482253</v>
      </c>
      <c r="J320" s="150" t="s">
        <v>1203</v>
      </c>
      <c r="K320" s="150">
        <v>158</v>
      </c>
      <c r="L320" s="150">
        <v>1315</v>
      </c>
      <c r="M320" s="150">
        <v>350.84000000000003</v>
      </c>
      <c r="N320" s="150">
        <v>0</v>
      </c>
      <c r="O320" s="150">
        <v>112517</v>
      </c>
      <c r="P320" s="150">
        <v>121406</v>
      </c>
      <c r="Q320" s="150">
        <v>131117.84</v>
      </c>
      <c r="R320" s="150">
        <v>131117.84</v>
      </c>
    </row>
    <row r="321" spans="1:18" x14ac:dyDescent="0.25">
      <c r="A321" t="str">
        <f t="shared" si="4"/>
        <v>39-3-163</v>
      </c>
      <c r="B321">
        <v>39</v>
      </c>
      <c r="C321" s="150" t="s">
        <v>164</v>
      </c>
      <c r="D321" s="150">
        <v>3</v>
      </c>
      <c r="E321" s="150" t="s">
        <v>147</v>
      </c>
      <c r="F321" s="150">
        <v>163</v>
      </c>
      <c r="G321" s="150" t="s">
        <v>620</v>
      </c>
      <c r="H321" s="150">
        <v>0</v>
      </c>
      <c r="I321" s="150">
        <v>169162</v>
      </c>
      <c r="J321" s="150" t="s">
        <v>1203</v>
      </c>
      <c r="K321" s="150">
        <v>113</v>
      </c>
      <c r="L321" s="150">
        <v>1221</v>
      </c>
      <c r="M321" s="150">
        <v>94.89</v>
      </c>
      <c r="N321" s="150">
        <v>0</v>
      </c>
      <c r="O321" s="150">
        <v>29675</v>
      </c>
      <c r="P321" s="150">
        <v>30637</v>
      </c>
      <c r="Q321" s="150">
        <v>31742.89</v>
      </c>
      <c r="R321" s="150">
        <v>31742.89</v>
      </c>
    </row>
    <row r="322" spans="1:18" x14ac:dyDescent="0.25">
      <c r="A322" t="str">
        <f t="shared" si="4"/>
        <v>34-3-164</v>
      </c>
      <c r="B322">
        <v>34</v>
      </c>
      <c r="C322" s="150" t="s">
        <v>1186</v>
      </c>
      <c r="D322" s="150">
        <v>3</v>
      </c>
      <c r="E322" s="150" t="s">
        <v>147</v>
      </c>
      <c r="F322" s="150">
        <v>164</v>
      </c>
      <c r="G322" s="150" t="s">
        <v>583</v>
      </c>
      <c r="H322" s="150">
        <v>32</v>
      </c>
      <c r="I322" s="150">
        <v>3412517</v>
      </c>
      <c r="J322" s="150" t="s">
        <v>1203</v>
      </c>
      <c r="K322" s="150">
        <v>464</v>
      </c>
      <c r="L322" s="150">
        <v>21424</v>
      </c>
      <c r="M322" s="150">
        <v>5619.35</v>
      </c>
      <c r="N322" s="150">
        <v>0</v>
      </c>
      <c r="O322" s="150">
        <v>1079501</v>
      </c>
      <c r="P322" s="150">
        <v>1129122</v>
      </c>
      <c r="Q322" s="150">
        <v>1180379.3500000001</v>
      </c>
      <c r="R322" s="150">
        <v>1180379.3500000001</v>
      </c>
    </row>
    <row r="323" spans="1:18" x14ac:dyDescent="0.25">
      <c r="A323" t="str">
        <f t="shared" si="4"/>
        <v>30-3-168</v>
      </c>
      <c r="B323">
        <v>30</v>
      </c>
      <c r="C323" s="150" t="s">
        <v>1182</v>
      </c>
      <c r="D323" s="150">
        <v>3</v>
      </c>
      <c r="E323" s="150" t="s">
        <v>147</v>
      </c>
      <c r="F323" s="150">
        <v>168</v>
      </c>
      <c r="G323" s="150" t="s">
        <v>545</v>
      </c>
      <c r="H323" s="150">
        <v>328670</v>
      </c>
      <c r="I323" s="150">
        <v>3221619</v>
      </c>
      <c r="J323" s="150" t="s">
        <v>1203</v>
      </c>
      <c r="K323" s="150">
        <v>17</v>
      </c>
      <c r="L323" s="150">
        <v>28939</v>
      </c>
      <c r="M323" s="150">
        <v>3310.36</v>
      </c>
      <c r="N323" s="150">
        <v>0</v>
      </c>
      <c r="O323" s="150">
        <v>1184508</v>
      </c>
      <c r="P323" s="150">
        <v>1231959</v>
      </c>
      <c r="Q323" s="150">
        <v>1269863.3600000001</v>
      </c>
      <c r="R323" s="150">
        <v>1269863.3600000001</v>
      </c>
    </row>
    <row r="324" spans="1:18" x14ac:dyDescent="0.25">
      <c r="A324" t="str">
        <f t="shared" si="4"/>
        <v>9-3-169</v>
      </c>
      <c r="B324">
        <v>9</v>
      </c>
      <c r="C324" s="150" t="s">
        <v>1161</v>
      </c>
      <c r="D324" s="150">
        <v>3</v>
      </c>
      <c r="E324" s="150" t="s">
        <v>147</v>
      </c>
      <c r="F324" s="150">
        <v>169</v>
      </c>
      <c r="G324" s="150" t="s">
        <v>272</v>
      </c>
      <c r="H324" s="150">
        <v>399493</v>
      </c>
      <c r="I324" s="150">
        <v>14834226</v>
      </c>
      <c r="J324" s="150" t="s">
        <v>1203</v>
      </c>
      <c r="K324" s="150">
        <v>2408</v>
      </c>
      <c r="L324" s="150">
        <v>88958</v>
      </c>
      <c r="M324" s="150">
        <v>8508.36</v>
      </c>
      <c r="N324" s="150">
        <v>0</v>
      </c>
      <c r="O324" s="150">
        <v>4778340</v>
      </c>
      <c r="P324" s="150">
        <v>4824637</v>
      </c>
      <c r="Q324" s="150">
        <v>4894593.3600000003</v>
      </c>
      <c r="R324" s="150">
        <v>4894593.3600000003</v>
      </c>
    </row>
    <row r="325" spans="1:18" x14ac:dyDescent="0.25">
      <c r="A325" t="str">
        <f t="shared" si="4"/>
        <v>6-3-170</v>
      </c>
      <c r="B325">
        <v>6</v>
      </c>
      <c r="C325" s="150" t="s">
        <v>1159</v>
      </c>
      <c r="D325" s="150">
        <v>3</v>
      </c>
      <c r="E325" s="150" t="s">
        <v>147</v>
      </c>
      <c r="F325" s="150">
        <v>170</v>
      </c>
      <c r="G325" s="150" t="s">
        <v>223</v>
      </c>
      <c r="H325" s="150">
        <v>109</v>
      </c>
      <c r="I325" s="150">
        <v>3578640</v>
      </c>
      <c r="J325" s="150" t="s">
        <v>1203</v>
      </c>
      <c r="K325" s="150">
        <v>200</v>
      </c>
      <c r="L325" s="150">
        <v>13901</v>
      </c>
      <c r="M325" s="150">
        <v>2765.08</v>
      </c>
      <c r="N325" s="150">
        <v>0</v>
      </c>
      <c r="O325" s="150">
        <v>1213859</v>
      </c>
      <c r="P325" s="150">
        <v>1296708</v>
      </c>
      <c r="Q325" s="150">
        <v>1372442.08</v>
      </c>
      <c r="R325" s="150">
        <v>1372442.08</v>
      </c>
    </row>
    <row r="326" spans="1:18" x14ac:dyDescent="0.25">
      <c r="A326" t="str">
        <f t="shared" ref="A326:A389" si="5">B326&amp;"-"&amp;D326&amp;"-"&amp;F326</f>
        <v>32-3-171</v>
      </c>
      <c r="B326">
        <v>32</v>
      </c>
      <c r="C326" s="150" t="s">
        <v>1184</v>
      </c>
      <c r="D326" s="150">
        <v>3</v>
      </c>
      <c r="E326" s="150" t="s">
        <v>147</v>
      </c>
      <c r="F326" s="150">
        <v>171</v>
      </c>
      <c r="G326" s="150" t="s">
        <v>559</v>
      </c>
      <c r="H326" s="150">
        <v>16712</v>
      </c>
      <c r="I326" s="150">
        <v>7155622</v>
      </c>
      <c r="J326" s="150" t="s">
        <v>1203</v>
      </c>
      <c r="K326" s="150">
        <v>2670</v>
      </c>
      <c r="L326" s="150">
        <v>15323</v>
      </c>
      <c r="M326" s="150">
        <v>3854.2200000000003</v>
      </c>
      <c r="N326" s="150">
        <v>0</v>
      </c>
      <c r="O326" s="150">
        <v>566766</v>
      </c>
      <c r="P326" s="150">
        <v>588837</v>
      </c>
      <c r="Q326" s="150">
        <v>608702.98</v>
      </c>
      <c r="R326" s="150">
        <v>608703.22</v>
      </c>
    </row>
    <row r="327" spans="1:18" x14ac:dyDescent="0.25">
      <c r="A327" t="str">
        <f t="shared" si="5"/>
        <v>40-3-172</v>
      </c>
      <c r="B327">
        <v>40</v>
      </c>
      <c r="C327" s="150" t="s">
        <v>1190</v>
      </c>
      <c r="D327" s="150">
        <v>3</v>
      </c>
      <c r="E327" s="150" t="s">
        <v>147</v>
      </c>
      <c r="F327" s="150">
        <v>172</v>
      </c>
      <c r="G327" s="150" t="s">
        <v>629</v>
      </c>
      <c r="H327" s="150">
        <v>881</v>
      </c>
      <c r="I327" s="150">
        <v>1164165</v>
      </c>
      <c r="J327" s="150" t="s">
        <v>1203</v>
      </c>
      <c r="K327" s="150">
        <v>0</v>
      </c>
      <c r="L327" s="150">
        <v>2741</v>
      </c>
      <c r="M327" s="150">
        <v>1368.53</v>
      </c>
      <c r="N327" s="150">
        <v>0</v>
      </c>
      <c r="O327" s="150">
        <v>84352</v>
      </c>
      <c r="P327" s="150">
        <v>87323</v>
      </c>
      <c r="Q327" s="150">
        <v>90307.53</v>
      </c>
      <c r="R327" s="150">
        <v>90307.53</v>
      </c>
    </row>
    <row r="328" spans="1:18" x14ac:dyDescent="0.25">
      <c r="A328" t="str">
        <f t="shared" si="5"/>
        <v>15-3-173</v>
      </c>
      <c r="B328">
        <v>15</v>
      </c>
      <c r="C328" s="150" t="s">
        <v>1167</v>
      </c>
      <c r="D328" s="150">
        <v>3</v>
      </c>
      <c r="E328" s="150" t="s">
        <v>147</v>
      </c>
      <c r="F328" s="150">
        <v>173</v>
      </c>
      <c r="G328" s="150" t="s">
        <v>344</v>
      </c>
      <c r="H328" s="150">
        <v>0</v>
      </c>
      <c r="I328" s="150">
        <v>10851933</v>
      </c>
      <c r="J328" s="150" t="s">
        <v>1203</v>
      </c>
      <c r="K328" s="150">
        <v>96</v>
      </c>
      <c r="L328" s="150">
        <v>27142</v>
      </c>
      <c r="M328" s="150">
        <v>4611.8099999999995</v>
      </c>
      <c r="N328" s="150">
        <v>0</v>
      </c>
      <c r="O328" s="150">
        <v>1045383</v>
      </c>
      <c r="P328" s="150">
        <v>1080932</v>
      </c>
      <c r="Q328" s="150">
        <v>1127811.81</v>
      </c>
      <c r="R328" s="150">
        <v>1127811.81</v>
      </c>
    </row>
    <row r="329" spans="1:18" x14ac:dyDescent="0.25">
      <c r="A329" t="str">
        <f t="shared" si="5"/>
        <v>17-3-174</v>
      </c>
      <c r="B329">
        <v>17</v>
      </c>
      <c r="C329" s="150" t="s">
        <v>1169</v>
      </c>
      <c r="D329" s="150">
        <v>3</v>
      </c>
      <c r="E329" s="150" t="s">
        <v>147</v>
      </c>
      <c r="F329" s="150">
        <v>174</v>
      </c>
      <c r="G329" s="150" t="s">
        <v>370</v>
      </c>
      <c r="H329" s="150">
        <v>0</v>
      </c>
      <c r="I329" s="150">
        <v>522144</v>
      </c>
      <c r="J329" s="150" t="s">
        <v>1203</v>
      </c>
      <c r="K329" s="150">
        <v>0</v>
      </c>
      <c r="L329" s="150">
        <v>106</v>
      </c>
      <c r="M329" s="150">
        <v>8.4700000000000006</v>
      </c>
      <c r="N329" s="150">
        <v>0</v>
      </c>
      <c r="O329" s="150">
        <v>2138</v>
      </c>
      <c r="P329" s="150">
        <v>2927</v>
      </c>
      <c r="Q329" s="150">
        <v>3018.47</v>
      </c>
      <c r="R329" s="150">
        <v>3018.47</v>
      </c>
    </row>
    <row r="330" spans="1:18" x14ac:dyDescent="0.25">
      <c r="A330" t="str">
        <f t="shared" si="5"/>
        <v>28-3-175</v>
      </c>
      <c r="B330">
        <v>28</v>
      </c>
      <c r="C330" s="150" t="s">
        <v>1180</v>
      </c>
      <c r="D330" s="150">
        <v>3</v>
      </c>
      <c r="E330" s="150" t="s">
        <v>147</v>
      </c>
      <c r="F330" s="150">
        <v>175</v>
      </c>
      <c r="G330" s="150" t="s">
        <v>507</v>
      </c>
      <c r="H330" s="150">
        <v>74789</v>
      </c>
      <c r="I330" s="150">
        <v>2134640</v>
      </c>
      <c r="J330" s="150" t="s">
        <v>1203</v>
      </c>
      <c r="K330" s="150">
        <v>0</v>
      </c>
      <c r="L330" s="150">
        <v>4262</v>
      </c>
      <c r="M330" s="150">
        <v>23.42</v>
      </c>
      <c r="N330" s="150">
        <v>0</v>
      </c>
      <c r="O330" s="150">
        <v>578262</v>
      </c>
      <c r="P330" s="150">
        <v>595610</v>
      </c>
      <c r="Q330" s="150">
        <v>622943.42000000004</v>
      </c>
      <c r="R330" s="150">
        <v>622943.42000000004</v>
      </c>
    </row>
    <row r="331" spans="1:18" x14ac:dyDescent="0.25">
      <c r="A331" t="str">
        <f t="shared" si="5"/>
        <v>22-3-165</v>
      </c>
      <c r="B331">
        <v>22</v>
      </c>
      <c r="C331" s="150" t="s">
        <v>1174</v>
      </c>
      <c r="D331" s="150">
        <v>3</v>
      </c>
      <c r="E331" s="150" t="s">
        <v>147</v>
      </c>
      <c r="F331" s="150">
        <v>165</v>
      </c>
      <c r="G331" s="150" t="s">
        <v>426</v>
      </c>
      <c r="H331" s="150">
        <v>119172</v>
      </c>
      <c r="I331" s="150">
        <v>4107396</v>
      </c>
      <c r="J331" s="150" t="s">
        <v>1203</v>
      </c>
      <c r="K331" s="150">
        <v>124</v>
      </c>
      <c r="L331" s="150">
        <v>16993</v>
      </c>
      <c r="M331" s="150">
        <v>3533.14</v>
      </c>
      <c r="N331" s="150">
        <v>0</v>
      </c>
      <c r="O331" s="150">
        <v>816927</v>
      </c>
      <c r="P331" s="150">
        <v>856012</v>
      </c>
      <c r="Q331" s="150">
        <v>894735.14</v>
      </c>
      <c r="R331" s="150">
        <v>894735.14</v>
      </c>
    </row>
    <row r="332" spans="1:18" x14ac:dyDescent="0.25">
      <c r="A332" t="str">
        <f t="shared" si="5"/>
        <v>4-3-166</v>
      </c>
      <c r="B332">
        <v>4</v>
      </c>
      <c r="C332" s="150" t="s">
        <v>1196</v>
      </c>
      <c r="D332" s="150">
        <v>3</v>
      </c>
      <c r="E332" s="150" t="s">
        <v>147</v>
      </c>
      <c r="F332" s="150">
        <v>166</v>
      </c>
      <c r="G332" s="150" t="s">
        <v>751</v>
      </c>
      <c r="H332" s="150">
        <v>0</v>
      </c>
      <c r="I332" s="150">
        <v>331900</v>
      </c>
      <c r="J332" s="150" t="s">
        <v>1203</v>
      </c>
      <c r="K332" s="150">
        <v>42</v>
      </c>
      <c r="L332" s="150">
        <v>118</v>
      </c>
      <c r="M332" s="150">
        <v>8.44</v>
      </c>
      <c r="N332" s="150">
        <v>0</v>
      </c>
      <c r="O332" s="150">
        <v>37757</v>
      </c>
      <c r="P332" s="150">
        <v>40090</v>
      </c>
      <c r="Q332" s="150">
        <v>42190.44</v>
      </c>
      <c r="R332" s="150">
        <v>42190.44</v>
      </c>
    </row>
    <row r="333" spans="1:18" x14ac:dyDescent="0.25">
      <c r="A333" t="str">
        <f t="shared" si="5"/>
        <v>5-3-167</v>
      </c>
      <c r="B333">
        <v>5</v>
      </c>
      <c r="C333" s="150" t="s">
        <v>1158</v>
      </c>
      <c r="D333" s="150">
        <v>3</v>
      </c>
      <c r="E333" s="150" t="s">
        <v>147</v>
      </c>
      <c r="F333" s="150">
        <v>167</v>
      </c>
      <c r="G333" s="150" t="s">
        <v>760</v>
      </c>
      <c r="H333" s="150">
        <v>87939</v>
      </c>
      <c r="I333" s="150">
        <v>1276808</v>
      </c>
      <c r="J333" s="150" t="s">
        <v>1203</v>
      </c>
      <c r="K333" s="150">
        <v>0</v>
      </c>
      <c r="L333" s="150">
        <v>25971</v>
      </c>
      <c r="M333" s="150">
        <v>3894.71</v>
      </c>
      <c r="N333" s="150">
        <v>0</v>
      </c>
      <c r="O333" s="150">
        <v>777674</v>
      </c>
      <c r="P333" s="150">
        <v>800225</v>
      </c>
      <c r="Q333" s="150">
        <v>827299.71</v>
      </c>
      <c r="R333" s="150">
        <v>827299.71</v>
      </c>
    </row>
    <row r="334" spans="1:18" x14ac:dyDescent="0.25">
      <c r="A334" t="str">
        <f t="shared" si="5"/>
        <v>19-3-176</v>
      </c>
      <c r="B334">
        <v>19</v>
      </c>
      <c r="C334" s="150" t="s">
        <v>1171</v>
      </c>
      <c r="D334" s="150">
        <v>3</v>
      </c>
      <c r="E334" s="150" t="s">
        <v>147</v>
      </c>
      <c r="F334" s="150">
        <v>176</v>
      </c>
      <c r="G334" s="150" t="s">
        <v>390</v>
      </c>
      <c r="H334" s="150">
        <v>703</v>
      </c>
      <c r="I334" s="150">
        <v>190663</v>
      </c>
      <c r="J334" s="150" t="s">
        <v>1203</v>
      </c>
      <c r="K334" s="150">
        <v>0</v>
      </c>
      <c r="L334" s="150">
        <v>659</v>
      </c>
      <c r="M334" s="150">
        <v>139.41</v>
      </c>
      <c r="N334" s="150">
        <v>0</v>
      </c>
      <c r="O334" s="150">
        <v>87928</v>
      </c>
      <c r="P334" s="150">
        <v>93905</v>
      </c>
      <c r="Q334" s="150">
        <v>97823.41</v>
      </c>
      <c r="R334" s="150">
        <v>97823.41</v>
      </c>
    </row>
    <row r="335" spans="1:18" x14ac:dyDescent="0.25">
      <c r="A335" t="str">
        <f t="shared" si="5"/>
        <v>1-3-203</v>
      </c>
      <c r="B335">
        <v>1</v>
      </c>
      <c r="C335" s="150" t="s">
        <v>1155</v>
      </c>
      <c r="D335" s="150">
        <v>3</v>
      </c>
      <c r="E335" s="150" t="s">
        <v>147</v>
      </c>
      <c r="F335" s="150">
        <v>203</v>
      </c>
      <c r="G335" s="150" t="s">
        <v>313</v>
      </c>
      <c r="H335" s="150">
        <v>663040</v>
      </c>
      <c r="I335" s="150">
        <v>18978782</v>
      </c>
      <c r="J335" s="150">
        <v>1</v>
      </c>
      <c r="K335" s="150">
        <v>434</v>
      </c>
      <c r="L335" s="150">
        <v>3556</v>
      </c>
      <c r="M335" s="150">
        <v>464.26</v>
      </c>
      <c r="N335" s="150">
        <v>0</v>
      </c>
      <c r="O335" s="150">
        <v>1606076</v>
      </c>
      <c r="P335" s="150">
        <v>1734562</v>
      </c>
      <c r="Q335" s="150">
        <v>1869337.26</v>
      </c>
      <c r="R335" s="150">
        <v>1869337.26</v>
      </c>
    </row>
    <row r="336" spans="1:18" x14ac:dyDescent="0.25">
      <c r="A336" t="str">
        <f t="shared" si="5"/>
        <v>14-3-203</v>
      </c>
      <c r="B336">
        <v>14</v>
      </c>
      <c r="C336" s="150" t="s">
        <v>1166</v>
      </c>
      <c r="D336" s="150">
        <v>3</v>
      </c>
      <c r="E336" s="150" t="s">
        <v>147</v>
      </c>
      <c r="F336" s="150">
        <v>203</v>
      </c>
      <c r="G336" s="150" t="s">
        <v>313</v>
      </c>
      <c r="H336" s="150">
        <v>663040</v>
      </c>
      <c r="I336" s="150">
        <v>427577</v>
      </c>
      <c r="J336" s="150">
        <v>1</v>
      </c>
      <c r="K336" s="150">
        <v>434</v>
      </c>
      <c r="L336" s="150">
        <v>3556</v>
      </c>
      <c r="M336" s="150">
        <v>464.26</v>
      </c>
      <c r="N336" s="150">
        <v>0</v>
      </c>
      <c r="O336" s="150">
        <v>1606076</v>
      </c>
      <c r="P336" s="150">
        <v>1734562</v>
      </c>
      <c r="Q336" s="150">
        <v>1869337.26</v>
      </c>
      <c r="R336" s="150">
        <v>1869337.26</v>
      </c>
    </row>
    <row r="337" spans="1:18" x14ac:dyDescent="0.25">
      <c r="A337" t="str">
        <f t="shared" si="5"/>
        <v>25-3-178</v>
      </c>
      <c r="B337">
        <v>25</v>
      </c>
      <c r="C337" s="150" t="s">
        <v>1177</v>
      </c>
      <c r="D337" s="150">
        <v>3</v>
      </c>
      <c r="E337" s="150" t="s">
        <v>147</v>
      </c>
      <c r="F337" s="150">
        <v>178</v>
      </c>
      <c r="G337" s="150" t="s">
        <v>457</v>
      </c>
      <c r="H337" s="150">
        <v>148</v>
      </c>
      <c r="I337" s="150">
        <v>512419</v>
      </c>
      <c r="J337" s="150" t="s">
        <v>1203</v>
      </c>
      <c r="K337" s="150">
        <v>0</v>
      </c>
      <c r="L337" s="150">
        <v>394</v>
      </c>
      <c r="M337" s="150">
        <v>2.59</v>
      </c>
      <c r="N337" s="150">
        <v>0</v>
      </c>
      <c r="O337" s="150">
        <v>23826</v>
      </c>
      <c r="P337" s="150">
        <v>24819</v>
      </c>
      <c r="Q337" s="150">
        <v>24821.59</v>
      </c>
      <c r="R337" s="150">
        <v>24821.59</v>
      </c>
    </row>
    <row r="338" spans="1:18" x14ac:dyDescent="0.25">
      <c r="A338" t="str">
        <f t="shared" si="5"/>
        <v>33-3-179</v>
      </c>
      <c r="B338">
        <v>33</v>
      </c>
      <c r="C338" s="150" t="s">
        <v>1185</v>
      </c>
      <c r="D338" s="150">
        <v>3</v>
      </c>
      <c r="E338" s="150" t="s">
        <v>147</v>
      </c>
      <c r="F338" s="150">
        <v>179</v>
      </c>
      <c r="G338" s="150" t="s">
        <v>570</v>
      </c>
      <c r="H338" s="150">
        <v>27483</v>
      </c>
      <c r="I338" s="150">
        <v>2386032</v>
      </c>
      <c r="J338" s="150" t="s">
        <v>1203</v>
      </c>
      <c r="K338" s="150">
        <v>0</v>
      </c>
      <c r="L338" s="150">
        <v>1601</v>
      </c>
      <c r="M338" s="150">
        <v>555.78</v>
      </c>
      <c r="N338" s="150">
        <v>0</v>
      </c>
      <c r="O338" s="150">
        <v>203569</v>
      </c>
      <c r="P338" s="150">
        <v>215590</v>
      </c>
      <c r="Q338" s="150">
        <v>228011.78</v>
      </c>
      <c r="R338" s="150">
        <v>228011.78</v>
      </c>
    </row>
    <row r="339" spans="1:18" x14ac:dyDescent="0.25">
      <c r="A339" t="str">
        <f t="shared" si="5"/>
        <v>7-3-180</v>
      </c>
      <c r="B339">
        <v>7</v>
      </c>
      <c r="C339" s="150" t="s">
        <v>1199</v>
      </c>
      <c r="D339" s="150">
        <v>3</v>
      </c>
      <c r="E339" s="150" t="s">
        <v>147</v>
      </c>
      <c r="F339" s="150">
        <v>180</v>
      </c>
      <c r="G339" s="150" t="s">
        <v>244</v>
      </c>
      <c r="H339" s="150">
        <v>1143859</v>
      </c>
      <c r="I339" s="150">
        <v>4525469</v>
      </c>
      <c r="J339" s="150" t="s">
        <v>1203</v>
      </c>
      <c r="K339" s="150">
        <v>0</v>
      </c>
      <c r="L339" s="150">
        <v>1267</v>
      </c>
      <c r="M339" s="150">
        <v>214.01</v>
      </c>
      <c r="N339" s="150">
        <v>0</v>
      </c>
      <c r="O339" s="150">
        <v>2531459</v>
      </c>
      <c r="P339" s="150">
        <v>2490926</v>
      </c>
      <c r="Q339" s="150">
        <v>2775413.01</v>
      </c>
      <c r="R339" s="150">
        <v>2775413.01</v>
      </c>
    </row>
    <row r="340" spans="1:18" x14ac:dyDescent="0.25">
      <c r="A340" t="str">
        <f t="shared" si="5"/>
        <v>10-3-181</v>
      </c>
      <c r="B340">
        <v>10</v>
      </c>
      <c r="C340" s="150" t="s">
        <v>1162</v>
      </c>
      <c r="D340" s="150">
        <v>3</v>
      </c>
      <c r="E340" s="150" t="s">
        <v>147</v>
      </c>
      <c r="F340" s="150">
        <v>181</v>
      </c>
      <c r="G340" s="150" t="s">
        <v>284</v>
      </c>
      <c r="H340" s="150">
        <v>0</v>
      </c>
      <c r="I340" s="150">
        <v>553920</v>
      </c>
      <c r="J340" s="150" t="s">
        <v>1203</v>
      </c>
      <c r="K340" s="150">
        <v>0</v>
      </c>
      <c r="L340" s="150">
        <v>0</v>
      </c>
      <c r="M340" s="150">
        <v>52.76</v>
      </c>
      <c r="N340" s="150">
        <v>0</v>
      </c>
      <c r="O340" s="150">
        <v>17641</v>
      </c>
      <c r="P340" s="150">
        <v>19052</v>
      </c>
      <c r="Q340" s="150">
        <v>20575.759999999998</v>
      </c>
      <c r="R340" s="150">
        <v>20575.759999999998</v>
      </c>
    </row>
    <row r="341" spans="1:18" x14ac:dyDescent="0.25">
      <c r="A341" t="str">
        <f t="shared" si="5"/>
        <v>5-3-182</v>
      </c>
      <c r="B341">
        <v>5</v>
      </c>
      <c r="C341" s="150" t="s">
        <v>1158</v>
      </c>
      <c r="D341" s="150">
        <v>3</v>
      </c>
      <c r="E341" s="150" t="s">
        <v>147</v>
      </c>
      <c r="F341" s="150">
        <v>182</v>
      </c>
      <c r="G341" s="150" t="s">
        <v>217</v>
      </c>
      <c r="H341" s="150">
        <v>434</v>
      </c>
      <c r="I341" s="150">
        <v>0</v>
      </c>
      <c r="J341" s="150" t="s">
        <v>1203</v>
      </c>
      <c r="K341" s="150">
        <v>188</v>
      </c>
      <c r="L341" s="150">
        <v>349</v>
      </c>
      <c r="M341" s="150">
        <v>0</v>
      </c>
      <c r="N341" s="150">
        <v>0</v>
      </c>
      <c r="O341" s="150">
        <v>12933</v>
      </c>
      <c r="P341" s="150">
        <v>13733</v>
      </c>
      <c r="Q341" s="150">
        <v>14832</v>
      </c>
      <c r="R341" s="150">
        <v>14832</v>
      </c>
    </row>
    <row r="342" spans="1:18" x14ac:dyDescent="0.25">
      <c r="A342" t="str">
        <f t="shared" si="5"/>
        <v>22-3-183</v>
      </c>
      <c r="B342">
        <v>22</v>
      </c>
      <c r="C342" s="150" t="s">
        <v>1174</v>
      </c>
      <c r="D342" s="150">
        <v>3</v>
      </c>
      <c r="E342" s="150" t="s">
        <v>147</v>
      </c>
      <c r="F342" s="150">
        <v>183</v>
      </c>
      <c r="G342" s="150" t="s">
        <v>427</v>
      </c>
      <c r="H342" s="150">
        <v>0</v>
      </c>
      <c r="I342" s="150">
        <v>267478</v>
      </c>
      <c r="J342" s="150" t="s">
        <v>1203</v>
      </c>
      <c r="K342" s="150">
        <v>31</v>
      </c>
      <c r="L342" s="150">
        <v>90</v>
      </c>
      <c r="M342" s="150">
        <v>18.09</v>
      </c>
      <c r="N342" s="150">
        <v>0</v>
      </c>
      <c r="O342" s="150">
        <v>25947</v>
      </c>
      <c r="P342" s="150">
        <v>27135</v>
      </c>
      <c r="Q342" s="150">
        <v>27860.09</v>
      </c>
      <c r="R342" s="150">
        <v>27860.09</v>
      </c>
    </row>
    <row r="343" spans="1:18" x14ac:dyDescent="0.25">
      <c r="A343" t="str">
        <f t="shared" si="5"/>
        <v>41-3-184</v>
      </c>
      <c r="B343">
        <v>41</v>
      </c>
      <c r="C343" s="150" t="s">
        <v>1191</v>
      </c>
      <c r="D343" s="150">
        <v>3</v>
      </c>
      <c r="E343" s="150" t="s">
        <v>147</v>
      </c>
      <c r="F343" s="150">
        <v>184</v>
      </c>
      <c r="G343" s="150" t="s">
        <v>637</v>
      </c>
      <c r="H343" s="150">
        <v>0</v>
      </c>
      <c r="I343" s="150">
        <v>127126</v>
      </c>
      <c r="J343" s="150" t="s">
        <v>1203</v>
      </c>
      <c r="K343" s="150">
        <v>198</v>
      </c>
      <c r="L343" s="150">
        <v>529</v>
      </c>
      <c r="M343" s="150">
        <v>0</v>
      </c>
      <c r="N343" s="150">
        <v>0</v>
      </c>
      <c r="O343" s="150">
        <v>33193</v>
      </c>
      <c r="P343" s="150">
        <v>34478</v>
      </c>
      <c r="Q343" s="150">
        <v>35641</v>
      </c>
      <c r="R343" s="150">
        <v>35641</v>
      </c>
    </row>
    <row r="344" spans="1:18" x14ac:dyDescent="0.25">
      <c r="A344" t="str">
        <f t="shared" si="5"/>
        <v>29-3-185</v>
      </c>
      <c r="B344">
        <v>29</v>
      </c>
      <c r="C344" s="150" t="s">
        <v>1181</v>
      </c>
      <c r="D344" s="150">
        <v>3</v>
      </c>
      <c r="E344" s="150" t="s">
        <v>147</v>
      </c>
      <c r="F344" s="150">
        <v>185</v>
      </c>
      <c r="G344" s="150" t="s">
        <v>532</v>
      </c>
      <c r="H344" s="150">
        <v>1582</v>
      </c>
      <c r="I344" s="150">
        <v>3358746</v>
      </c>
      <c r="J344" s="150" t="s">
        <v>1203</v>
      </c>
      <c r="K344" s="150">
        <v>109</v>
      </c>
      <c r="L344" s="150">
        <v>3642</v>
      </c>
      <c r="M344" s="150">
        <v>1820.3400000000001</v>
      </c>
      <c r="N344" s="150">
        <v>0</v>
      </c>
      <c r="O344" s="150">
        <v>238751</v>
      </c>
      <c r="P344" s="150">
        <v>246803</v>
      </c>
      <c r="Q344" s="150">
        <v>257121</v>
      </c>
      <c r="R344" s="150">
        <v>257121</v>
      </c>
    </row>
    <row r="345" spans="1:18" x14ac:dyDescent="0.25">
      <c r="A345" t="str">
        <f t="shared" si="5"/>
        <v>42-3-186</v>
      </c>
      <c r="B345">
        <v>42</v>
      </c>
      <c r="C345" s="150" t="s">
        <v>1194</v>
      </c>
      <c r="D345" s="150">
        <v>3</v>
      </c>
      <c r="E345" s="150" t="s">
        <v>147</v>
      </c>
      <c r="F345" s="150">
        <v>186</v>
      </c>
      <c r="G345" s="150" t="s">
        <v>651</v>
      </c>
      <c r="H345" s="150">
        <v>1304028</v>
      </c>
      <c r="I345" s="150">
        <v>35875516</v>
      </c>
      <c r="J345" s="150" t="s">
        <v>1203</v>
      </c>
      <c r="K345" s="150">
        <v>1073</v>
      </c>
      <c r="L345" s="150">
        <v>294689</v>
      </c>
      <c r="M345" s="150">
        <v>77807.260000000009</v>
      </c>
      <c r="N345" s="150">
        <v>0</v>
      </c>
      <c r="O345" s="150">
        <v>25432027</v>
      </c>
      <c r="P345" s="150">
        <v>27009389</v>
      </c>
      <c r="Q345" s="150">
        <v>29415693.260000002</v>
      </c>
      <c r="R345" s="150">
        <v>29415693.260000002</v>
      </c>
    </row>
    <row r="346" spans="1:18" x14ac:dyDescent="0.25">
      <c r="A346" t="str">
        <f t="shared" si="5"/>
        <v>10-3-187</v>
      </c>
      <c r="B346">
        <v>10</v>
      </c>
      <c r="C346" s="150" t="s">
        <v>1162</v>
      </c>
      <c r="D346" s="150">
        <v>3</v>
      </c>
      <c r="E346" s="150" t="s">
        <v>147</v>
      </c>
      <c r="F346" s="150">
        <v>187</v>
      </c>
      <c r="G346" s="150" t="s">
        <v>285</v>
      </c>
      <c r="H346" s="150">
        <v>26534</v>
      </c>
      <c r="I346" s="150">
        <v>766247</v>
      </c>
      <c r="J346" s="150" t="s">
        <v>1203</v>
      </c>
      <c r="K346" s="150">
        <v>28</v>
      </c>
      <c r="L346" s="150">
        <v>1235</v>
      </c>
      <c r="M346" s="150">
        <v>228.92</v>
      </c>
      <c r="N346" s="150">
        <v>0</v>
      </c>
      <c r="O346" s="150">
        <v>96495</v>
      </c>
      <c r="P346" s="150">
        <v>97663</v>
      </c>
      <c r="Q346" s="150">
        <v>97891.92</v>
      </c>
      <c r="R346" s="150">
        <v>97891.92</v>
      </c>
    </row>
    <row r="347" spans="1:18" x14ac:dyDescent="0.25">
      <c r="A347" t="str">
        <f t="shared" si="5"/>
        <v>41-3-188</v>
      </c>
      <c r="B347">
        <v>41</v>
      </c>
      <c r="C347" s="150" t="s">
        <v>1191</v>
      </c>
      <c r="D347" s="150">
        <v>3</v>
      </c>
      <c r="E347" s="150" t="s">
        <v>147</v>
      </c>
      <c r="F347" s="150">
        <v>188</v>
      </c>
      <c r="G347" s="150" t="s">
        <v>638</v>
      </c>
      <c r="H347" s="150">
        <v>2380</v>
      </c>
      <c r="I347" s="150">
        <v>1530436</v>
      </c>
      <c r="J347" s="150" t="s">
        <v>1203</v>
      </c>
      <c r="K347" s="150">
        <v>87</v>
      </c>
      <c r="L347" s="150">
        <v>4695</v>
      </c>
      <c r="M347" s="150">
        <v>414.72</v>
      </c>
      <c r="N347" s="150">
        <v>0</v>
      </c>
      <c r="O347" s="150">
        <v>518382</v>
      </c>
      <c r="P347" s="150">
        <v>539425</v>
      </c>
      <c r="Q347" s="150">
        <v>569835.72</v>
      </c>
      <c r="R347" s="150">
        <v>569835.72</v>
      </c>
    </row>
    <row r="348" spans="1:18" x14ac:dyDescent="0.25">
      <c r="A348" t="str">
        <f t="shared" si="5"/>
        <v>40-3-189</v>
      </c>
      <c r="B348">
        <v>40</v>
      </c>
      <c r="C348" s="150" t="s">
        <v>1190</v>
      </c>
      <c r="D348" s="150">
        <v>3</v>
      </c>
      <c r="E348" s="150" t="s">
        <v>147</v>
      </c>
      <c r="F348" s="150">
        <v>189</v>
      </c>
      <c r="G348" s="150" t="s">
        <v>630</v>
      </c>
      <c r="H348" s="150">
        <v>2958</v>
      </c>
      <c r="I348" s="150">
        <v>1244476</v>
      </c>
      <c r="J348" s="150" t="s">
        <v>1203</v>
      </c>
      <c r="K348" s="150">
        <v>0</v>
      </c>
      <c r="L348" s="150">
        <v>13331</v>
      </c>
      <c r="M348" s="150">
        <v>515.91</v>
      </c>
      <c r="N348" s="150">
        <v>0</v>
      </c>
      <c r="O348" s="150">
        <v>497054</v>
      </c>
      <c r="P348" s="150">
        <v>511999</v>
      </c>
      <c r="Q348" s="150">
        <v>527644.91</v>
      </c>
      <c r="R348" s="150">
        <v>527644.91</v>
      </c>
    </row>
    <row r="349" spans="1:18" x14ac:dyDescent="0.25">
      <c r="A349" t="str">
        <f t="shared" si="5"/>
        <v>40-3-190</v>
      </c>
      <c r="B349">
        <v>40</v>
      </c>
      <c r="C349" s="150" t="s">
        <v>1190</v>
      </c>
      <c r="D349" s="150">
        <v>3</v>
      </c>
      <c r="E349" s="150" t="s">
        <v>147</v>
      </c>
      <c r="F349" s="150">
        <v>190</v>
      </c>
      <c r="G349" s="150" t="s">
        <v>631</v>
      </c>
      <c r="H349" s="150">
        <v>292</v>
      </c>
      <c r="I349" s="150">
        <v>525069</v>
      </c>
      <c r="J349" s="150" t="s">
        <v>1203</v>
      </c>
      <c r="K349" s="150">
        <v>0</v>
      </c>
      <c r="L349" s="150">
        <v>18</v>
      </c>
      <c r="M349" s="150">
        <v>3.18</v>
      </c>
      <c r="N349" s="150">
        <v>0</v>
      </c>
      <c r="O349" s="150">
        <v>69113</v>
      </c>
      <c r="P349" s="150">
        <v>71186</v>
      </c>
      <c r="Q349" s="150">
        <v>73399.179999999993</v>
      </c>
      <c r="R349" s="150">
        <v>73399.179999999993</v>
      </c>
    </row>
    <row r="350" spans="1:18" x14ac:dyDescent="0.25">
      <c r="A350" t="str">
        <f t="shared" si="5"/>
        <v>18-3-192</v>
      </c>
      <c r="B350">
        <v>18</v>
      </c>
      <c r="C350" s="150" t="s">
        <v>1170</v>
      </c>
      <c r="D350" s="150">
        <v>3</v>
      </c>
      <c r="E350" s="150" t="s">
        <v>147</v>
      </c>
      <c r="F350" s="150">
        <v>192</v>
      </c>
      <c r="G350" s="150" t="s">
        <v>377</v>
      </c>
      <c r="H350" s="150">
        <v>548</v>
      </c>
      <c r="I350" s="150">
        <v>46110</v>
      </c>
      <c r="J350" s="150" t="s">
        <v>1203</v>
      </c>
      <c r="K350" s="150">
        <v>0</v>
      </c>
      <c r="L350" s="150">
        <v>3024</v>
      </c>
      <c r="M350" s="150">
        <v>661.71</v>
      </c>
      <c r="N350" s="150">
        <v>0</v>
      </c>
      <c r="O350" s="150">
        <v>186760</v>
      </c>
      <c r="P350" s="150">
        <v>192363</v>
      </c>
      <c r="Q350" s="150">
        <v>198133.71</v>
      </c>
      <c r="R350" s="150">
        <v>198133.71</v>
      </c>
    </row>
    <row r="351" spans="1:18" x14ac:dyDescent="0.25">
      <c r="A351" t="str">
        <f t="shared" si="5"/>
        <v>44-3-193</v>
      </c>
      <c r="B351">
        <v>44</v>
      </c>
      <c r="C351" s="150" t="s">
        <v>1193</v>
      </c>
      <c r="D351" s="150">
        <v>3</v>
      </c>
      <c r="E351" s="150" t="s">
        <v>147</v>
      </c>
      <c r="F351" s="150">
        <v>193</v>
      </c>
      <c r="G351" s="150" t="s">
        <v>671</v>
      </c>
      <c r="H351" s="150">
        <v>104548</v>
      </c>
      <c r="I351" s="150">
        <v>5828681</v>
      </c>
      <c r="J351" s="150" t="s">
        <v>1203</v>
      </c>
      <c r="K351" s="150">
        <v>2351</v>
      </c>
      <c r="L351" s="150">
        <v>39314</v>
      </c>
      <c r="M351" s="150">
        <v>8444.5399999999991</v>
      </c>
      <c r="N351" s="150">
        <v>0</v>
      </c>
      <c r="O351" s="150">
        <v>1946140</v>
      </c>
      <c r="P351" s="150">
        <v>2016120</v>
      </c>
      <c r="Q351" s="150">
        <v>2084012.3900000001</v>
      </c>
      <c r="R351" s="150">
        <v>2084012.54</v>
      </c>
    </row>
    <row r="352" spans="1:18" x14ac:dyDescent="0.25">
      <c r="A352" t="str">
        <f t="shared" si="5"/>
        <v>24-3-194</v>
      </c>
      <c r="B352">
        <v>24</v>
      </c>
      <c r="C352" s="150" t="s">
        <v>1176</v>
      </c>
      <c r="D352" s="150">
        <v>3</v>
      </c>
      <c r="E352" s="150" t="s">
        <v>147</v>
      </c>
      <c r="F352" s="150">
        <v>194</v>
      </c>
      <c r="G352" s="150" t="s">
        <v>438</v>
      </c>
      <c r="H352" s="150">
        <v>0</v>
      </c>
      <c r="I352" s="150">
        <v>1224092</v>
      </c>
      <c r="J352" s="150" t="s">
        <v>1203</v>
      </c>
      <c r="K352" s="150">
        <v>2017</v>
      </c>
      <c r="L352" s="150">
        <v>12638</v>
      </c>
      <c r="M352" s="150">
        <v>1770.21</v>
      </c>
      <c r="N352" s="150">
        <v>0</v>
      </c>
      <c r="O352" s="150">
        <v>711106</v>
      </c>
      <c r="P352" s="150">
        <v>741176</v>
      </c>
      <c r="Q352" s="150">
        <v>768767.21</v>
      </c>
      <c r="R352" s="150">
        <v>768767.21</v>
      </c>
    </row>
    <row r="353" spans="1:18" x14ac:dyDescent="0.25">
      <c r="A353" t="str">
        <f t="shared" si="5"/>
        <v>21-3-195</v>
      </c>
      <c r="B353">
        <v>21</v>
      </c>
      <c r="C353" s="150" t="s">
        <v>1173</v>
      </c>
      <c r="D353" s="150">
        <v>3</v>
      </c>
      <c r="E353" s="150" t="s">
        <v>147</v>
      </c>
      <c r="F353" s="150">
        <v>195</v>
      </c>
      <c r="G353" s="150" t="s">
        <v>408</v>
      </c>
      <c r="H353" s="150">
        <v>1362</v>
      </c>
      <c r="I353" s="150">
        <v>4072784</v>
      </c>
      <c r="J353" s="150" t="s">
        <v>1203</v>
      </c>
      <c r="K353" s="150">
        <v>145</v>
      </c>
      <c r="L353" s="150">
        <v>467</v>
      </c>
      <c r="M353" s="150">
        <v>86.490000000000009</v>
      </c>
      <c r="N353" s="150">
        <v>0</v>
      </c>
      <c r="O353" s="150">
        <v>56486</v>
      </c>
      <c r="P353" s="150">
        <v>59311</v>
      </c>
      <c r="Q353" s="150">
        <v>61560.49</v>
      </c>
      <c r="R353" s="150">
        <v>61560.49</v>
      </c>
    </row>
    <row r="354" spans="1:18" x14ac:dyDescent="0.25">
      <c r="A354" t="str">
        <f t="shared" si="5"/>
        <v>25-3-196</v>
      </c>
      <c r="B354">
        <v>25</v>
      </c>
      <c r="C354" s="150" t="s">
        <v>1177</v>
      </c>
      <c r="D354" s="150">
        <v>3</v>
      </c>
      <c r="E354" s="150" t="s">
        <v>147</v>
      </c>
      <c r="F354" s="150">
        <v>196</v>
      </c>
      <c r="G354" s="150" t="s">
        <v>458</v>
      </c>
      <c r="H354" s="150">
        <v>1830</v>
      </c>
      <c r="I354" s="150">
        <v>65684</v>
      </c>
      <c r="J354" s="150" t="s">
        <v>1203</v>
      </c>
      <c r="K354" s="150">
        <v>0</v>
      </c>
      <c r="L354" s="150">
        <v>200</v>
      </c>
      <c r="M354" s="150">
        <v>0</v>
      </c>
      <c r="N354" s="150">
        <v>0</v>
      </c>
      <c r="O354" s="150">
        <v>19403</v>
      </c>
      <c r="P354" s="150">
        <v>19985</v>
      </c>
      <c r="Q354" s="150">
        <v>20585</v>
      </c>
      <c r="R354" s="150">
        <v>20585</v>
      </c>
    </row>
    <row r="355" spans="1:18" x14ac:dyDescent="0.25">
      <c r="A355" t="str">
        <f t="shared" si="5"/>
        <v>14-3-197</v>
      </c>
      <c r="B355">
        <v>14</v>
      </c>
      <c r="C355" s="150" t="s">
        <v>1166</v>
      </c>
      <c r="D355" s="150">
        <v>3</v>
      </c>
      <c r="E355" s="150" t="s">
        <v>147</v>
      </c>
      <c r="F355" s="150">
        <v>197</v>
      </c>
      <c r="G355" s="150" t="s">
        <v>314</v>
      </c>
      <c r="H355" s="150">
        <v>0</v>
      </c>
      <c r="I355" s="150">
        <v>1792921</v>
      </c>
      <c r="J355" s="150" t="s">
        <v>1203</v>
      </c>
      <c r="K355" s="150">
        <v>599</v>
      </c>
      <c r="L355" s="150">
        <v>7970</v>
      </c>
      <c r="M355" s="150">
        <v>670.89</v>
      </c>
      <c r="N355" s="150">
        <v>0</v>
      </c>
      <c r="O355" s="150">
        <v>376719</v>
      </c>
      <c r="P355" s="150">
        <v>400956</v>
      </c>
      <c r="Q355" s="150">
        <v>433031.89</v>
      </c>
      <c r="R355" s="150">
        <v>433031.89</v>
      </c>
    </row>
    <row r="356" spans="1:18" x14ac:dyDescent="0.25">
      <c r="A356" t="str">
        <f t="shared" si="5"/>
        <v>31-3-198</v>
      </c>
      <c r="B356">
        <v>31</v>
      </c>
      <c r="C356" s="150" t="s">
        <v>1183</v>
      </c>
      <c r="D356" s="150">
        <v>3</v>
      </c>
      <c r="E356" s="150" t="s">
        <v>147</v>
      </c>
      <c r="F356" s="150">
        <v>198</v>
      </c>
      <c r="G356" s="150" t="s">
        <v>553</v>
      </c>
      <c r="H356" s="150">
        <v>22100</v>
      </c>
      <c r="I356" s="150">
        <v>195172</v>
      </c>
      <c r="J356" s="150" t="s">
        <v>1203</v>
      </c>
      <c r="K356" s="150">
        <v>187</v>
      </c>
      <c r="L356" s="150">
        <v>1475</v>
      </c>
      <c r="M356" s="150">
        <v>9.9600000000000009</v>
      </c>
      <c r="N356" s="150">
        <v>0</v>
      </c>
      <c r="O356" s="150">
        <v>125699</v>
      </c>
      <c r="P356" s="150">
        <v>129281</v>
      </c>
      <c r="Q356" s="150">
        <v>134378.96</v>
      </c>
      <c r="R356" s="150">
        <v>134378.96</v>
      </c>
    </row>
    <row r="357" spans="1:18" x14ac:dyDescent="0.25">
      <c r="A357" t="str">
        <f t="shared" si="5"/>
        <v>28-3-199</v>
      </c>
      <c r="B357">
        <v>28</v>
      </c>
      <c r="C357" s="150" t="s">
        <v>1180</v>
      </c>
      <c r="D357" s="150">
        <v>3</v>
      </c>
      <c r="E357" s="150" t="s">
        <v>147</v>
      </c>
      <c r="F357" s="150">
        <v>199</v>
      </c>
      <c r="G357" s="150" t="s">
        <v>508</v>
      </c>
      <c r="H357" s="150">
        <v>0</v>
      </c>
      <c r="I357" s="150">
        <v>724140</v>
      </c>
      <c r="J357" s="150" t="s">
        <v>1203</v>
      </c>
      <c r="K357" s="150">
        <v>0</v>
      </c>
      <c r="L357" s="150">
        <v>212</v>
      </c>
      <c r="M357" s="150">
        <v>45.45</v>
      </c>
      <c r="N357" s="150">
        <v>0</v>
      </c>
      <c r="O357" s="150">
        <v>33573</v>
      </c>
      <c r="P357" s="150">
        <v>34673</v>
      </c>
      <c r="Q357" s="150">
        <v>35806.449999999997</v>
      </c>
      <c r="R357" s="150">
        <v>35806.449999999997</v>
      </c>
    </row>
    <row r="358" spans="1:18" x14ac:dyDescent="0.25">
      <c r="A358" t="str">
        <f t="shared" si="5"/>
        <v>17-2-17</v>
      </c>
      <c r="B358">
        <v>17</v>
      </c>
      <c r="C358" s="150" t="s">
        <v>1169</v>
      </c>
      <c r="D358" s="150">
        <v>2</v>
      </c>
      <c r="E358" s="150" t="s">
        <v>110</v>
      </c>
      <c r="F358" s="150">
        <v>17</v>
      </c>
      <c r="G358" s="150" t="s">
        <v>368</v>
      </c>
      <c r="H358" s="150">
        <v>43538</v>
      </c>
      <c r="I358" s="150">
        <v>57726539</v>
      </c>
      <c r="J358" s="150" t="s">
        <v>1203</v>
      </c>
      <c r="K358" s="150">
        <v>31271</v>
      </c>
      <c r="L358" s="150">
        <v>17394</v>
      </c>
      <c r="M358" s="150">
        <v>7828.53</v>
      </c>
      <c r="N358" s="150">
        <v>0</v>
      </c>
      <c r="O358" s="150">
        <v>743726</v>
      </c>
      <c r="P358" s="150">
        <v>766309</v>
      </c>
      <c r="Q358" s="150">
        <v>791160.53</v>
      </c>
      <c r="R358" s="150">
        <v>791160.53</v>
      </c>
    </row>
    <row r="359" spans="1:18" x14ac:dyDescent="0.25">
      <c r="A359" t="str">
        <f t="shared" si="5"/>
        <v>17-7-21</v>
      </c>
      <c r="B359">
        <v>17</v>
      </c>
      <c r="C359" s="150" t="s">
        <v>1169</v>
      </c>
      <c r="D359" s="150">
        <v>7</v>
      </c>
      <c r="E359" s="150" t="s">
        <v>681</v>
      </c>
      <c r="F359" s="150">
        <v>21</v>
      </c>
      <c r="G359" s="150" t="s">
        <v>371</v>
      </c>
      <c r="H359" s="150">
        <v>0</v>
      </c>
      <c r="I359" s="150">
        <v>57726539</v>
      </c>
      <c r="J359" s="150" t="s">
        <v>1203</v>
      </c>
      <c r="K359" s="150">
        <v>700</v>
      </c>
      <c r="L359" s="150">
        <v>365</v>
      </c>
      <c r="M359" s="150">
        <v>307.45</v>
      </c>
      <c r="N359" s="150">
        <v>0</v>
      </c>
      <c r="O359" s="150">
        <v>28118</v>
      </c>
      <c r="P359" s="150">
        <v>29452</v>
      </c>
      <c r="Q359" s="150">
        <v>30408.45</v>
      </c>
      <c r="R359" s="150">
        <v>30408.45</v>
      </c>
    </row>
    <row r="360" spans="1:18" x14ac:dyDescent="0.25">
      <c r="A360" t="str">
        <f t="shared" si="5"/>
        <v>17-14-9</v>
      </c>
      <c r="B360">
        <v>17</v>
      </c>
      <c r="C360" s="150" t="s">
        <v>1169</v>
      </c>
      <c r="D360" s="150">
        <v>14</v>
      </c>
      <c r="E360" s="150" t="s">
        <v>665</v>
      </c>
      <c r="F360" s="150">
        <v>9</v>
      </c>
      <c r="G360" s="150" t="s">
        <v>372</v>
      </c>
      <c r="H360" s="150">
        <v>1270</v>
      </c>
      <c r="I360" s="150">
        <v>57726539</v>
      </c>
      <c r="J360" s="150" t="s">
        <v>1203</v>
      </c>
      <c r="K360" s="150">
        <v>745</v>
      </c>
      <c r="L360" s="150">
        <v>381</v>
      </c>
      <c r="M360" s="150">
        <v>856.22</v>
      </c>
      <c r="N360" s="150">
        <v>0</v>
      </c>
      <c r="O360" s="150">
        <v>74500</v>
      </c>
      <c r="P360" s="150">
        <v>80173</v>
      </c>
      <c r="Q360" s="150">
        <v>80789.22</v>
      </c>
      <c r="R360" s="150">
        <v>80789.22</v>
      </c>
    </row>
    <row r="361" spans="1:18" x14ac:dyDescent="0.25">
      <c r="A361" t="str">
        <f t="shared" si="5"/>
        <v>17-4-63</v>
      </c>
      <c r="B361">
        <v>17</v>
      </c>
      <c r="C361" s="150" t="s">
        <v>1169</v>
      </c>
      <c r="D361" s="150">
        <v>4</v>
      </c>
      <c r="E361" s="150" t="s">
        <v>146</v>
      </c>
      <c r="F361" s="150">
        <v>63</v>
      </c>
      <c r="G361" s="150" t="s">
        <v>890</v>
      </c>
      <c r="H361" s="150">
        <v>0</v>
      </c>
      <c r="I361" s="150">
        <v>57726539</v>
      </c>
      <c r="J361" s="150" t="s">
        <v>1203</v>
      </c>
      <c r="K361" s="150">
        <v>0</v>
      </c>
      <c r="L361" s="150">
        <v>15555</v>
      </c>
      <c r="M361" s="150">
        <v>2759.31</v>
      </c>
      <c r="N361" s="150">
        <v>0</v>
      </c>
      <c r="O361" s="150">
        <v>19469</v>
      </c>
      <c r="P361" s="150">
        <v>20302</v>
      </c>
      <c r="Q361" s="150">
        <v>20911</v>
      </c>
      <c r="R361" s="150">
        <v>20911</v>
      </c>
    </row>
    <row r="362" spans="1:18" x14ac:dyDescent="0.25">
      <c r="A362" t="str">
        <f t="shared" si="5"/>
        <v>40-14-10</v>
      </c>
      <c r="B362">
        <v>40</v>
      </c>
      <c r="C362" s="150" t="s">
        <v>1190</v>
      </c>
      <c r="D362" s="150">
        <v>14</v>
      </c>
      <c r="E362" s="150" t="s">
        <v>665</v>
      </c>
      <c r="F362" s="150">
        <v>10</v>
      </c>
      <c r="G362" s="150" t="s">
        <v>1114</v>
      </c>
      <c r="H362" s="150">
        <v>36</v>
      </c>
      <c r="I362" s="150">
        <v>316990</v>
      </c>
      <c r="J362" s="150" t="s">
        <v>1203</v>
      </c>
      <c r="K362" s="150">
        <v>13</v>
      </c>
      <c r="L362" s="150">
        <v>311</v>
      </c>
      <c r="M362" s="150">
        <v>48.190000000000005</v>
      </c>
      <c r="N362" s="150">
        <v>0</v>
      </c>
      <c r="O362" s="150">
        <v>18762</v>
      </c>
      <c r="P362" s="150">
        <v>19325</v>
      </c>
      <c r="Q362" s="150">
        <v>19943.189999999999</v>
      </c>
      <c r="R362" s="150">
        <v>19943.189999999999</v>
      </c>
    </row>
    <row r="363" spans="1:18" x14ac:dyDescent="0.25">
      <c r="A363" t="str">
        <f t="shared" si="5"/>
        <v>40-11-6</v>
      </c>
      <c r="B363">
        <v>40</v>
      </c>
      <c r="C363" s="150" t="s">
        <v>1190</v>
      </c>
      <c r="D363" s="150">
        <v>11</v>
      </c>
      <c r="E363" s="150" t="s">
        <v>1204</v>
      </c>
      <c r="F363" s="150">
        <v>6</v>
      </c>
      <c r="G363" s="150" t="s">
        <v>1113</v>
      </c>
      <c r="H363" s="150">
        <v>0</v>
      </c>
      <c r="I363" s="150">
        <v>316990</v>
      </c>
      <c r="J363" s="150" t="s">
        <v>1203</v>
      </c>
      <c r="K363" s="150">
        <v>0</v>
      </c>
      <c r="L363" s="150">
        <v>0</v>
      </c>
      <c r="M363" s="150">
        <v>0</v>
      </c>
      <c r="N363" s="150">
        <v>0</v>
      </c>
      <c r="O363" s="150">
        <v>88000</v>
      </c>
      <c r="P363" s="150">
        <v>0</v>
      </c>
      <c r="Q363" s="150">
        <v>90813</v>
      </c>
      <c r="R363" s="150">
        <v>90813</v>
      </c>
    </row>
    <row r="364" spans="1:18" x14ac:dyDescent="0.25">
      <c r="A364" t="str">
        <f t="shared" si="5"/>
        <v>18-5-16</v>
      </c>
      <c r="B364">
        <v>18</v>
      </c>
      <c r="C364" s="150" t="s">
        <v>1170</v>
      </c>
      <c r="D364" s="150">
        <v>5</v>
      </c>
      <c r="E364" s="150" t="s">
        <v>286</v>
      </c>
      <c r="F364" s="150">
        <v>16</v>
      </c>
      <c r="G364" s="150" t="s">
        <v>895</v>
      </c>
      <c r="H364" s="150">
        <v>0</v>
      </c>
      <c r="I364" s="150">
        <v>15614526</v>
      </c>
      <c r="J364" s="150" t="s">
        <v>1203</v>
      </c>
      <c r="K364" s="150">
        <v>540</v>
      </c>
      <c r="L364" s="150">
        <v>2492</v>
      </c>
      <c r="M364" s="150">
        <v>311.17</v>
      </c>
      <c r="N364" s="150">
        <v>0</v>
      </c>
      <c r="O364" s="150">
        <v>148910</v>
      </c>
      <c r="P364" s="150">
        <v>154436</v>
      </c>
      <c r="Q364" s="150">
        <v>160052.17000000001</v>
      </c>
      <c r="R364" s="150">
        <v>160052.17000000001</v>
      </c>
    </row>
    <row r="365" spans="1:18" x14ac:dyDescent="0.25">
      <c r="A365" t="str">
        <f t="shared" si="5"/>
        <v>25-7-22</v>
      </c>
      <c r="B365">
        <v>25</v>
      </c>
      <c r="C365" s="150" t="s">
        <v>1177</v>
      </c>
      <c r="D365" s="150">
        <v>7</v>
      </c>
      <c r="E365" s="150" t="s">
        <v>681</v>
      </c>
      <c r="F365" s="150">
        <v>22</v>
      </c>
      <c r="G365" s="150" t="s">
        <v>459</v>
      </c>
      <c r="H365" s="150">
        <v>0</v>
      </c>
      <c r="I365" s="150">
        <v>49036</v>
      </c>
      <c r="J365" s="150" t="s">
        <v>1203</v>
      </c>
      <c r="K365" s="150">
        <v>13</v>
      </c>
      <c r="L365" s="150">
        <v>8</v>
      </c>
      <c r="M365" s="150">
        <v>0.02</v>
      </c>
      <c r="N365" s="150">
        <v>0</v>
      </c>
      <c r="O365" s="150">
        <v>803</v>
      </c>
      <c r="P365" s="150">
        <v>831</v>
      </c>
      <c r="Q365" s="150">
        <v>831.02</v>
      </c>
      <c r="R365" s="150">
        <v>831.02</v>
      </c>
    </row>
    <row r="366" spans="1:18" x14ac:dyDescent="0.25">
      <c r="A366" t="str">
        <f t="shared" si="5"/>
        <v>18-2-18</v>
      </c>
      <c r="B366">
        <v>18</v>
      </c>
      <c r="C366" s="150" t="s">
        <v>1170</v>
      </c>
      <c r="D366" s="150">
        <v>2</v>
      </c>
      <c r="E366" s="150" t="s">
        <v>110</v>
      </c>
      <c r="F366" s="150">
        <v>18</v>
      </c>
      <c r="G366" s="150" t="s">
        <v>373</v>
      </c>
      <c r="H366" s="150">
        <v>0</v>
      </c>
      <c r="I366" s="150">
        <v>15614526</v>
      </c>
      <c r="J366" s="150" t="s">
        <v>1203</v>
      </c>
      <c r="K366" s="150">
        <v>13194</v>
      </c>
      <c r="L366" s="150">
        <v>65569</v>
      </c>
      <c r="M366" s="150">
        <v>7897.84</v>
      </c>
      <c r="N366" s="150">
        <v>0</v>
      </c>
      <c r="O366" s="150">
        <v>3693577</v>
      </c>
      <c r="P366" s="150">
        <v>3921273</v>
      </c>
      <c r="Q366" s="150">
        <v>4063876.84</v>
      </c>
      <c r="R366" s="150">
        <v>4063876.84</v>
      </c>
    </row>
    <row r="367" spans="1:18" x14ac:dyDescent="0.25">
      <c r="A367" t="str">
        <f t="shared" si="5"/>
        <v>18-14-11</v>
      </c>
      <c r="B367">
        <v>18</v>
      </c>
      <c r="C367" s="150" t="s">
        <v>1170</v>
      </c>
      <c r="D367" s="150">
        <v>14</v>
      </c>
      <c r="E367" s="150" t="s">
        <v>665</v>
      </c>
      <c r="F367" s="150">
        <v>11</v>
      </c>
      <c r="G367" s="150" t="s">
        <v>910</v>
      </c>
      <c r="H367" s="150">
        <v>19784</v>
      </c>
      <c r="I367" s="150">
        <v>11686371</v>
      </c>
      <c r="J367" s="150" t="s">
        <v>1203</v>
      </c>
      <c r="K367" s="150">
        <v>1873</v>
      </c>
      <c r="L367" s="150">
        <v>5912</v>
      </c>
      <c r="M367" s="150">
        <v>771.27</v>
      </c>
      <c r="N367" s="150">
        <v>0</v>
      </c>
      <c r="O367" s="150">
        <v>313512</v>
      </c>
      <c r="P367" s="150">
        <v>325666</v>
      </c>
      <c r="Q367" s="150">
        <v>337769.27</v>
      </c>
      <c r="R367" s="150">
        <v>337769.27</v>
      </c>
    </row>
    <row r="368" spans="1:18" x14ac:dyDescent="0.25">
      <c r="A368" t="str">
        <f t="shared" si="5"/>
        <v>18-11-7</v>
      </c>
      <c r="B368">
        <v>18</v>
      </c>
      <c r="C368" s="150" t="s">
        <v>1170</v>
      </c>
      <c r="D368" s="150">
        <v>11</v>
      </c>
      <c r="E368" s="150" t="s">
        <v>1204</v>
      </c>
      <c r="F368" s="150">
        <v>7</v>
      </c>
      <c r="G368" s="150" t="s">
        <v>909</v>
      </c>
      <c r="H368" s="150">
        <v>40</v>
      </c>
      <c r="I368" s="150">
        <v>5997814</v>
      </c>
      <c r="J368" s="150" t="s">
        <v>1203</v>
      </c>
      <c r="K368" s="150">
        <v>779</v>
      </c>
      <c r="L368" s="150">
        <v>1685</v>
      </c>
      <c r="M368" s="150">
        <v>95.919999999999987</v>
      </c>
      <c r="N368" s="150">
        <v>0</v>
      </c>
      <c r="O368" s="150">
        <v>154088</v>
      </c>
      <c r="P368" s="150">
        <v>158711</v>
      </c>
      <c r="Q368" s="150">
        <v>164415.92000000001</v>
      </c>
      <c r="R368" s="150">
        <v>164415.92000000001</v>
      </c>
    </row>
    <row r="369" spans="1:18" x14ac:dyDescent="0.25">
      <c r="A369" t="str">
        <f t="shared" si="5"/>
        <v>18-17-3</v>
      </c>
      <c r="B369">
        <v>18</v>
      </c>
      <c r="C369" s="150" t="s">
        <v>1170</v>
      </c>
      <c r="D369" s="150">
        <v>17</v>
      </c>
      <c r="E369" s="150" t="s">
        <v>688</v>
      </c>
      <c r="F369" s="150">
        <v>3</v>
      </c>
      <c r="G369" s="150" t="s">
        <v>912</v>
      </c>
      <c r="H369" s="150">
        <v>178</v>
      </c>
      <c r="I369" s="150">
        <v>1526303</v>
      </c>
      <c r="J369" s="150" t="s">
        <v>1203</v>
      </c>
      <c r="K369" s="150">
        <v>21</v>
      </c>
      <c r="L369" s="150">
        <v>8</v>
      </c>
      <c r="M369" s="150">
        <v>2.69</v>
      </c>
      <c r="N369" s="150">
        <v>0</v>
      </c>
      <c r="O369" s="150">
        <v>1140</v>
      </c>
      <c r="P369" s="150">
        <v>1191</v>
      </c>
      <c r="Q369" s="150">
        <v>1239.69</v>
      </c>
      <c r="R369" s="150">
        <v>1239.69</v>
      </c>
    </row>
    <row r="370" spans="1:18" x14ac:dyDescent="0.25">
      <c r="A370" t="str">
        <f t="shared" si="5"/>
        <v>28-19-6</v>
      </c>
      <c r="B370">
        <v>28</v>
      </c>
      <c r="C370" s="150" t="s">
        <v>1180</v>
      </c>
      <c r="D370" s="150">
        <v>19</v>
      </c>
      <c r="E370" s="150" t="s">
        <v>1205</v>
      </c>
      <c r="F370" s="150">
        <v>6</v>
      </c>
      <c r="G370" s="150" t="s">
        <v>520</v>
      </c>
      <c r="H370" s="150">
        <v>345</v>
      </c>
      <c r="I370" s="150">
        <v>152</v>
      </c>
      <c r="J370" s="150" t="s">
        <v>1203</v>
      </c>
      <c r="K370" s="150">
        <v>0</v>
      </c>
      <c r="L370" s="150">
        <v>0</v>
      </c>
      <c r="M370" s="150">
        <v>0</v>
      </c>
      <c r="N370" s="150">
        <v>0</v>
      </c>
      <c r="O370" s="150">
        <v>6079</v>
      </c>
      <c r="P370" s="150">
        <v>6261</v>
      </c>
      <c r="Q370" s="150">
        <v>6449</v>
      </c>
      <c r="R370" s="150">
        <v>6449</v>
      </c>
    </row>
    <row r="371" spans="1:18" x14ac:dyDescent="0.25">
      <c r="A371" t="str">
        <f t="shared" si="5"/>
        <v>21-7-23</v>
      </c>
      <c r="B371">
        <v>21</v>
      </c>
      <c r="C371" s="150" t="s">
        <v>1173</v>
      </c>
      <c r="D371" s="150">
        <v>7</v>
      </c>
      <c r="E371" s="150" t="s">
        <v>681</v>
      </c>
      <c r="F371" s="150">
        <v>23</v>
      </c>
      <c r="G371" s="150" t="s">
        <v>409</v>
      </c>
      <c r="H371" s="150">
        <v>0</v>
      </c>
      <c r="I371" s="150">
        <v>4798225</v>
      </c>
      <c r="J371" s="150" t="s">
        <v>1203</v>
      </c>
      <c r="K371" s="150">
        <v>52</v>
      </c>
      <c r="L371" s="150">
        <v>23</v>
      </c>
      <c r="M371" s="150">
        <v>26.259999999999998</v>
      </c>
      <c r="N371" s="150">
        <v>0</v>
      </c>
      <c r="O371" s="150">
        <v>3841</v>
      </c>
      <c r="P371" s="150">
        <v>3955</v>
      </c>
      <c r="Q371" s="150">
        <v>4083.26</v>
      </c>
      <c r="R371" s="150">
        <v>4083.26</v>
      </c>
    </row>
    <row r="372" spans="1:18" x14ac:dyDescent="0.25">
      <c r="A372" t="str">
        <f t="shared" si="5"/>
        <v>21-7-24</v>
      </c>
      <c r="B372">
        <v>21</v>
      </c>
      <c r="C372" s="150" t="s">
        <v>1173</v>
      </c>
      <c r="D372" s="150">
        <v>7</v>
      </c>
      <c r="E372" s="150" t="s">
        <v>681</v>
      </c>
      <c r="F372" s="150">
        <v>24</v>
      </c>
      <c r="G372" s="150" t="s">
        <v>410</v>
      </c>
      <c r="H372" s="150">
        <v>523</v>
      </c>
      <c r="I372" s="150">
        <v>31229135</v>
      </c>
      <c r="J372" s="150" t="s">
        <v>1203</v>
      </c>
      <c r="K372" s="150">
        <v>297</v>
      </c>
      <c r="L372" s="150">
        <v>118</v>
      </c>
      <c r="M372" s="150">
        <v>47.67</v>
      </c>
      <c r="N372" s="150">
        <v>0</v>
      </c>
      <c r="O372" s="150">
        <v>10797</v>
      </c>
      <c r="P372" s="150">
        <v>11280</v>
      </c>
      <c r="Q372" s="150">
        <v>11841.67</v>
      </c>
      <c r="R372" s="150">
        <v>11841.67</v>
      </c>
    </row>
    <row r="373" spans="1:18" x14ac:dyDescent="0.25">
      <c r="A373" t="str">
        <f t="shared" si="5"/>
        <v>28-4-104</v>
      </c>
      <c r="B373">
        <v>28</v>
      </c>
      <c r="C373" s="150" t="s">
        <v>1180</v>
      </c>
      <c r="D373" s="150">
        <v>4</v>
      </c>
      <c r="E373" s="150" t="s">
        <v>146</v>
      </c>
      <c r="F373" s="150">
        <v>104</v>
      </c>
      <c r="G373" s="150" t="s">
        <v>1007</v>
      </c>
      <c r="H373" s="150">
        <v>0</v>
      </c>
      <c r="I373" s="150">
        <v>114072538</v>
      </c>
      <c r="J373" s="150" t="s">
        <v>1203</v>
      </c>
      <c r="K373" s="150">
        <v>2486</v>
      </c>
      <c r="L373" s="150">
        <v>179241</v>
      </c>
      <c r="M373" s="150">
        <v>24360.86</v>
      </c>
      <c r="N373" s="150">
        <v>0</v>
      </c>
      <c r="O373" s="150">
        <v>357895</v>
      </c>
      <c r="P373" s="150">
        <v>379318</v>
      </c>
      <c r="Q373" s="150">
        <v>396492</v>
      </c>
      <c r="R373" s="150">
        <v>396492</v>
      </c>
    </row>
    <row r="374" spans="1:18" x14ac:dyDescent="0.25">
      <c r="A374" t="str">
        <f t="shared" si="5"/>
        <v>10-13-6</v>
      </c>
      <c r="B374">
        <v>10</v>
      </c>
      <c r="C374" s="150" t="s">
        <v>1162</v>
      </c>
      <c r="D374" s="150">
        <v>13</v>
      </c>
      <c r="E374" s="150" t="s">
        <v>295</v>
      </c>
      <c r="F374" s="150">
        <v>6</v>
      </c>
      <c r="G374" s="150" t="s">
        <v>836</v>
      </c>
      <c r="H374" s="150">
        <v>0</v>
      </c>
      <c r="I374" s="150">
        <v>121556048</v>
      </c>
      <c r="J374" s="150" t="s">
        <v>1203</v>
      </c>
      <c r="K374" s="150">
        <v>0</v>
      </c>
      <c r="L374" s="150">
        <v>0</v>
      </c>
      <c r="M374" s="150">
        <v>4060.93</v>
      </c>
      <c r="N374" s="150">
        <v>0</v>
      </c>
      <c r="O374" s="150">
        <v>1251286</v>
      </c>
      <c r="P374" s="150">
        <v>1314005</v>
      </c>
      <c r="Q374" s="150">
        <v>1391028.93</v>
      </c>
      <c r="R374" s="150">
        <v>1391028.93</v>
      </c>
    </row>
    <row r="375" spans="1:18" x14ac:dyDescent="0.25">
      <c r="A375" t="str">
        <f t="shared" si="5"/>
        <v>1-13-5</v>
      </c>
      <c r="B375">
        <v>1</v>
      </c>
      <c r="C375" s="150" t="s">
        <v>1155</v>
      </c>
      <c r="D375" s="150">
        <v>13</v>
      </c>
      <c r="E375" s="150" t="s">
        <v>295</v>
      </c>
      <c r="F375" s="150">
        <v>5</v>
      </c>
      <c r="G375" s="150" t="s">
        <v>711</v>
      </c>
      <c r="H375" s="150">
        <v>0</v>
      </c>
      <c r="I375" s="150">
        <v>912021734</v>
      </c>
      <c r="J375" s="150">
        <v>1</v>
      </c>
      <c r="K375" s="150">
        <v>0</v>
      </c>
      <c r="L375" s="150">
        <v>56556</v>
      </c>
      <c r="M375" s="150">
        <v>12975.46</v>
      </c>
      <c r="N375" s="150">
        <v>3926</v>
      </c>
      <c r="O375" s="150">
        <v>10272174</v>
      </c>
      <c r="P375" s="150">
        <v>10865680</v>
      </c>
      <c r="Q375" s="150">
        <v>11537519.460000001</v>
      </c>
      <c r="R375" s="150">
        <v>11537519.460000001</v>
      </c>
    </row>
    <row r="376" spans="1:18" x14ac:dyDescent="0.25">
      <c r="A376" t="str">
        <f t="shared" si="5"/>
        <v>14-13-5</v>
      </c>
      <c r="B376">
        <v>14</v>
      </c>
      <c r="C376" s="150" t="s">
        <v>1166</v>
      </c>
      <c r="D376" s="150">
        <v>13</v>
      </c>
      <c r="E376" s="150" t="s">
        <v>295</v>
      </c>
      <c r="F376" s="150">
        <v>5</v>
      </c>
      <c r="G376" s="150" t="s">
        <v>711</v>
      </c>
      <c r="H376" s="150">
        <v>0</v>
      </c>
      <c r="I376" s="150">
        <v>360207213</v>
      </c>
      <c r="J376" s="150">
        <v>1</v>
      </c>
      <c r="K376" s="150">
        <v>0</v>
      </c>
      <c r="L376" s="150">
        <v>56556</v>
      </c>
      <c r="M376" s="150">
        <v>12975.46</v>
      </c>
      <c r="N376" s="150">
        <v>3926</v>
      </c>
      <c r="O376" s="150">
        <v>10272174</v>
      </c>
      <c r="P376" s="150">
        <v>10865680</v>
      </c>
      <c r="Q376" s="150">
        <v>11537519.460000001</v>
      </c>
      <c r="R376" s="150">
        <v>11537519.460000001</v>
      </c>
    </row>
    <row r="377" spans="1:18" x14ac:dyDescent="0.25">
      <c r="A377" t="str">
        <f t="shared" si="5"/>
        <v>28-14-20</v>
      </c>
      <c r="B377">
        <v>28</v>
      </c>
      <c r="C377" s="150" t="s">
        <v>1180</v>
      </c>
      <c r="D377" s="150">
        <v>14</v>
      </c>
      <c r="E377" s="150" t="s">
        <v>665</v>
      </c>
      <c r="F377" s="150">
        <v>20</v>
      </c>
      <c r="G377" s="150" t="s">
        <v>1017</v>
      </c>
      <c r="H377" s="150">
        <v>160720</v>
      </c>
      <c r="I377" s="150">
        <v>618971224</v>
      </c>
      <c r="J377" s="150">
        <v>1</v>
      </c>
      <c r="K377" s="150">
        <v>2252</v>
      </c>
      <c r="L377" s="150">
        <v>27983</v>
      </c>
      <c r="M377" s="150">
        <v>4077.14</v>
      </c>
      <c r="N377" s="150">
        <v>0</v>
      </c>
      <c r="O377" s="150">
        <v>4801450</v>
      </c>
      <c r="P377" s="150">
        <v>4997208</v>
      </c>
      <c r="Q377" s="150">
        <v>5047727.1399999997</v>
      </c>
      <c r="R377" s="150">
        <v>5047727.1399999997</v>
      </c>
    </row>
    <row r="378" spans="1:18" x14ac:dyDescent="0.25">
      <c r="A378" t="str">
        <f t="shared" si="5"/>
        <v>40-14-20</v>
      </c>
      <c r="B378">
        <v>40</v>
      </c>
      <c r="C378" s="150" t="s">
        <v>1190</v>
      </c>
      <c r="D378" s="150">
        <v>14</v>
      </c>
      <c r="E378" s="150" t="s">
        <v>665</v>
      </c>
      <c r="F378" s="150">
        <v>20</v>
      </c>
      <c r="G378" s="150" t="s">
        <v>1017</v>
      </c>
      <c r="H378" s="150">
        <v>160720</v>
      </c>
      <c r="I378" s="150">
        <v>23948748</v>
      </c>
      <c r="J378" s="150">
        <v>1</v>
      </c>
      <c r="K378" s="150">
        <v>2252</v>
      </c>
      <c r="L378" s="150">
        <v>27983</v>
      </c>
      <c r="M378" s="150">
        <v>4077.14</v>
      </c>
      <c r="N378" s="150">
        <v>0</v>
      </c>
      <c r="O378" s="150">
        <v>4801450</v>
      </c>
      <c r="P378" s="150">
        <v>4997208</v>
      </c>
      <c r="Q378" s="150">
        <v>5047727.1399999997</v>
      </c>
      <c r="R378" s="150">
        <v>5047727.1399999997</v>
      </c>
    </row>
    <row r="379" spans="1:18" x14ac:dyDescent="0.25">
      <c r="A379" t="str">
        <f t="shared" si="5"/>
        <v>28-14-56</v>
      </c>
      <c r="B379">
        <v>28</v>
      </c>
      <c r="C379" s="150" t="s">
        <v>1180</v>
      </c>
      <c r="D379" s="150">
        <v>14</v>
      </c>
      <c r="E379" s="150" t="s">
        <v>665</v>
      </c>
      <c r="F379" s="150">
        <v>56</v>
      </c>
      <c r="G379" s="150" t="s">
        <v>519</v>
      </c>
      <c r="H379" s="150">
        <v>0</v>
      </c>
      <c r="I379" s="150">
        <v>573180882</v>
      </c>
      <c r="J379" s="150">
        <v>1</v>
      </c>
      <c r="K379" s="150">
        <v>0</v>
      </c>
      <c r="L379" s="150">
        <v>0</v>
      </c>
      <c r="M379" s="150">
        <v>0</v>
      </c>
      <c r="N379" s="150">
        <v>0</v>
      </c>
      <c r="O379" s="150">
        <v>0</v>
      </c>
      <c r="P379" s="150">
        <v>0</v>
      </c>
      <c r="Q379" s="150">
        <v>0</v>
      </c>
      <c r="R379" s="150">
        <v>0</v>
      </c>
    </row>
    <row r="380" spans="1:18" x14ac:dyDescent="0.25">
      <c r="A380" t="str">
        <f t="shared" si="5"/>
        <v>40-14-56</v>
      </c>
      <c r="B380">
        <v>40</v>
      </c>
      <c r="C380" s="150" t="s">
        <v>1190</v>
      </c>
      <c r="D380" s="150">
        <v>14</v>
      </c>
      <c r="E380" s="150" t="s">
        <v>665</v>
      </c>
      <c r="F380" s="150">
        <v>56</v>
      </c>
      <c r="G380" s="150" t="s">
        <v>519</v>
      </c>
      <c r="H380" s="150">
        <v>0</v>
      </c>
      <c r="I380" s="150">
        <v>23948748</v>
      </c>
      <c r="J380" s="150">
        <v>1</v>
      </c>
      <c r="K380" s="150">
        <v>0</v>
      </c>
      <c r="L380" s="150">
        <v>0</v>
      </c>
      <c r="M380" s="150">
        <v>0</v>
      </c>
      <c r="N380" s="150">
        <v>0</v>
      </c>
      <c r="O380" s="150">
        <v>0</v>
      </c>
      <c r="P380" s="150">
        <v>0</v>
      </c>
      <c r="Q380" s="150">
        <v>0</v>
      </c>
      <c r="R380" s="150">
        <v>0</v>
      </c>
    </row>
    <row r="381" spans="1:18" x14ac:dyDescent="0.25">
      <c r="A381" t="str">
        <f t="shared" si="5"/>
        <v>9-9-129</v>
      </c>
      <c r="B381">
        <v>9</v>
      </c>
      <c r="C381" s="150" t="s">
        <v>1161</v>
      </c>
      <c r="D381" s="150">
        <v>9</v>
      </c>
      <c r="E381" s="150" t="s">
        <v>683</v>
      </c>
      <c r="F381" s="150">
        <v>129</v>
      </c>
      <c r="G381" s="150" t="s">
        <v>813</v>
      </c>
      <c r="H381" s="150">
        <v>0</v>
      </c>
      <c r="I381" s="150">
        <v>0</v>
      </c>
      <c r="J381" s="150" t="s">
        <v>1203</v>
      </c>
      <c r="K381" s="150">
        <v>0</v>
      </c>
      <c r="L381" s="150">
        <v>0</v>
      </c>
      <c r="M381" s="150">
        <v>0</v>
      </c>
      <c r="N381" s="150">
        <v>0</v>
      </c>
      <c r="O381" s="150">
        <v>141301</v>
      </c>
      <c r="P381" s="150">
        <v>148560</v>
      </c>
      <c r="Q381" s="150">
        <v>159578</v>
      </c>
      <c r="R381" s="150">
        <v>159578</v>
      </c>
    </row>
    <row r="382" spans="1:18" x14ac:dyDescent="0.25">
      <c r="A382" t="str">
        <f t="shared" si="5"/>
        <v>25-7-25</v>
      </c>
      <c r="B382">
        <v>25</v>
      </c>
      <c r="C382" s="150" t="s">
        <v>1177</v>
      </c>
      <c r="D382" s="150">
        <v>7</v>
      </c>
      <c r="E382" s="150" t="s">
        <v>681</v>
      </c>
      <c r="F382" s="150">
        <v>25</v>
      </c>
      <c r="G382" s="150" t="s">
        <v>460</v>
      </c>
      <c r="H382" s="150">
        <v>43</v>
      </c>
      <c r="I382" s="150">
        <v>3461642</v>
      </c>
      <c r="J382" s="150" t="s">
        <v>1203</v>
      </c>
      <c r="K382" s="150">
        <v>648</v>
      </c>
      <c r="L382" s="150">
        <v>385</v>
      </c>
      <c r="M382" s="150">
        <v>126.84</v>
      </c>
      <c r="N382" s="150">
        <v>0</v>
      </c>
      <c r="O382" s="150">
        <v>30249</v>
      </c>
      <c r="P382" s="150">
        <v>31648</v>
      </c>
      <c r="Q382" s="150">
        <v>32943.839999999997</v>
      </c>
      <c r="R382" s="150">
        <v>32943.839999999997</v>
      </c>
    </row>
    <row r="383" spans="1:18" x14ac:dyDescent="0.25">
      <c r="A383" t="str">
        <f t="shared" si="5"/>
        <v>25-9-12</v>
      </c>
      <c r="B383">
        <v>25</v>
      </c>
      <c r="C383" s="150" t="s">
        <v>1177</v>
      </c>
      <c r="D383" s="150">
        <v>9</v>
      </c>
      <c r="E383" s="150" t="s">
        <v>683</v>
      </c>
      <c r="F383" s="150">
        <v>12</v>
      </c>
      <c r="G383" s="150" t="s">
        <v>470</v>
      </c>
      <c r="H383" s="150">
        <v>0</v>
      </c>
      <c r="I383" s="150">
        <v>3300393</v>
      </c>
      <c r="J383" s="150" t="s">
        <v>1203</v>
      </c>
      <c r="K383" s="150">
        <v>1368</v>
      </c>
      <c r="L383" s="150">
        <v>296</v>
      </c>
      <c r="M383" s="150">
        <v>170.79999999999998</v>
      </c>
      <c r="N383" s="150">
        <v>0</v>
      </c>
      <c r="O383" s="150">
        <v>41182</v>
      </c>
      <c r="P383" s="150">
        <v>42702</v>
      </c>
      <c r="Q383" s="150">
        <v>44576.800000000003</v>
      </c>
      <c r="R383" s="150">
        <v>44576.800000000003</v>
      </c>
    </row>
    <row r="384" spans="1:18" x14ac:dyDescent="0.25">
      <c r="A384" t="str">
        <f t="shared" si="5"/>
        <v>25-11-8</v>
      </c>
      <c r="B384">
        <v>25</v>
      </c>
      <c r="C384" s="150" t="s">
        <v>1177</v>
      </c>
      <c r="D384" s="150">
        <v>11</v>
      </c>
      <c r="E384" s="150" t="s">
        <v>1204</v>
      </c>
      <c r="F384" s="150">
        <v>8</v>
      </c>
      <c r="G384" s="150" t="s">
        <v>475</v>
      </c>
      <c r="H384" s="150">
        <v>11259</v>
      </c>
      <c r="I384" s="150">
        <v>2570810</v>
      </c>
      <c r="J384" s="150" t="s">
        <v>1203</v>
      </c>
      <c r="K384" s="150">
        <v>898</v>
      </c>
      <c r="L384" s="150">
        <v>253</v>
      </c>
      <c r="M384" s="150">
        <v>106.14</v>
      </c>
      <c r="N384" s="150">
        <v>0</v>
      </c>
      <c r="O384" s="150">
        <v>22210</v>
      </c>
      <c r="P384" s="150">
        <v>22296</v>
      </c>
      <c r="Q384" s="150">
        <v>23458.14</v>
      </c>
      <c r="R384" s="150">
        <v>23458.14</v>
      </c>
    </row>
    <row r="385" spans="1:18" x14ac:dyDescent="0.25">
      <c r="A385" t="str">
        <f t="shared" si="5"/>
        <v>25-4-94</v>
      </c>
      <c r="B385">
        <v>25</v>
      </c>
      <c r="C385" s="150" t="s">
        <v>1177</v>
      </c>
      <c r="D385" s="150">
        <v>4</v>
      </c>
      <c r="E385" s="150" t="s">
        <v>146</v>
      </c>
      <c r="F385" s="150">
        <v>94</v>
      </c>
      <c r="G385" s="150" t="s">
        <v>975</v>
      </c>
      <c r="H385" s="150">
        <v>0</v>
      </c>
      <c r="I385" s="150">
        <v>5440566</v>
      </c>
      <c r="J385" s="150">
        <v>1</v>
      </c>
      <c r="K385" s="150">
        <v>729</v>
      </c>
      <c r="L385" s="150">
        <v>7161</v>
      </c>
      <c r="M385" s="150">
        <v>997.84</v>
      </c>
      <c r="N385" s="150">
        <v>0</v>
      </c>
      <c r="O385" s="150">
        <v>30160</v>
      </c>
      <c r="P385" s="150">
        <v>31368</v>
      </c>
      <c r="Q385" s="150">
        <v>32527</v>
      </c>
      <c r="R385" s="150">
        <v>32527</v>
      </c>
    </row>
    <row r="386" spans="1:18" x14ac:dyDescent="0.25">
      <c r="A386" t="str">
        <f t="shared" si="5"/>
        <v>31-4-94</v>
      </c>
      <c r="B386">
        <v>31</v>
      </c>
      <c r="C386" s="150" t="s">
        <v>1183</v>
      </c>
      <c r="D386" s="150">
        <v>4</v>
      </c>
      <c r="E386" s="150" t="s">
        <v>146</v>
      </c>
      <c r="F386" s="150">
        <v>94</v>
      </c>
      <c r="G386" s="150" t="s">
        <v>975</v>
      </c>
      <c r="H386" s="150">
        <v>0</v>
      </c>
      <c r="I386" s="150">
        <v>75</v>
      </c>
      <c r="J386" s="150">
        <v>1</v>
      </c>
      <c r="K386" s="150">
        <v>729</v>
      </c>
      <c r="L386" s="150">
        <v>7161</v>
      </c>
      <c r="M386" s="150">
        <v>997.84</v>
      </c>
      <c r="N386" s="150">
        <v>0</v>
      </c>
      <c r="O386" s="150">
        <v>30160</v>
      </c>
      <c r="P386" s="150">
        <v>31368</v>
      </c>
      <c r="Q386" s="150">
        <v>32527</v>
      </c>
      <c r="R386" s="150">
        <v>32527</v>
      </c>
    </row>
    <row r="387" spans="1:18" x14ac:dyDescent="0.25">
      <c r="A387" t="str">
        <f t="shared" si="5"/>
        <v>2-4-9</v>
      </c>
      <c r="B387">
        <v>2</v>
      </c>
      <c r="C387" s="150" t="s">
        <v>1156</v>
      </c>
      <c r="D387" s="150">
        <v>4</v>
      </c>
      <c r="E387" s="150" t="s">
        <v>146</v>
      </c>
      <c r="F387" s="150">
        <v>9</v>
      </c>
      <c r="G387" s="150" t="s">
        <v>721</v>
      </c>
      <c r="H387" s="150">
        <v>0</v>
      </c>
      <c r="I387" s="150">
        <v>51938865</v>
      </c>
      <c r="J387" s="150" t="s">
        <v>1203</v>
      </c>
      <c r="K387" s="150">
        <v>0</v>
      </c>
      <c r="L387" s="150">
        <v>1879</v>
      </c>
      <c r="M387" s="150">
        <v>132.82999999999998</v>
      </c>
      <c r="N387" s="150">
        <v>0</v>
      </c>
      <c r="O387" s="150">
        <v>15873</v>
      </c>
      <c r="P387" s="150">
        <v>18579</v>
      </c>
      <c r="Q387" s="150">
        <v>19478</v>
      </c>
      <c r="R387" s="150">
        <v>19478</v>
      </c>
    </row>
    <row r="388" spans="1:18" x14ac:dyDescent="0.25">
      <c r="A388" t="str">
        <f t="shared" si="5"/>
        <v>2-5-19</v>
      </c>
      <c r="B388">
        <v>2</v>
      </c>
      <c r="C388" s="150" t="s">
        <v>1156</v>
      </c>
      <c r="D388" s="150">
        <v>5</v>
      </c>
      <c r="E388" s="150" t="s">
        <v>286</v>
      </c>
      <c r="F388" s="150">
        <v>19</v>
      </c>
      <c r="G388" s="150" t="s">
        <v>725</v>
      </c>
      <c r="H388" s="150">
        <v>7595</v>
      </c>
      <c r="I388" s="150">
        <v>57601126</v>
      </c>
      <c r="J388" s="150" t="s">
        <v>1203</v>
      </c>
      <c r="K388" s="150">
        <v>1023</v>
      </c>
      <c r="L388" s="150">
        <v>923</v>
      </c>
      <c r="M388" s="150">
        <v>131.37</v>
      </c>
      <c r="N388" s="150">
        <v>0</v>
      </c>
      <c r="O388" s="150">
        <v>102066</v>
      </c>
      <c r="P388" s="150">
        <v>106725</v>
      </c>
      <c r="Q388" s="150">
        <v>111667.37</v>
      </c>
      <c r="R388" s="150">
        <v>111667.37</v>
      </c>
    </row>
    <row r="389" spans="1:18" x14ac:dyDescent="0.25">
      <c r="A389" t="str">
        <f t="shared" si="5"/>
        <v>2-7-26</v>
      </c>
      <c r="B389">
        <v>2</v>
      </c>
      <c r="C389" s="150" t="s">
        <v>1156</v>
      </c>
      <c r="D389" s="150">
        <v>7</v>
      </c>
      <c r="E389" s="150" t="s">
        <v>681</v>
      </c>
      <c r="F389" s="150">
        <v>26</v>
      </c>
      <c r="G389" s="150" t="s">
        <v>727</v>
      </c>
      <c r="H389" s="150">
        <v>1646</v>
      </c>
      <c r="I389" s="150">
        <v>30589752</v>
      </c>
      <c r="J389" s="150" t="s">
        <v>1203</v>
      </c>
      <c r="K389" s="150">
        <v>259</v>
      </c>
      <c r="L389" s="150">
        <v>410</v>
      </c>
      <c r="M389" s="150">
        <v>37.17</v>
      </c>
      <c r="N389" s="150">
        <v>0</v>
      </c>
      <c r="O389" s="150">
        <v>29169</v>
      </c>
      <c r="P389" s="150">
        <v>29169</v>
      </c>
      <c r="Q389" s="150">
        <v>30206.17</v>
      </c>
      <c r="R389" s="150">
        <v>30206.17</v>
      </c>
    </row>
    <row r="390" spans="1:18" x14ac:dyDescent="0.25">
      <c r="A390" t="str">
        <f t="shared" ref="A390:A453" si="6">B390&amp;"-"&amp;D390&amp;"-"&amp;F390</f>
        <v>2-9-13</v>
      </c>
      <c r="B390">
        <v>2</v>
      </c>
      <c r="C390" s="150" t="s">
        <v>1156</v>
      </c>
      <c r="D390" s="150">
        <v>9</v>
      </c>
      <c r="E390" s="150" t="s">
        <v>683</v>
      </c>
      <c r="F390" s="150">
        <v>13</v>
      </c>
      <c r="G390" s="150" t="s">
        <v>730</v>
      </c>
      <c r="H390" s="150">
        <v>4221</v>
      </c>
      <c r="I390" s="150">
        <v>0</v>
      </c>
      <c r="J390" s="150" t="s">
        <v>1203</v>
      </c>
      <c r="K390" s="150">
        <v>0</v>
      </c>
      <c r="L390" s="150">
        <v>0</v>
      </c>
      <c r="M390" s="150">
        <v>0</v>
      </c>
      <c r="N390" s="150">
        <v>0</v>
      </c>
      <c r="O390" s="150">
        <v>83172</v>
      </c>
      <c r="P390" s="150">
        <v>87216</v>
      </c>
      <c r="Q390" s="150">
        <v>91853</v>
      </c>
      <c r="R390" s="150">
        <v>91853</v>
      </c>
    </row>
    <row r="391" spans="1:18" x14ac:dyDescent="0.25">
      <c r="A391" t="str">
        <f t="shared" si="6"/>
        <v>2-14-12</v>
      </c>
      <c r="B391">
        <v>2</v>
      </c>
      <c r="C391" s="150" t="s">
        <v>1156</v>
      </c>
      <c r="D391" s="150">
        <v>14</v>
      </c>
      <c r="E391" s="150" t="s">
        <v>665</v>
      </c>
      <c r="F391" s="150">
        <v>12</v>
      </c>
      <c r="G391" s="150" t="s">
        <v>182</v>
      </c>
      <c r="H391" s="150">
        <v>19547</v>
      </c>
      <c r="I391" s="150">
        <v>30589752</v>
      </c>
      <c r="J391" s="150" t="s">
        <v>1203</v>
      </c>
      <c r="K391" s="150">
        <v>714</v>
      </c>
      <c r="L391" s="150">
        <v>961</v>
      </c>
      <c r="M391" s="150">
        <v>65.25</v>
      </c>
      <c r="N391" s="150">
        <v>0</v>
      </c>
      <c r="O391" s="150">
        <v>31675</v>
      </c>
      <c r="P391" s="150">
        <v>51675</v>
      </c>
      <c r="Q391" s="150">
        <v>66070.25</v>
      </c>
      <c r="R391" s="150">
        <v>66070.25</v>
      </c>
    </row>
    <row r="392" spans="1:18" x14ac:dyDescent="0.25">
      <c r="A392" t="str">
        <f t="shared" si="6"/>
        <v>31-4-140</v>
      </c>
      <c r="B392">
        <v>31</v>
      </c>
      <c r="C392" s="150" t="s">
        <v>1183</v>
      </c>
      <c r="D392" s="150">
        <v>4</v>
      </c>
      <c r="E392" s="150" t="s">
        <v>146</v>
      </c>
      <c r="F392" s="150">
        <v>140</v>
      </c>
      <c r="G392" s="150" t="s">
        <v>1045</v>
      </c>
      <c r="H392" s="150">
        <v>0</v>
      </c>
      <c r="I392" s="150">
        <v>125608</v>
      </c>
      <c r="J392" s="150">
        <v>1</v>
      </c>
      <c r="K392" s="150">
        <v>8351</v>
      </c>
      <c r="L392" s="150">
        <v>894</v>
      </c>
      <c r="M392" s="150">
        <v>62.08</v>
      </c>
      <c r="N392" s="150">
        <v>0</v>
      </c>
      <c r="O392" s="150">
        <v>12450</v>
      </c>
      <c r="P392" s="150">
        <v>12843</v>
      </c>
      <c r="Q392" s="150">
        <v>13249</v>
      </c>
      <c r="R392" s="150">
        <v>13249</v>
      </c>
    </row>
    <row r="393" spans="1:18" x14ac:dyDescent="0.25">
      <c r="A393" t="str">
        <f t="shared" si="6"/>
        <v>35-4-140</v>
      </c>
      <c r="B393">
        <v>35</v>
      </c>
      <c r="C393" s="150" t="s">
        <v>1195</v>
      </c>
      <c r="D393" s="150">
        <v>4</v>
      </c>
      <c r="E393" s="150" t="s">
        <v>146</v>
      </c>
      <c r="F393" s="150">
        <v>140</v>
      </c>
      <c r="G393" s="150" t="s">
        <v>1045</v>
      </c>
      <c r="H393" s="150">
        <v>0</v>
      </c>
      <c r="I393" s="150">
        <v>2784810</v>
      </c>
      <c r="J393" s="150">
        <v>1</v>
      </c>
      <c r="K393" s="150">
        <v>8351</v>
      </c>
      <c r="L393" s="150">
        <v>894</v>
      </c>
      <c r="M393" s="150">
        <v>62.08</v>
      </c>
      <c r="N393" s="150">
        <v>0</v>
      </c>
      <c r="O393" s="150">
        <v>12450</v>
      </c>
      <c r="P393" s="150">
        <v>12843</v>
      </c>
      <c r="Q393" s="150">
        <v>13249</v>
      </c>
      <c r="R393" s="150">
        <v>13249</v>
      </c>
    </row>
    <row r="394" spans="1:18" x14ac:dyDescent="0.25">
      <c r="A394" t="str">
        <f t="shared" si="6"/>
        <v>19-2-19</v>
      </c>
      <c r="B394">
        <v>19</v>
      </c>
      <c r="C394" s="150" t="s">
        <v>1171</v>
      </c>
      <c r="D394" s="150">
        <v>2</v>
      </c>
      <c r="E394" s="150" t="s">
        <v>110</v>
      </c>
      <c r="F394" s="150">
        <v>19</v>
      </c>
      <c r="G394" s="150" t="s">
        <v>387</v>
      </c>
      <c r="H394" s="150">
        <v>0</v>
      </c>
      <c r="I394" s="150">
        <v>17695549</v>
      </c>
      <c r="J394" s="150" t="s">
        <v>1203</v>
      </c>
      <c r="K394" s="150">
        <v>16407</v>
      </c>
      <c r="L394" s="150">
        <v>11562</v>
      </c>
      <c r="M394" s="150">
        <v>4448.6899999999996</v>
      </c>
      <c r="N394" s="150">
        <v>0</v>
      </c>
      <c r="O394" s="150">
        <v>33421</v>
      </c>
      <c r="P394" s="150">
        <v>1936508</v>
      </c>
      <c r="Q394" s="150">
        <v>2009521.69</v>
      </c>
      <c r="R394" s="150">
        <v>2009521.69</v>
      </c>
    </row>
    <row r="395" spans="1:18" x14ac:dyDescent="0.25">
      <c r="A395" t="str">
        <f t="shared" si="6"/>
        <v>21-7-27</v>
      </c>
      <c r="B395">
        <v>21</v>
      </c>
      <c r="C395" s="150" t="s">
        <v>1173</v>
      </c>
      <c r="D395" s="150">
        <v>7</v>
      </c>
      <c r="E395" s="150" t="s">
        <v>681</v>
      </c>
      <c r="F395" s="150">
        <v>27</v>
      </c>
      <c r="G395" s="150" t="s">
        <v>411</v>
      </c>
      <c r="H395" s="150">
        <v>10</v>
      </c>
      <c r="I395" s="150">
        <v>29518877</v>
      </c>
      <c r="J395" s="150" t="s">
        <v>1203</v>
      </c>
      <c r="K395" s="150">
        <v>438</v>
      </c>
      <c r="L395" s="150">
        <v>126</v>
      </c>
      <c r="M395" s="150">
        <v>60.39</v>
      </c>
      <c r="N395" s="150">
        <v>0</v>
      </c>
      <c r="O395" s="150">
        <v>12353</v>
      </c>
      <c r="P395" s="150">
        <v>12835</v>
      </c>
      <c r="Q395" s="150">
        <v>13315.39</v>
      </c>
      <c r="R395" s="150">
        <v>13315.39</v>
      </c>
    </row>
    <row r="396" spans="1:18" x14ac:dyDescent="0.25">
      <c r="A396" t="str">
        <f t="shared" si="6"/>
        <v>29-9-14</v>
      </c>
      <c r="B396">
        <v>29</v>
      </c>
      <c r="C396" s="150" t="s">
        <v>1181</v>
      </c>
      <c r="D396" s="150">
        <v>9</v>
      </c>
      <c r="E396" s="150" t="s">
        <v>683</v>
      </c>
      <c r="F396" s="150">
        <v>14</v>
      </c>
      <c r="G396" s="150" t="s">
        <v>1027</v>
      </c>
      <c r="H396" s="150">
        <v>1528</v>
      </c>
      <c r="I396" s="150">
        <v>4946554</v>
      </c>
      <c r="J396" s="150" t="s">
        <v>1203</v>
      </c>
      <c r="K396" s="150">
        <v>691</v>
      </c>
      <c r="L396" s="150">
        <v>915</v>
      </c>
      <c r="M396" s="150">
        <v>39.520000000000003</v>
      </c>
      <c r="N396" s="150">
        <v>0</v>
      </c>
      <c r="O396" s="150">
        <v>54963</v>
      </c>
      <c r="P396" s="150">
        <v>58686</v>
      </c>
      <c r="Q396" s="150">
        <v>61409.56</v>
      </c>
      <c r="R396" s="150">
        <v>61409.52</v>
      </c>
    </row>
    <row r="397" spans="1:18" x14ac:dyDescent="0.25">
      <c r="A397" t="str">
        <f t="shared" si="6"/>
        <v>29-17-32</v>
      </c>
      <c r="B397">
        <v>29</v>
      </c>
      <c r="C397" s="150" t="s">
        <v>1181</v>
      </c>
      <c r="D397" s="150">
        <v>17</v>
      </c>
      <c r="E397" s="150" t="s">
        <v>688</v>
      </c>
      <c r="F397" s="150">
        <v>32</v>
      </c>
      <c r="G397" s="150" t="s">
        <v>539</v>
      </c>
      <c r="H397" s="150">
        <v>2609</v>
      </c>
      <c r="I397" s="150">
        <v>5405500</v>
      </c>
      <c r="J397" s="150" t="s">
        <v>1203</v>
      </c>
      <c r="K397" s="150">
        <v>0</v>
      </c>
      <c r="L397" s="150">
        <v>520</v>
      </c>
      <c r="M397" s="150">
        <v>33.049999999999997</v>
      </c>
      <c r="N397" s="150">
        <v>0</v>
      </c>
      <c r="O397" s="150">
        <v>55068</v>
      </c>
      <c r="P397" s="150">
        <v>58335</v>
      </c>
      <c r="Q397" s="150">
        <v>60766.23</v>
      </c>
      <c r="R397" s="150">
        <v>60766.05</v>
      </c>
    </row>
    <row r="398" spans="1:18" x14ac:dyDescent="0.25">
      <c r="A398" t="str">
        <f t="shared" si="6"/>
        <v>29-7-28</v>
      </c>
      <c r="B398">
        <v>29</v>
      </c>
      <c r="C398" s="150" t="s">
        <v>1181</v>
      </c>
      <c r="D398" s="150">
        <v>7</v>
      </c>
      <c r="E398" s="150" t="s">
        <v>681</v>
      </c>
      <c r="F398" s="150">
        <v>28</v>
      </c>
      <c r="G398" s="150" t="s">
        <v>1024</v>
      </c>
      <c r="H398" s="150">
        <v>707</v>
      </c>
      <c r="I398" s="150">
        <v>6998358</v>
      </c>
      <c r="J398" s="150" t="s">
        <v>1203</v>
      </c>
      <c r="K398" s="150">
        <v>75</v>
      </c>
      <c r="L398" s="150">
        <v>149</v>
      </c>
      <c r="M398" s="150">
        <v>6.36</v>
      </c>
      <c r="N398" s="150">
        <v>0</v>
      </c>
      <c r="O398" s="150">
        <v>11389</v>
      </c>
      <c r="P398" s="150">
        <v>12009</v>
      </c>
      <c r="Q398" s="150">
        <v>12010.24</v>
      </c>
      <c r="R398" s="150">
        <v>12010.36</v>
      </c>
    </row>
    <row r="399" spans="1:18" x14ac:dyDescent="0.25">
      <c r="A399" t="str">
        <f t="shared" si="6"/>
        <v>16-7-29</v>
      </c>
      <c r="B399">
        <v>16</v>
      </c>
      <c r="C399" s="150" t="s">
        <v>1168</v>
      </c>
      <c r="D399" s="150">
        <v>7</v>
      </c>
      <c r="E399" s="150" t="s">
        <v>681</v>
      </c>
      <c r="F399" s="150">
        <v>29</v>
      </c>
      <c r="G399" s="150" t="s">
        <v>360</v>
      </c>
      <c r="H399" s="150">
        <v>174</v>
      </c>
      <c r="I399" s="150">
        <v>4376009</v>
      </c>
      <c r="J399" s="150" t="s">
        <v>1203</v>
      </c>
      <c r="K399" s="150">
        <v>770</v>
      </c>
      <c r="L399" s="150">
        <v>98</v>
      </c>
      <c r="M399" s="150">
        <v>10.11</v>
      </c>
      <c r="N399" s="150">
        <v>0</v>
      </c>
      <c r="O399" s="150">
        <v>15452</v>
      </c>
      <c r="P399" s="150">
        <v>16153</v>
      </c>
      <c r="Q399" s="150">
        <v>17468.11</v>
      </c>
      <c r="R399" s="150">
        <v>17468.11</v>
      </c>
    </row>
    <row r="400" spans="1:18" x14ac:dyDescent="0.25">
      <c r="A400" t="str">
        <f t="shared" si="6"/>
        <v>32-7-204</v>
      </c>
      <c r="B400">
        <v>32</v>
      </c>
      <c r="C400" s="150" t="s">
        <v>1184</v>
      </c>
      <c r="D400" s="150">
        <v>7</v>
      </c>
      <c r="E400" s="150" t="s">
        <v>681</v>
      </c>
      <c r="F400" s="150">
        <v>204</v>
      </c>
      <c r="G400" s="150" t="s">
        <v>561</v>
      </c>
      <c r="H400" s="150">
        <v>0</v>
      </c>
      <c r="I400" s="150">
        <v>50688113</v>
      </c>
      <c r="J400" s="150" t="s">
        <v>1203</v>
      </c>
      <c r="K400" s="150">
        <v>0</v>
      </c>
      <c r="L400" s="150">
        <v>446</v>
      </c>
      <c r="M400" s="150">
        <v>224.10000000000002</v>
      </c>
      <c r="N400" s="150">
        <v>0</v>
      </c>
      <c r="O400" s="150">
        <v>27515</v>
      </c>
      <c r="P400" s="150">
        <v>28366</v>
      </c>
      <c r="Q400" s="150">
        <v>29941.98</v>
      </c>
      <c r="R400" s="150">
        <v>29942.1</v>
      </c>
    </row>
    <row r="401" spans="1:18" x14ac:dyDescent="0.25">
      <c r="A401" t="str">
        <f t="shared" si="6"/>
        <v>32-9-160</v>
      </c>
      <c r="B401">
        <v>32</v>
      </c>
      <c r="C401" s="150" t="s">
        <v>1184</v>
      </c>
      <c r="D401" s="150">
        <v>9</v>
      </c>
      <c r="E401" s="150" t="s">
        <v>683</v>
      </c>
      <c r="F401" s="150">
        <v>160</v>
      </c>
      <c r="G401" s="150" t="s">
        <v>1059</v>
      </c>
      <c r="H401" s="150">
        <v>0</v>
      </c>
      <c r="I401" s="150">
        <v>1442938</v>
      </c>
      <c r="J401" s="150" t="s">
        <v>1203</v>
      </c>
      <c r="K401" s="150">
        <v>0</v>
      </c>
      <c r="L401" s="150">
        <v>0</v>
      </c>
      <c r="M401" s="150">
        <v>0</v>
      </c>
      <c r="N401" s="150">
        <v>0</v>
      </c>
      <c r="O401" s="150">
        <v>37685</v>
      </c>
      <c r="P401" s="150">
        <v>39535</v>
      </c>
      <c r="Q401" s="150">
        <v>41717</v>
      </c>
      <c r="R401" s="150">
        <v>41717</v>
      </c>
    </row>
    <row r="402" spans="1:18" x14ac:dyDescent="0.25">
      <c r="A402" t="str">
        <f t="shared" si="6"/>
        <v>32-11-10</v>
      </c>
      <c r="B402">
        <v>32</v>
      </c>
      <c r="C402" s="150" t="s">
        <v>1184</v>
      </c>
      <c r="D402" s="150">
        <v>11</v>
      </c>
      <c r="E402" s="150" t="s">
        <v>1204</v>
      </c>
      <c r="F402" s="150">
        <v>10</v>
      </c>
      <c r="G402" s="150" t="s">
        <v>563</v>
      </c>
      <c r="H402" s="150">
        <v>0</v>
      </c>
      <c r="I402" s="150">
        <v>43534396</v>
      </c>
      <c r="J402" s="150" t="s">
        <v>1203</v>
      </c>
      <c r="K402" s="150">
        <v>3545</v>
      </c>
      <c r="L402" s="150">
        <v>1744</v>
      </c>
      <c r="M402" s="150">
        <v>839.05</v>
      </c>
      <c r="N402" s="150">
        <v>0</v>
      </c>
      <c r="O402" s="150">
        <v>100610</v>
      </c>
      <c r="P402" s="150">
        <v>103717</v>
      </c>
      <c r="Q402" s="150">
        <v>107970.09</v>
      </c>
      <c r="R402" s="150">
        <v>107970.05</v>
      </c>
    </row>
    <row r="403" spans="1:18" x14ac:dyDescent="0.25">
      <c r="A403" t="str">
        <f t="shared" si="6"/>
        <v>32-4-130</v>
      </c>
      <c r="B403">
        <v>32</v>
      </c>
      <c r="C403" s="150" t="s">
        <v>1184</v>
      </c>
      <c r="D403" s="150">
        <v>4</v>
      </c>
      <c r="E403" s="150" t="s">
        <v>146</v>
      </c>
      <c r="F403" s="150">
        <v>130</v>
      </c>
      <c r="G403" s="150" t="s">
        <v>1054</v>
      </c>
      <c r="H403" s="150">
        <v>0</v>
      </c>
      <c r="I403" s="150">
        <v>35355585</v>
      </c>
      <c r="J403" s="150" t="s">
        <v>1203</v>
      </c>
      <c r="K403" s="150">
        <v>0</v>
      </c>
      <c r="L403" s="150">
        <v>2893</v>
      </c>
      <c r="M403" s="150">
        <v>948.36</v>
      </c>
      <c r="N403" s="150">
        <v>0</v>
      </c>
      <c r="O403" s="150">
        <v>3305</v>
      </c>
      <c r="P403" s="150">
        <v>3408</v>
      </c>
      <c r="Q403" s="150">
        <v>3544</v>
      </c>
      <c r="R403" s="150">
        <v>3544</v>
      </c>
    </row>
    <row r="404" spans="1:18" x14ac:dyDescent="0.25">
      <c r="A404" t="str">
        <f t="shared" si="6"/>
        <v>4-7-31</v>
      </c>
      <c r="B404">
        <v>4</v>
      </c>
      <c r="C404" s="150" t="s">
        <v>1196</v>
      </c>
      <c r="D404" s="150">
        <v>7</v>
      </c>
      <c r="E404" s="150" t="s">
        <v>681</v>
      </c>
      <c r="F404" s="150">
        <v>31</v>
      </c>
      <c r="G404" s="150" t="s">
        <v>206</v>
      </c>
      <c r="H404" s="150">
        <v>0</v>
      </c>
      <c r="I404" s="150">
        <v>17966049</v>
      </c>
      <c r="J404" s="150" t="s">
        <v>1203</v>
      </c>
      <c r="K404" s="150">
        <v>116</v>
      </c>
      <c r="L404" s="150">
        <v>65</v>
      </c>
      <c r="M404" s="150">
        <v>34.339999999999996</v>
      </c>
      <c r="N404" s="150">
        <v>0</v>
      </c>
      <c r="O404" s="150">
        <v>6469</v>
      </c>
      <c r="P404" s="150">
        <v>6666</v>
      </c>
      <c r="Q404" s="150">
        <v>7018.34</v>
      </c>
      <c r="R404" s="150">
        <v>7018.34</v>
      </c>
    </row>
    <row r="405" spans="1:18" x14ac:dyDescent="0.25">
      <c r="A405" t="str">
        <f t="shared" si="6"/>
        <v>43-9-177</v>
      </c>
      <c r="B405">
        <v>43</v>
      </c>
      <c r="C405" s="150" t="s">
        <v>1192</v>
      </c>
      <c r="D405" s="150">
        <v>9</v>
      </c>
      <c r="E405" s="150" t="s">
        <v>683</v>
      </c>
      <c r="F405" s="150">
        <v>177</v>
      </c>
      <c r="G405" s="150" t="s">
        <v>1141</v>
      </c>
      <c r="H405" s="150">
        <v>2347</v>
      </c>
      <c r="I405" s="150">
        <v>0</v>
      </c>
      <c r="J405" s="150" t="s">
        <v>1203</v>
      </c>
      <c r="K405" s="150">
        <v>0</v>
      </c>
      <c r="L405" s="150">
        <v>2117</v>
      </c>
      <c r="M405" s="150">
        <v>230.11</v>
      </c>
      <c r="N405" s="150">
        <v>0</v>
      </c>
      <c r="O405" s="150">
        <v>1008146</v>
      </c>
      <c r="P405" s="150">
        <v>1056898</v>
      </c>
      <c r="Q405" s="150">
        <v>1117361.1100000001</v>
      </c>
      <c r="R405" s="150">
        <v>1117361.1100000001</v>
      </c>
    </row>
    <row r="406" spans="1:18" x14ac:dyDescent="0.25">
      <c r="A406" t="str">
        <f t="shared" si="6"/>
        <v>43-14-64</v>
      </c>
      <c r="B406">
        <v>43</v>
      </c>
      <c r="C406" s="150" t="s">
        <v>1192</v>
      </c>
      <c r="D406" s="150">
        <v>14</v>
      </c>
      <c r="E406" s="150" t="s">
        <v>665</v>
      </c>
      <c r="F406" s="150">
        <v>64</v>
      </c>
      <c r="G406" s="150" t="s">
        <v>666</v>
      </c>
      <c r="H406" s="150">
        <v>0</v>
      </c>
      <c r="I406" s="150">
        <v>12397300</v>
      </c>
      <c r="J406" s="150" t="s">
        <v>1203</v>
      </c>
      <c r="K406" s="150">
        <v>0</v>
      </c>
      <c r="L406" s="150">
        <v>0</v>
      </c>
      <c r="M406" s="150">
        <v>15.25</v>
      </c>
      <c r="N406" s="150">
        <v>0</v>
      </c>
      <c r="O406" s="150">
        <v>64049</v>
      </c>
      <c r="P406" s="150">
        <v>67116</v>
      </c>
      <c r="Q406" s="150">
        <v>71094.25</v>
      </c>
      <c r="R406" s="150">
        <v>71094.25</v>
      </c>
    </row>
    <row r="407" spans="1:18" x14ac:dyDescent="0.25">
      <c r="A407" t="str">
        <f t="shared" si="6"/>
        <v>3-9-130</v>
      </c>
      <c r="B407">
        <v>3</v>
      </c>
      <c r="C407" s="150" t="s">
        <v>1157</v>
      </c>
      <c r="D407" s="150">
        <v>9</v>
      </c>
      <c r="E407" s="150" t="s">
        <v>683</v>
      </c>
      <c r="F407" s="150">
        <v>130</v>
      </c>
      <c r="G407" s="150" t="s">
        <v>743</v>
      </c>
      <c r="H407" s="150">
        <v>1511</v>
      </c>
      <c r="I407" s="150">
        <v>0</v>
      </c>
      <c r="J407" s="150" t="s">
        <v>1203</v>
      </c>
      <c r="K407" s="150">
        <v>0</v>
      </c>
      <c r="L407" s="150">
        <v>0</v>
      </c>
      <c r="M407" s="150">
        <v>0</v>
      </c>
      <c r="N407" s="150">
        <v>0</v>
      </c>
      <c r="O407" s="150">
        <v>58430</v>
      </c>
      <c r="P407" s="150">
        <v>60183</v>
      </c>
      <c r="Q407" s="150">
        <v>63383</v>
      </c>
      <c r="R407" s="150">
        <v>63383</v>
      </c>
    </row>
    <row r="408" spans="1:18" x14ac:dyDescent="0.25">
      <c r="A408" t="str">
        <f t="shared" si="6"/>
        <v>3-11-12</v>
      </c>
      <c r="B408">
        <v>3</v>
      </c>
      <c r="C408" s="150" t="s">
        <v>1157</v>
      </c>
      <c r="D408" s="150">
        <v>11</v>
      </c>
      <c r="E408" s="150" t="s">
        <v>1204</v>
      </c>
      <c r="F408" s="150">
        <v>12</v>
      </c>
      <c r="G408" s="150" t="s">
        <v>747</v>
      </c>
      <c r="H408" s="150">
        <v>0</v>
      </c>
      <c r="I408" s="150">
        <v>114731987</v>
      </c>
      <c r="J408" s="150">
        <v>1</v>
      </c>
      <c r="K408" s="150">
        <v>2212</v>
      </c>
      <c r="L408" s="150">
        <v>569</v>
      </c>
      <c r="M408" s="150">
        <v>411.76</v>
      </c>
      <c r="N408" s="150">
        <v>0</v>
      </c>
      <c r="O408" s="150">
        <v>74786</v>
      </c>
      <c r="P408" s="150">
        <v>77030</v>
      </c>
      <c r="Q408" s="150">
        <v>80562.759999999995</v>
      </c>
      <c r="R408" s="150">
        <v>80562.759999999995</v>
      </c>
    </row>
    <row r="409" spans="1:18" x14ac:dyDescent="0.25">
      <c r="A409" t="str">
        <f t="shared" si="6"/>
        <v>21-11-12</v>
      </c>
      <c r="B409">
        <v>21</v>
      </c>
      <c r="C409" s="150" t="s">
        <v>1173</v>
      </c>
      <c r="D409" s="150">
        <v>11</v>
      </c>
      <c r="E409" s="150" t="s">
        <v>1204</v>
      </c>
      <c r="F409" s="150">
        <v>12</v>
      </c>
      <c r="G409" s="150" t="s">
        <v>747</v>
      </c>
      <c r="H409" s="150">
        <v>0</v>
      </c>
      <c r="I409" s="150">
        <v>518705</v>
      </c>
      <c r="J409" s="150">
        <v>1</v>
      </c>
      <c r="K409" s="150">
        <v>2212</v>
      </c>
      <c r="L409" s="150">
        <v>569</v>
      </c>
      <c r="M409" s="150">
        <v>411.76</v>
      </c>
      <c r="N409" s="150">
        <v>0</v>
      </c>
      <c r="O409" s="150">
        <v>74786</v>
      </c>
      <c r="P409" s="150">
        <v>77030</v>
      </c>
      <c r="Q409" s="150">
        <v>80562.759999999995</v>
      </c>
      <c r="R409" s="150">
        <v>80562.759999999995</v>
      </c>
    </row>
    <row r="410" spans="1:18" x14ac:dyDescent="0.25">
      <c r="A410" t="str">
        <f t="shared" si="6"/>
        <v>41-7-32</v>
      </c>
      <c r="B410">
        <v>41</v>
      </c>
      <c r="C410" s="150" t="s">
        <v>1191</v>
      </c>
      <c r="D410" s="150">
        <v>7</v>
      </c>
      <c r="E410" s="150" t="s">
        <v>681</v>
      </c>
      <c r="F410" s="150">
        <v>32</v>
      </c>
      <c r="G410" s="150" t="s">
        <v>1118</v>
      </c>
      <c r="H410" s="150">
        <v>3161</v>
      </c>
      <c r="I410" s="150">
        <v>2086951</v>
      </c>
      <c r="J410" s="150" t="s">
        <v>1203</v>
      </c>
      <c r="K410" s="150">
        <v>121</v>
      </c>
      <c r="L410" s="150">
        <v>313</v>
      </c>
      <c r="M410" s="150">
        <v>35.200000000000003</v>
      </c>
      <c r="N410" s="150">
        <v>0</v>
      </c>
      <c r="O410" s="150">
        <v>39294</v>
      </c>
      <c r="P410" s="150">
        <v>42138</v>
      </c>
      <c r="Q410" s="150">
        <v>42173.2</v>
      </c>
      <c r="R410" s="150">
        <v>42173.2</v>
      </c>
    </row>
    <row r="411" spans="1:18" x14ac:dyDescent="0.25">
      <c r="A411" t="str">
        <f t="shared" si="6"/>
        <v>1-7-33</v>
      </c>
      <c r="B411">
        <v>1</v>
      </c>
      <c r="C411" s="150" t="s">
        <v>1155</v>
      </c>
      <c r="D411" s="150">
        <v>7</v>
      </c>
      <c r="E411" s="150" t="s">
        <v>681</v>
      </c>
      <c r="F411" s="150">
        <v>33</v>
      </c>
      <c r="G411" s="150" t="s">
        <v>168</v>
      </c>
      <c r="H411" s="150">
        <v>0</v>
      </c>
      <c r="I411" s="150">
        <v>80991585</v>
      </c>
      <c r="J411" s="150" t="s">
        <v>1203</v>
      </c>
      <c r="K411" s="150">
        <v>4</v>
      </c>
      <c r="L411" s="150">
        <v>636</v>
      </c>
      <c r="M411" s="150">
        <v>105.48</v>
      </c>
      <c r="N411" s="150">
        <v>0</v>
      </c>
      <c r="O411" s="150">
        <v>212010</v>
      </c>
      <c r="P411" s="150">
        <v>222312</v>
      </c>
      <c r="Q411" s="150">
        <v>232392.48</v>
      </c>
      <c r="R411" s="150">
        <v>232392.48</v>
      </c>
    </row>
    <row r="412" spans="1:18" x14ac:dyDescent="0.25">
      <c r="A412" t="str">
        <f t="shared" si="6"/>
        <v>18-17-2</v>
      </c>
      <c r="B412">
        <v>18</v>
      </c>
      <c r="C412" s="150" t="s">
        <v>1170</v>
      </c>
      <c r="D412" s="150">
        <v>17</v>
      </c>
      <c r="E412" s="150" t="s">
        <v>688</v>
      </c>
      <c r="F412" s="150">
        <v>2</v>
      </c>
      <c r="G412" s="150" t="s">
        <v>911</v>
      </c>
      <c r="H412" s="150">
        <v>8694</v>
      </c>
      <c r="I412" s="150">
        <v>5441630</v>
      </c>
      <c r="J412" s="150" t="s">
        <v>1203</v>
      </c>
      <c r="K412" s="150">
        <v>274</v>
      </c>
      <c r="L412" s="150">
        <v>1990</v>
      </c>
      <c r="M412" s="150">
        <v>227.60999999999999</v>
      </c>
      <c r="N412" s="150">
        <v>0</v>
      </c>
      <c r="O412" s="150">
        <v>76629</v>
      </c>
      <c r="P412" s="150">
        <v>76479</v>
      </c>
      <c r="Q412" s="150">
        <v>76706.61</v>
      </c>
      <c r="R412" s="150">
        <v>76706.61</v>
      </c>
    </row>
    <row r="413" spans="1:18" x14ac:dyDescent="0.25">
      <c r="A413" t="str">
        <f t="shared" si="6"/>
        <v>18-4-201</v>
      </c>
      <c r="B413">
        <v>18</v>
      </c>
      <c r="C413" s="150" t="s">
        <v>1170</v>
      </c>
      <c r="D413" s="150">
        <v>4</v>
      </c>
      <c r="E413" s="150" t="s">
        <v>146</v>
      </c>
      <c r="F413" s="150">
        <v>201</v>
      </c>
      <c r="G413" s="150" t="s">
        <v>894</v>
      </c>
      <c r="H413" s="150">
        <v>0</v>
      </c>
      <c r="I413" s="150">
        <v>1478348</v>
      </c>
      <c r="J413" s="150">
        <v>1</v>
      </c>
      <c r="K413" s="150">
        <v>2839</v>
      </c>
      <c r="L413" s="150">
        <v>15363</v>
      </c>
      <c r="M413" s="150">
        <v>372.11999999999995</v>
      </c>
      <c r="N413" s="150">
        <v>0</v>
      </c>
      <c r="O413" s="150">
        <v>8125</v>
      </c>
      <c r="P413" s="150">
        <v>8515</v>
      </c>
      <c r="Q413" s="150">
        <v>8774</v>
      </c>
      <c r="R413" s="150">
        <v>8774</v>
      </c>
    </row>
    <row r="414" spans="1:18" x14ac:dyDescent="0.25">
      <c r="A414" t="str">
        <f t="shared" si="6"/>
        <v>29-4-201</v>
      </c>
      <c r="B414">
        <v>29</v>
      </c>
      <c r="C414" s="150" t="s">
        <v>1181</v>
      </c>
      <c r="D414" s="150">
        <v>4</v>
      </c>
      <c r="E414" s="150" t="s">
        <v>146</v>
      </c>
      <c r="F414" s="150">
        <v>201</v>
      </c>
      <c r="G414" s="150" t="s">
        <v>894</v>
      </c>
      <c r="H414" s="150">
        <v>0</v>
      </c>
      <c r="I414" s="150">
        <v>7141510</v>
      </c>
      <c r="J414" s="150">
        <v>1</v>
      </c>
      <c r="K414" s="150">
        <v>2839</v>
      </c>
      <c r="L414" s="150">
        <v>15363</v>
      </c>
      <c r="M414" s="150">
        <v>372.11999999999995</v>
      </c>
      <c r="N414" s="150">
        <v>0</v>
      </c>
      <c r="O414" s="150">
        <v>8125</v>
      </c>
      <c r="P414" s="150">
        <v>8515</v>
      </c>
      <c r="Q414" s="150">
        <v>8774</v>
      </c>
      <c r="R414" s="150">
        <v>8774</v>
      </c>
    </row>
    <row r="415" spans="1:18" x14ac:dyDescent="0.25">
      <c r="A415" t="str">
        <f t="shared" si="6"/>
        <v>1-9-15</v>
      </c>
      <c r="B415">
        <v>1</v>
      </c>
      <c r="C415" s="150" t="s">
        <v>1155</v>
      </c>
      <c r="D415" s="150">
        <v>9</v>
      </c>
      <c r="E415" s="150" t="s">
        <v>683</v>
      </c>
      <c r="F415" s="150">
        <v>15</v>
      </c>
      <c r="G415" s="150" t="s">
        <v>432</v>
      </c>
      <c r="H415" s="150">
        <v>66135</v>
      </c>
      <c r="I415" s="150">
        <v>0</v>
      </c>
      <c r="J415" s="150">
        <v>1</v>
      </c>
      <c r="K415" s="150">
        <v>1325</v>
      </c>
      <c r="L415" s="150">
        <v>23215</v>
      </c>
      <c r="M415" s="150">
        <v>3183.67</v>
      </c>
      <c r="N415" s="150">
        <v>0</v>
      </c>
      <c r="O415" s="150">
        <v>9962779</v>
      </c>
      <c r="P415" s="150">
        <v>10775384</v>
      </c>
      <c r="Q415" s="150">
        <v>11491757.67</v>
      </c>
      <c r="R415" s="150">
        <v>11491757.67</v>
      </c>
    </row>
    <row r="416" spans="1:18" x14ac:dyDescent="0.25">
      <c r="A416" t="str">
        <f t="shared" si="6"/>
        <v>8-9-15</v>
      </c>
      <c r="B416">
        <v>8</v>
      </c>
      <c r="C416" s="150" t="s">
        <v>1160</v>
      </c>
      <c r="D416" s="150">
        <v>9</v>
      </c>
      <c r="E416" s="150" t="s">
        <v>683</v>
      </c>
      <c r="F416" s="150">
        <v>15</v>
      </c>
      <c r="G416" s="150" t="s">
        <v>432</v>
      </c>
      <c r="H416" s="150">
        <v>66135</v>
      </c>
      <c r="I416" s="150">
        <v>0</v>
      </c>
      <c r="J416" s="150">
        <v>1</v>
      </c>
      <c r="K416" s="150">
        <v>1325</v>
      </c>
      <c r="L416" s="150">
        <v>23215</v>
      </c>
      <c r="M416" s="150">
        <v>3183.67</v>
      </c>
      <c r="N416" s="150">
        <v>0</v>
      </c>
      <c r="O416" s="150">
        <v>9962779</v>
      </c>
      <c r="P416" s="150">
        <v>10775384</v>
      </c>
      <c r="Q416" s="150">
        <v>11491757.67</v>
      </c>
      <c r="R416" s="150">
        <v>11491757.67</v>
      </c>
    </row>
    <row r="417" spans="1:18" x14ac:dyDescent="0.25">
      <c r="A417" t="str">
        <f t="shared" si="6"/>
        <v>23-9-15</v>
      </c>
      <c r="B417">
        <v>23</v>
      </c>
      <c r="C417" s="150" t="s">
        <v>1175</v>
      </c>
      <c r="D417" s="150">
        <v>9</v>
      </c>
      <c r="E417" s="150" t="s">
        <v>683</v>
      </c>
      <c r="F417" s="150">
        <v>15</v>
      </c>
      <c r="G417" s="150" t="s">
        <v>432</v>
      </c>
      <c r="H417" s="150">
        <v>66135</v>
      </c>
      <c r="I417" s="150">
        <v>0</v>
      </c>
      <c r="J417" s="150">
        <v>1</v>
      </c>
      <c r="K417" s="150">
        <v>1325</v>
      </c>
      <c r="L417" s="150">
        <v>23215</v>
      </c>
      <c r="M417" s="150">
        <v>3183.67</v>
      </c>
      <c r="N417" s="150">
        <v>0</v>
      </c>
      <c r="O417" s="150">
        <v>9962779</v>
      </c>
      <c r="P417" s="150">
        <v>10775384</v>
      </c>
      <c r="Q417" s="150">
        <v>11491757.67</v>
      </c>
      <c r="R417" s="150">
        <v>11491757.67</v>
      </c>
    </row>
    <row r="418" spans="1:18" x14ac:dyDescent="0.25">
      <c r="A418" t="str">
        <f t="shared" si="6"/>
        <v>1-20-6</v>
      </c>
      <c r="B418">
        <v>1</v>
      </c>
      <c r="C418" s="150" t="s">
        <v>1155</v>
      </c>
      <c r="D418" s="150">
        <v>20</v>
      </c>
      <c r="E418" s="150" t="s">
        <v>238</v>
      </c>
      <c r="F418" s="150">
        <v>6</v>
      </c>
      <c r="G418" s="150" t="s">
        <v>713</v>
      </c>
      <c r="H418" s="150">
        <v>42110</v>
      </c>
      <c r="I418" s="150">
        <v>51548130</v>
      </c>
      <c r="J418" s="150" t="s">
        <v>1203</v>
      </c>
      <c r="K418" s="150">
        <v>1</v>
      </c>
      <c r="L418" s="150">
        <v>372</v>
      </c>
      <c r="M418" s="150">
        <v>51.419999999999995</v>
      </c>
      <c r="N418" s="150">
        <v>0</v>
      </c>
      <c r="O418" s="150">
        <v>118294</v>
      </c>
      <c r="P418" s="150">
        <v>126866</v>
      </c>
      <c r="Q418" s="150">
        <v>134838.42000000001</v>
      </c>
      <c r="R418" s="150">
        <v>134838.42000000001</v>
      </c>
    </row>
    <row r="419" spans="1:18" x14ac:dyDescent="0.25">
      <c r="A419" t="str">
        <f t="shared" si="6"/>
        <v>8-5-14</v>
      </c>
      <c r="B419">
        <v>8</v>
      </c>
      <c r="C419" s="150" t="s">
        <v>1160</v>
      </c>
      <c r="D419" s="150">
        <v>5</v>
      </c>
      <c r="E419" s="150" t="s">
        <v>286</v>
      </c>
      <c r="F419" s="150">
        <v>14</v>
      </c>
      <c r="G419" s="150" t="s">
        <v>256</v>
      </c>
      <c r="H419" s="150">
        <v>0</v>
      </c>
      <c r="I419" s="150">
        <v>8359544</v>
      </c>
      <c r="J419" s="150" t="s">
        <v>1203</v>
      </c>
      <c r="K419" s="150">
        <v>33</v>
      </c>
      <c r="L419" s="150">
        <v>934</v>
      </c>
      <c r="M419" s="150">
        <v>48.96</v>
      </c>
      <c r="N419" s="150">
        <v>0</v>
      </c>
      <c r="O419" s="150">
        <v>149013</v>
      </c>
      <c r="P419" s="150">
        <v>154889</v>
      </c>
      <c r="Q419" s="150">
        <v>162058.96</v>
      </c>
      <c r="R419" s="150">
        <v>162058.96</v>
      </c>
    </row>
    <row r="420" spans="1:18" x14ac:dyDescent="0.25">
      <c r="A420" t="str">
        <f t="shared" si="6"/>
        <v>9-14-13</v>
      </c>
      <c r="B420">
        <v>9</v>
      </c>
      <c r="C420" s="150" t="s">
        <v>1161</v>
      </c>
      <c r="D420" s="150">
        <v>14</v>
      </c>
      <c r="E420" s="150" t="s">
        <v>665</v>
      </c>
      <c r="F420" s="150">
        <v>13</v>
      </c>
      <c r="G420" s="150" t="s">
        <v>275</v>
      </c>
      <c r="H420" s="150">
        <v>487248</v>
      </c>
      <c r="I420" s="150">
        <v>391957237</v>
      </c>
      <c r="J420" s="150" t="s">
        <v>1203</v>
      </c>
      <c r="K420" s="150">
        <v>3336</v>
      </c>
      <c r="L420" s="150">
        <v>30497</v>
      </c>
      <c r="M420" s="150">
        <v>3968.19</v>
      </c>
      <c r="N420" s="150">
        <v>0</v>
      </c>
      <c r="O420" s="150">
        <v>2767675</v>
      </c>
      <c r="P420" s="150">
        <v>2707244</v>
      </c>
      <c r="Q420" s="150">
        <v>3147422.19</v>
      </c>
      <c r="R420" s="150">
        <v>3147422.19</v>
      </c>
    </row>
    <row r="421" spans="1:18" x14ac:dyDescent="0.25">
      <c r="A421" t="str">
        <f t="shared" si="6"/>
        <v>9-9-191</v>
      </c>
      <c r="B421">
        <v>9</v>
      </c>
      <c r="C421" s="150" t="s">
        <v>1161</v>
      </c>
      <c r="D421" s="150">
        <v>9</v>
      </c>
      <c r="E421" s="150" t="s">
        <v>683</v>
      </c>
      <c r="F421" s="150">
        <v>191</v>
      </c>
      <c r="G421" s="150" t="s">
        <v>818</v>
      </c>
      <c r="H421" s="150">
        <v>0</v>
      </c>
      <c r="I421" s="150">
        <v>0</v>
      </c>
      <c r="J421" s="150" t="s">
        <v>1203</v>
      </c>
      <c r="K421" s="150">
        <v>0</v>
      </c>
      <c r="L421" s="150">
        <v>0</v>
      </c>
      <c r="M421" s="150">
        <v>0</v>
      </c>
      <c r="N421" s="150">
        <v>0</v>
      </c>
      <c r="O421" s="150">
        <v>300650</v>
      </c>
      <c r="P421" s="150">
        <v>323233</v>
      </c>
      <c r="Q421" s="150">
        <v>339300</v>
      </c>
      <c r="R421" s="150">
        <v>339300</v>
      </c>
    </row>
    <row r="422" spans="1:18" x14ac:dyDescent="0.25">
      <c r="A422" t="str">
        <f t="shared" si="6"/>
        <v>28-11-14</v>
      </c>
      <c r="B422">
        <v>28</v>
      </c>
      <c r="C422" s="150" t="s">
        <v>1180</v>
      </c>
      <c r="D422" s="150">
        <v>11</v>
      </c>
      <c r="E422" s="150" t="s">
        <v>1204</v>
      </c>
      <c r="F422" s="150">
        <v>14</v>
      </c>
      <c r="G422" s="150" t="s">
        <v>1015</v>
      </c>
      <c r="H422" s="150">
        <v>48219</v>
      </c>
      <c r="I422" s="150">
        <v>85742980</v>
      </c>
      <c r="J422" s="150" t="s">
        <v>1203</v>
      </c>
      <c r="K422" s="150">
        <v>424</v>
      </c>
      <c r="L422" s="150">
        <v>4485</v>
      </c>
      <c r="M422" s="150">
        <v>515.53</v>
      </c>
      <c r="N422" s="150">
        <v>0</v>
      </c>
      <c r="O422" s="150">
        <v>1607292</v>
      </c>
      <c r="P422" s="150">
        <v>1636964</v>
      </c>
      <c r="Q422" s="150">
        <v>1711533.53</v>
      </c>
      <c r="R422" s="150">
        <v>1711533.53</v>
      </c>
    </row>
    <row r="423" spans="1:18" x14ac:dyDescent="0.25">
      <c r="A423" t="str">
        <f t="shared" si="6"/>
        <v>20-17-18</v>
      </c>
      <c r="B423">
        <v>20</v>
      </c>
      <c r="C423" s="150" t="s">
        <v>1172</v>
      </c>
      <c r="D423" s="150">
        <v>17</v>
      </c>
      <c r="E423" s="150" t="s">
        <v>688</v>
      </c>
      <c r="F423" s="150">
        <v>18</v>
      </c>
      <c r="G423" s="150" t="s">
        <v>939</v>
      </c>
      <c r="H423" s="150">
        <v>3103</v>
      </c>
      <c r="I423" s="150">
        <v>217048952</v>
      </c>
      <c r="J423" s="150" t="s">
        <v>1203</v>
      </c>
      <c r="K423" s="150">
        <v>4248</v>
      </c>
      <c r="L423" s="150">
        <v>2264</v>
      </c>
      <c r="M423" s="150">
        <v>1129.06</v>
      </c>
      <c r="N423" s="150">
        <v>0</v>
      </c>
      <c r="O423" s="150">
        <v>153538</v>
      </c>
      <c r="P423" s="150">
        <v>158604</v>
      </c>
      <c r="Q423" s="150">
        <v>163890.06</v>
      </c>
      <c r="R423" s="150">
        <v>163890.06</v>
      </c>
    </row>
    <row r="424" spans="1:18" x14ac:dyDescent="0.25">
      <c r="A424" t="str">
        <f t="shared" si="6"/>
        <v>37-14-14</v>
      </c>
      <c r="B424">
        <v>37</v>
      </c>
      <c r="C424" s="150" t="s">
        <v>1188</v>
      </c>
      <c r="D424" s="150">
        <v>14</v>
      </c>
      <c r="E424" s="150" t="s">
        <v>665</v>
      </c>
      <c r="F424" s="150">
        <v>14</v>
      </c>
      <c r="G424" s="150" t="s">
        <v>609</v>
      </c>
      <c r="H424" s="150">
        <v>0</v>
      </c>
      <c r="I424" s="150">
        <v>21900541</v>
      </c>
      <c r="J424" s="150" t="s">
        <v>1203</v>
      </c>
      <c r="K424" s="150">
        <v>2616</v>
      </c>
      <c r="L424" s="150">
        <v>350</v>
      </c>
      <c r="M424" s="150">
        <v>96.6</v>
      </c>
      <c r="N424" s="150">
        <v>0</v>
      </c>
      <c r="O424" s="150">
        <v>49174</v>
      </c>
      <c r="P424" s="150">
        <v>50754</v>
      </c>
      <c r="Q424" s="150">
        <v>52938.6</v>
      </c>
      <c r="R424" s="150">
        <v>52938.6</v>
      </c>
    </row>
    <row r="425" spans="1:18" x14ac:dyDescent="0.25">
      <c r="A425" t="str">
        <f t="shared" si="6"/>
        <v>39-9-16</v>
      </c>
      <c r="B425">
        <v>39</v>
      </c>
      <c r="C425" s="150" t="s">
        <v>164</v>
      </c>
      <c r="D425" s="150">
        <v>9</v>
      </c>
      <c r="E425" s="150" t="s">
        <v>683</v>
      </c>
      <c r="F425" s="150">
        <v>16</v>
      </c>
      <c r="G425" s="150" t="s">
        <v>1103</v>
      </c>
      <c r="H425" s="150">
        <v>9630</v>
      </c>
      <c r="I425" s="150">
        <v>0</v>
      </c>
      <c r="J425" s="150" t="s">
        <v>1203</v>
      </c>
      <c r="K425" s="150">
        <v>119</v>
      </c>
      <c r="L425" s="150">
        <v>690</v>
      </c>
      <c r="M425" s="150">
        <v>283.58999999999997</v>
      </c>
      <c r="N425" s="150">
        <v>0</v>
      </c>
      <c r="O425" s="150">
        <v>155893</v>
      </c>
      <c r="P425" s="150">
        <v>160570</v>
      </c>
      <c r="Q425" s="150">
        <v>165386.59</v>
      </c>
      <c r="R425" s="150">
        <v>165386.59</v>
      </c>
    </row>
    <row r="426" spans="1:18" x14ac:dyDescent="0.25">
      <c r="A426" t="str">
        <f t="shared" si="6"/>
        <v>28-9-153</v>
      </c>
      <c r="B426">
        <v>28</v>
      </c>
      <c r="C426" s="150" t="s">
        <v>1180</v>
      </c>
      <c r="D426" s="150">
        <v>9</v>
      </c>
      <c r="E426" s="150" t="s">
        <v>683</v>
      </c>
      <c r="F426" s="150">
        <v>153</v>
      </c>
      <c r="G426" s="150" t="s">
        <v>509</v>
      </c>
      <c r="H426" s="150">
        <v>126267</v>
      </c>
      <c r="I426" s="150">
        <v>7312409</v>
      </c>
      <c r="J426" s="150" t="s">
        <v>1203</v>
      </c>
      <c r="K426" s="150">
        <v>0</v>
      </c>
      <c r="L426" s="150">
        <v>1062</v>
      </c>
      <c r="M426" s="150">
        <v>65.739999999999995</v>
      </c>
      <c r="N426" s="150">
        <v>0</v>
      </c>
      <c r="O426" s="150">
        <v>627564</v>
      </c>
      <c r="P426" s="150">
        <v>660219</v>
      </c>
      <c r="Q426" s="150">
        <v>702153.74</v>
      </c>
      <c r="R426" s="150">
        <v>702153.74</v>
      </c>
    </row>
    <row r="427" spans="1:18" x14ac:dyDescent="0.25">
      <c r="A427" t="str">
        <f t="shared" si="6"/>
        <v>43-15-10</v>
      </c>
      <c r="B427">
        <v>43</v>
      </c>
      <c r="C427" s="150" t="s">
        <v>1192</v>
      </c>
      <c r="D427" s="150">
        <v>15</v>
      </c>
      <c r="E427" s="150" t="s">
        <v>237</v>
      </c>
      <c r="F427" s="150">
        <v>10</v>
      </c>
      <c r="G427" s="150" t="s">
        <v>667</v>
      </c>
      <c r="H427" s="150">
        <v>18569</v>
      </c>
      <c r="I427" s="150">
        <v>5058272</v>
      </c>
      <c r="J427" s="150" t="s">
        <v>1203</v>
      </c>
      <c r="K427" s="150">
        <v>0</v>
      </c>
      <c r="L427" s="150">
        <v>216</v>
      </c>
      <c r="M427" s="150">
        <v>52.78</v>
      </c>
      <c r="N427" s="150">
        <v>0</v>
      </c>
      <c r="O427" s="150">
        <v>246134</v>
      </c>
      <c r="P427" s="150">
        <v>257618</v>
      </c>
      <c r="Q427" s="150">
        <v>273213.78000000003</v>
      </c>
      <c r="R427" s="150">
        <v>273213.78000000003</v>
      </c>
    </row>
    <row r="428" spans="1:18" x14ac:dyDescent="0.25">
      <c r="A428" t="str">
        <f t="shared" si="6"/>
        <v>16-11-15</v>
      </c>
      <c r="B428">
        <v>16</v>
      </c>
      <c r="C428" s="150" t="s">
        <v>1168</v>
      </c>
      <c r="D428" s="150">
        <v>11</v>
      </c>
      <c r="E428" s="150" t="s">
        <v>1204</v>
      </c>
      <c r="F428" s="150">
        <v>15</v>
      </c>
      <c r="G428" s="150" t="s">
        <v>885</v>
      </c>
      <c r="H428" s="150">
        <v>0</v>
      </c>
      <c r="I428" s="150">
        <v>1374813</v>
      </c>
      <c r="J428" s="150"/>
      <c r="K428" s="150">
        <v>0</v>
      </c>
      <c r="L428" s="150">
        <v>0</v>
      </c>
      <c r="M428" s="150">
        <v>0</v>
      </c>
      <c r="N428" s="150">
        <v>0</v>
      </c>
      <c r="O428" s="150">
        <v>58250</v>
      </c>
      <c r="P428" s="150">
        <v>59998</v>
      </c>
      <c r="Q428" s="150">
        <v>64003</v>
      </c>
    </row>
    <row r="429" spans="1:18" x14ac:dyDescent="0.25">
      <c r="A429" t="str">
        <f t="shared" si="6"/>
        <v>30-9-105</v>
      </c>
      <c r="B429">
        <v>30</v>
      </c>
      <c r="C429" s="150" t="s">
        <v>1182</v>
      </c>
      <c r="D429" s="150">
        <v>9</v>
      </c>
      <c r="E429" s="150" t="s">
        <v>683</v>
      </c>
      <c r="F429" s="150">
        <v>105</v>
      </c>
      <c r="G429" s="150" t="s">
        <v>1040</v>
      </c>
      <c r="H429" s="150">
        <v>34</v>
      </c>
      <c r="I429" s="150">
        <v>0</v>
      </c>
      <c r="J429" s="150" t="s">
        <v>1203</v>
      </c>
      <c r="K429" s="150">
        <v>0</v>
      </c>
      <c r="L429" s="150">
        <v>34</v>
      </c>
      <c r="M429" s="150">
        <v>40.479999999999997</v>
      </c>
      <c r="N429" s="150">
        <v>0</v>
      </c>
      <c r="O429" s="150">
        <v>33530</v>
      </c>
      <c r="P429" s="150">
        <v>35002</v>
      </c>
      <c r="Q429" s="150">
        <v>36536.480000000003</v>
      </c>
      <c r="R429" s="150">
        <v>36536.480000000003</v>
      </c>
    </row>
    <row r="430" spans="1:18" x14ac:dyDescent="0.25">
      <c r="A430" t="str">
        <f t="shared" si="6"/>
        <v>30-19-24</v>
      </c>
      <c r="B430">
        <v>30</v>
      </c>
      <c r="C430" s="150" t="s">
        <v>1182</v>
      </c>
      <c r="D430" s="150">
        <v>19</v>
      </c>
      <c r="E430" s="150" t="s">
        <v>1205</v>
      </c>
      <c r="F430" s="150">
        <v>24</v>
      </c>
      <c r="G430" s="150" t="s">
        <v>546</v>
      </c>
      <c r="H430" s="150">
        <v>1</v>
      </c>
      <c r="I430" s="150">
        <v>6572349</v>
      </c>
      <c r="J430" s="150" t="s">
        <v>1203</v>
      </c>
      <c r="K430" s="150">
        <v>0</v>
      </c>
      <c r="L430" s="150">
        <v>50</v>
      </c>
      <c r="M430" s="150">
        <v>29.6</v>
      </c>
      <c r="N430" s="150">
        <v>0</v>
      </c>
      <c r="O430" s="150">
        <v>33950</v>
      </c>
      <c r="P430" s="150">
        <v>35584</v>
      </c>
      <c r="Q430" s="150">
        <v>37413.599999999999</v>
      </c>
      <c r="R430" s="150">
        <v>37413.599999999999</v>
      </c>
    </row>
    <row r="431" spans="1:18" x14ac:dyDescent="0.25">
      <c r="A431" t="str">
        <f t="shared" si="6"/>
        <v>18-7-34</v>
      </c>
      <c r="B431">
        <v>18</v>
      </c>
      <c r="C431" s="150" t="s">
        <v>1170</v>
      </c>
      <c r="D431" s="150">
        <v>7</v>
      </c>
      <c r="E431" s="150" t="s">
        <v>681</v>
      </c>
      <c r="F431" s="150">
        <v>34</v>
      </c>
      <c r="G431" s="150" t="s">
        <v>896</v>
      </c>
      <c r="H431" s="150">
        <v>6</v>
      </c>
      <c r="I431" s="150">
        <v>1478348</v>
      </c>
      <c r="J431" s="150" t="s">
        <v>1203</v>
      </c>
      <c r="K431" s="150">
        <v>0</v>
      </c>
      <c r="L431" s="150">
        <v>95</v>
      </c>
      <c r="M431" s="150">
        <v>0.36</v>
      </c>
      <c r="N431" s="150">
        <v>0</v>
      </c>
      <c r="O431" s="150">
        <v>7745</v>
      </c>
      <c r="P431" s="150">
        <v>8005</v>
      </c>
      <c r="Q431" s="150">
        <v>8005.36</v>
      </c>
      <c r="R431" s="150">
        <v>8005.36</v>
      </c>
    </row>
    <row r="432" spans="1:18" x14ac:dyDescent="0.25">
      <c r="A432" t="str">
        <f t="shared" si="6"/>
        <v>18-14-46</v>
      </c>
      <c r="B432">
        <v>18</v>
      </c>
      <c r="C432" s="150" t="s">
        <v>1170</v>
      </c>
      <c r="D432" s="150">
        <v>14</v>
      </c>
      <c r="E432" s="150" t="s">
        <v>665</v>
      </c>
      <c r="F432" s="150">
        <v>46</v>
      </c>
      <c r="G432" s="150" t="s">
        <v>385</v>
      </c>
      <c r="H432" s="150">
        <v>12445</v>
      </c>
      <c r="I432" s="150">
        <v>1478348</v>
      </c>
      <c r="J432" s="150" t="s">
        <v>1203</v>
      </c>
      <c r="K432" s="150">
        <v>0</v>
      </c>
      <c r="L432" s="150">
        <v>635</v>
      </c>
      <c r="M432" s="150">
        <v>2.17</v>
      </c>
      <c r="N432" s="150">
        <v>0</v>
      </c>
      <c r="O432" s="150">
        <v>50548</v>
      </c>
      <c r="P432" s="150">
        <v>50058</v>
      </c>
      <c r="Q432" s="150">
        <v>53296.17</v>
      </c>
      <c r="R432" s="150">
        <v>53296.17</v>
      </c>
    </row>
    <row r="433" spans="1:18" x14ac:dyDescent="0.25">
      <c r="A433" t="str">
        <f t="shared" si="6"/>
        <v>18-17-4</v>
      </c>
      <c r="B433">
        <v>18</v>
      </c>
      <c r="C433" s="150" t="s">
        <v>1170</v>
      </c>
      <c r="D433" s="150">
        <v>17</v>
      </c>
      <c r="E433" s="150" t="s">
        <v>688</v>
      </c>
      <c r="F433" s="150">
        <v>4</v>
      </c>
      <c r="G433" s="150" t="s">
        <v>913</v>
      </c>
      <c r="H433" s="150">
        <v>0</v>
      </c>
      <c r="I433" s="150">
        <v>1478348</v>
      </c>
      <c r="J433" s="150" t="s">
        <v>1203</v>
      </c>
      <c r="K433" s="150">
        <v>0</v>
      </c>
      <c r="L433" s="150">
        <v>375</v>
      </c>
      <c r="M433" s="150">
        <v>1.1399999999999999</v>
      </c>
      <c r="N433" s="150">
        <v>0</v>
      </c>
      <c r="O433" s="150">
        <v>31294</v>
      </c>
      <c r="P433" s="150">
        <v>26388</v>
      </c>
      <c r="Q433" s="150">
        <v>32290.14</v>
      </c>
      <c r="R433" s="150">
        <v>32290.14</v>
      </c>
    </row>
    <row r="434" spans="1:18" x14ac:dyDescent="0.25">
      <c r="A434" t="str">
        <f t="shared" si="6"/>
        <v>9-19-33</v>
      </c>
      <c r="B434">
        <v>9</v>
      </c>
      <c r="C434" s="150" t="s">
        <v>1161</v>
      </c>
      <c r="D434" s="150">
        <v>19</v>
      </c>
      <c r="E434" s="150" t="s">
        <v>1205</v>
      </c>
      <c r="F434" s="150">
        <v>33</v>
      </c>
      <c r="G434" s="150" t="s">
        <v>1276</v>
      </c>
      <c r="H434" s="150">
        <v>1726</v>
      </c>
      <c r="I434" s="150">
        <v>12543626</v>
      </c>
      <c r="J434" s="150"/>
      <c r="K434" s="150">
        <v>0</v>
      </c>
      <c r="L434" s="150">
        <v>0</v>
      </c>
      <c r="M434" s="150">
        <v>0</v>
      </c>
      <c r="N434" s="150">
        <v>0</v>
      </c>
      <c r="O434" s="283">
        <v>0</v>
      </c>
      <c r="P434" s="283">
        <v>0</v>
      </c>
      <c r="Q434" s="283">
        <v>0</v>
      </c>
      <c r="R434" s="283">
        <v>0</v>
      </c>
    </row>
    <row r="435" spans="1:18" x14ac:dyDescent="0.25">
      <c r="A435" t="str">
        <f t="shared" si="6"/>
        <v>20-15-24</v>
      </c>
      <c r="B435">
        <v>20</v>
      </c>
      <c r="C435" s="150" t="s">
        <v>1172</v>
      </c>
      <c r="D435" s="150">
        <v>15</v>
      </c>
      <c r="E435" s="150" t="s">
        <v>237</v>
      </c>
      <c r="F435" s="150">
        <v>24</v>
      </c>
      <c r="G435" s="150" t="s">
        <v>938</v>
      </c>
      <c r="H435" s="150">
        <v>0</v>
      </c>
      <c r="I435" s="150">
        <v>470342678</v>
      </c>
      <c r="J435" s="150" t="s">
        <v>1203</v>
      </c>
      <c r="K435" s="150">
        <v>0</v>
      </c>
      <c r="L435" s="150">
        <v>1904</v>
      </c>
      <c r="M435" s="150">
        <v>483.03000000000003</v>
      </c>
      <c r="N435" s="150">
        <v>6955</v>
      </c>
      <c r="O435" s="150">
        <v>158564</v>
      </c>
      <c r="P435" s="150">
        <v>166642</v>
      </c>
      <c r="Q435" s="150">
        <v>170317.03</v>
      </c>
      <c r="R435" s="150">
        <v>170317.03</v>
      </c>
    </row>
    <row r="436" spans="1:18" x14ac:dyDescent="0.25">
      <c r="A436" t="str">
        <f t="shared" si="6"/>
        <v>20-2-20</v>
      </c>
      <c r="B436">
        <v>20</v>
      </c>
      <c r="C436" s="150" t="s">
        <v>1172</v>
      </c>
      <c r="D436" s="150">
        <v>2</v>
      </c>
      <c r="E436" s="150" t="s">
        <v>110</v>
      </c>
      <c r="F436" s="150">
        <v>20</v>
      </c>
      <c r="G436" s="150" t="s">
        <v>395</v>
      </c>
      <c r="H436" s="150">
        <v>0</v>
      </c>
      <c r="I436" s="150">
        <v>470342678</v>
      </c>
      <c r="J436" s="150" t="s">
        <v>1203</v>
      </c>
      <c r="K436" s="150">
        <v>82685</v>
      </c>
      <c r="L436" s="150">
        <v>87310</v>
      </c>
      <c r="M436" s="150">
        <v>21904.93</v>
      </c>
      <c r="N436" s="150">
        <v>315312</v>
      </c>
      <c r="O436" s="150">
        <v>7132379</v>
      </c>
      <c r="P436" s="150">
        <v>7497462</v>
      </c>
      <c r="Q436" s="150">
        <v>7661567.9299999997</v>
      </c>
      <c r="R436" s="150">
        <v>7661567.9299999997</v>
      </c>
    </row>
    <row r="437" spans="1:18" x14ac:dyDescent="0.25">
      <c r="A437" t="str">
        <f t="shared" si="6"/>
        <v>20-5-25</v>
      </c>
      <c r="B437">
        <v>20</v>
      </c>
      <c r="C437" s="150" t="s">
        <v>1172</v>
      </c>
      <c r="D437" s="150">
        <v>5</v>
      </c>
      <c r="E437" s="150" t="s">
        <v>286</v>
      </c>
      <c r="F437" s="150">
        <v>25</v>
      </c>
      <c r="G437" s="150" t="s">
        <v>398</v>
      </c>
      <c r="H437" s="150">
        <v>0</v>
      </c>
      <c r="I437" s="150">
        <v>470342678</v>
      </c>
      <c r="J437" s="150" t="s">
        <v>1203</v>
      </c>
      <c r="K437" s="150">
        <v>0</v>
      </c>
      <c r="L437" s="150">
        <v>6253</v>
      </c>
      <c r="M437" s="150">
        <v>1699.03</v>
      </c>
      <c r="N437" s="150">
        <v>24461</v>
      </c>
      <c r="O437" s="150">
        <v>557140</v>
      </c>
      <c r="P437" s="150">
        <v>585465</v>
      </c>
      <c r="Q437" s="150">
        <v>598364.03</v>
      </c>
      <c r="R437" s="150">
        <v>598364.03</v>
      </c>
    </row>
    <row r="438" spans="1:18" x14ac:dyDescent="0.25">
      <c r="A438" t="str">
        <f t="shared" si="6"/>
        <v>20-12-19</v>
      </c>
      <c r="B438">
        <v>20</v>
      </c>
      <c r="C438" s="150" t="s">
        <v>1172</v>
      </c>
      <c r="D438" s="150">
        <v>12</v>
      </c>
      <c r="E438" s="150" t="s">
        <v>151</v>
      </c>
      <c r="F438" s="150">
        <v>19</v>
      </c>
      <c r="G438" s="150" t="s">
        <v>400</v>
      </c>
      <c r="H438" s="150">
        <v>60494</v>
      </c>
      <c r="I438" s="150">
        <v>470342678</v>
      </c>
      <c r="J438" s="150" t="s">
        <v>1203</v>
      </c>
      <c r="K438" s="150">
        <v>26837</v>
      </c>
      <c r="L438" s="150">
        <v>17229</v>
      </c>
      <c r="M438" s="150">
        <v>4229.99</v>
      </c>
      <c r="N438" s="150">
        <v>60350</v>
      </c>
      <c r="O438" s="150">
        <v>1360220</v>
      </c>
      <c r="P438" s="150">
        <v>1400528</v>
      </c>
      <c r="Q438" s="150">
        <v>1474091.99</v>
      </c>
      <c r="R438" s="150">
        <v>1474091.99</v>
      </c>
    </row>
    <row r="439" spans="1:18" x14ac:dyDescent="0.25">
      <c r="A439" t="str">
        <f t="shared" si="6"/>
        <v>5-9-184</v>
      </c>
      <c r="B439">
        <v>5</v>
      </c>
      <c r="C439" s="150" t="s">
        <v>1158</v>
      </c>
      <c r="D439" s="150">
        <v>9</v>
      </c>
      <c r="E439" s="150" t="s">
        <v>683</v>
      </c>
      <c r="F439" s="150">
        <v>184</v>
      </c>
      <c r="G439" s="150" t="s">
        <v>766</v>
      </c>
      <c r="H439" s="150">
        <v>8152</v>
      </c>
      <c r="I439" s="150">
        <v>0</v>
      </c>
      <c r="J439" s="150" t="s">
        <v>1203</v>
      </c>
      <c r="K439" s="150">
        <v>0</v>
      </c>
      <c r="L439" s="150">
        <v>245</v>
      </c>
      <c r="M439" s="150">
        <v>0</v>
      </c>
      <c r="N439" s="150">
        <v>0</v>
      </c>
      <c r="O439" s="150">
        <v>35696</v>
      </c>
      <c r="P439" s="150">
        <v>35696</v>
      </c>
      <c r="Q439" s="150">
        <v>35696</v>
      </c>
      <c r="R439" s="150">
        <v>35696</v>
      </c>
    </row>
    <row r="440" spans="1:18" x14ac:dyDescent="0.25">
      <c r="A440" t="str">
        <f t="shared" si="6"/>
        <v>8-4-82</v>
      </c>
      <c r="B440">
        <v>8</v>
      </c>
      <c r="C440" s="150" t="s">
        <v>1160</v>
      </c>
      <c r="D440" s="150">
        <v>4</v>
      </c>
      <c r="E440" s="150" t="s">
        <v>146</v>
      </c>
      <c r="F440" s="150">
        <v>82</v>
      </c>
      <c r="G440" s="150" t="s">
        <v>799</v>
      </c>
      <c r="H440" s="150">
        <v>0</v>
      </c>
      <c r="I440" s="150">
        <v>0</v>
      </c>
      <c r="J440" s="150">
        <v>1</v>
      </c>
      <c r="K440" s="150">
        <v>21763</v>
      </c>
      <c r="L440" s="150">
        <v>37802</v>
      </c>
      <c r="M440" s="150">
        <v>1128.48</v>
      </c>
      <c r="N440" s="150">
        <v>0</v>
      </c>
      <c r="O440" s="150">
        <v>95528</v>
      </c>
      <c r="P440" s="150">
        <v>100708</v>
      </c>
      <c r="Q440" s="150">
        <v>67000</v>
      </c>
      <c r="R440" s="150">
        <v>100708</v>
      </c>
    </row>
    <row r="441" spans="1:18" x14ac:dyDescent="0.25">
      <c r="A441" t="str">
        <f t="shared" si="6"/>
        <v>23-4-82</v>
      </c>
      <c r="B441">
        <v>23</v>
      </c>
      <c r="C441" s="150" t="s">
        <v>1175</v>
      </c>
      <c r="D441" s="150">
        <v>4</v>
      </c>
      <c r="E441" s="150" t="s">
        <v>146</v>
      </c>
      <c r="F441" s="150">
        <v>82</v>
      </c>
      <c r="G441" s="150" t="s">
        <v>799</v>
      </c>
      <c r="H441" s="150">
        <v>0</v>
      </c>
      <c r="I441" s="150">
        <v>31599903</v>
      </c>
      <c r="J441" s="150">
        <v>1</v>
      </c>
      <c r="K441" s="150">
        <v>21763</v>
      </c>
      <c r="L441" s="150">
        <v>37802</v>
      </c>
      <c r="M441" s="150">
        <v>1128.48</v>
      </c>
      <c r="N441" s="150">
        <v>0</v>
      </c>
      <c r="O441" s="150">
        <v>95528</v>
      </c>
      <c r="P441" s="150">
        <v>100708</v>
      </c>
      <c r="Q441" s="150">
        <v>67000</v>
      </c>
      <c r="R441" s="150">
        <v>100708</v>
      </c>
    </row>
    <row r="442" spans="1:18" x14ac:dyDescent="0.25">
      <c r="A442" t="str">
        <f t="shared" si="6"/>
        <v>18-9-118</v>
      </c>
      <c r="B442">
        <v>18</v>
      </c>
      <c r="C442" s="150" t="s">
        <v>1170</v>
      </c>
      <c r="D442" s="150">
        <v>9</v>
      </c>
      <c r="E442" s="150" t="s">
        <v>683</v>
      </c>
      <c r="F442" s="150">
        <v>118</v>
      </c>
      <c r="G442" s="150" t="s">
        <v>901</v>
      </c>
      <c r="H442" s="150">
        <v>1239</v>
      </c>
      <c r="I442" s="150">
        <v>0</v>
      </c>
      <c r="J442" s="150" t="s">
        <v>1203</v>
      </c>
      <c r="K442" s="150">
        <v>0</v>
      </c>
      <c r="L442" s="150">
        <v>0</v>
      </c>
      <c r="M442" s="150">
        <v>0</v>
      </c>
      <c r="N442" s="150">
        <v>0</v>
      </c>
      <c r="O442" s="150">
        <v>13623</v>
      </c>
      <c r="P442" s="150">
        <v>14032</v>
      </c>
      <c r="Q442" s="150">
        <v>14453</v>
      </c>
      <c r="R442" s="150">
        <v>14453</v>
      </c>
    </row>
    <row r="443" spans="1:18" x14ac:dyDescent="0.25">
      <c r="A443" t="str">
        <f t="shared" si="6"/>
        <v>31-11-16</v>
      </c>
      <c r="B443">
        <v>31</v>
      </c>
      <c r="C443" s="150" t="s">
        <v>1183</v>
      </c>
      <c r="D443" s="150">
        <v>11</v>
      </c>
      <c r="E443" s="150" t="s">
        <v>1204</v>
      </c>
      <c r="F443" s="150">
        <v>16</v>
      </c>
      <c r="G443" s="150" t="s">
        <v>1050</v>
      </c>
      <c r="H443" s="150">
        <v>30057</v>
      </c>
      <c r="I443" s="150">
        <v>1351197</v>
      </c>
      <c r="J443" s="150" t="s">
        <v>1203</v>
      </c>
      <c r="K443" s="150">
        <v>4240</v>
      </c>
      <c r="L443" s="150">
        <v>744</v>
      </c>
      <c r="M443" s="150">
        <v>328.20000000000005</v>
      </c>
      <c r="N443" s="150">
        <v>0</v>
      </c>
      <c r="O443" s="150">
        <v>95241</v>
      </c>
      <c r="P443" s="150">
        <v>95241</v>
      </c>
      <c r="Q443" s="150">
        <v>99415.2</v>
      </c>
      <c r="R443" s="150">
        <v>99415.2</v>
      </c>
    </row>
    <row r="444" spans="1:18" x14ac:dyDescent="0.25">
      <c r="A444" t="str">
        <f t="shared" si="6"/>
        <v>1-7-35</v>
      </c>
      <c r="B444">
        <v>1</v>
      </c>
      <c r="C444" s="150" t="s">
        <v>1155</v>
      </c>
      <c r="D444" s="150">
        <v>7</v>
      </c>
      <c r="E444" s="150" t="s">
        <v>681</v>
      </c>
      <c r="F444" s="150">
        <v>35</v>
      </c>
      <c r="G444" s="150" t="s">
        <v>703</v>
      </c>
      <c r="H444" s="150">
        <v>0</v>
      </c>
      <c r="I444" s="150">
        <v>3307946</v>
      </c>
      <c r="J444" s="150">
        <v>1</v>
      </c>
      <c r="K444" s="150">
        <v>343</v>
      </c>
      <c r="L444" s="150">
        <v>466</v>
      </c>
      <c r="M444" s="150">
        <v>149.65</v>
      </c>
      <c r="N444" s="150">
        <v>0</v>
      </c>
      <c r="O444" s="150">
        <v>82541</v>
      </c>
      <c r="P444" s="150">
        <v>89144</v>
      </c>
      <c r="Q444" s="150">
        <v>96275.65</v>
      </c>
      <c r="R444" s="150">
        <v>96275.65</v>
      </c>
    </row>
    <row r="445" spans="1:18" x14ac:dyDescent="0.25">
      <c r="A445" t="str">
        <f t="shared" si="6"/>
        <v>14-7-35</v>
      </c>
      <c r="B445">
        <v>14</v>
      </c>
      <c r="C445" s="150" t="s">
        <v>1166</v>
      </c>
      <c r="D445" s="150">
        <v>7</v>
      </c>
      <c r="E445" s="150" t="s">
        <v>681</v>
      </c>
      <c r="F445" s="150">
        <v>35</v>
      </c>
      <c r="G445" s="150" t="s">
        <v>703</v>
      </c>
      <c r="H445" s="150">
        <v>0</v>
      </c>
      <c r="I445" s="150">
        <v>17384943</v>
      </c>
      <c r="J445" s="150">
        <v>1</v>
      </c>
      <c r="K445" s="150">
        <v>343</v>
      </c>
      <c r="L445" s="150">
        <v>466</v>
      </c>
      <c r="M445" s="150">
        <v>149.65</v>
      </c>
      <c r="N445" s="150">
        <v>0</v>
      </c>
      <c r="O445" s="150">
        <v>82541</v>
      </c>
      <c r="P445" s="150">
        <v>89144</v>
      </c>
      <c r="Q445" s="150">
        <v>96275.65</v>
      </c>
      <c r="R445" s="150">
        <v>96275.65</v>
      </c>
    </row>
    <row r="446" spans="1:18" x14ac:dyDescent="0.25">
      <c r="A446" t="str">
        <f t="shared" si="6"/>
        <v>15-7-37</v>
      </c>
      <c r="B446">
        <v>15</v>
      </c>
      <c r="C446" s="150" t="s">
        <v>1167</v>
      </c>
      <c r="D446" s="150">
        <v>7</v>
      </c>
      <c r="E446" s="150" t="s">
        <v>681</v>
      </c>
      <c r="F446" s="150">
        <v>37</v>
      </c>
      <c r="G446" s="150" t="s">
        <v>868</v>
      </c>
      <c r="H446" s="150">
        <v>4533</v>
      </c>
      <c r="I446" s="150">
        <v>91251700</v>
      </c>
      <c r="J446" s="150" t="s">
        <v>1203</v>
      </c>
      <c r="K446" s="150">
        <v>763</v>
      </c>
      <c r="L446" s="150">
        <v>1250</v>
      </c>
      <c r="M446" s="150">
        <v>484.06000000000006</v>
      </c>
      <c r="N446" s="150">
        <v>0</v>
      </c>
      <c r="O446" s="150">
        <v>108485</v>
      </c>
      <c r="P446" s="150">
        <v>111981</v>
      </c>
      <c r="Q446" s="150">
        <v>103717.06</v>
      </c>
      <c r="R446" s="150">
        <v>111981</v>
      </c>
    </row>
    <row r="447" spans="1:18" x14ac:dyDescent="0.25">
      <c r="A447" t="str">
        <f t="shared" si="6"/>
        <v>21-7-198</v>
      </c>
      <c r="B447">
        <v>21</v>
      </c>
      <c r="C447" s="150" t="s">
        <v>1173</v>
      </c>
      <c r="D447" s="150">
        <v>7</v>
      </c>
      <c r="E447" s="150" t="s">
        <v>681</v>
      </c>
      <c r="F447" s="150">
        <v>198</v>
      </c>
      <c r="G447" s="150" t="s">
        <v>941</v>
      </c>
      <c r="H447" s="150">
        <v>0</v>
      </c>
      <c r="I447" s="150">
        <v>2272098</v>
      </c>
      <c r="J447" s="150" t="s">
        <v>1203</v>
      </c>
      <c r="K447" s="150">
        <v>697</v>
      </c>
      <c r="L447" s="150">
        <v>9</v>
      </c>
      <c r="M447" s="150">
        <v>0.83</v>
      </c>
      <c r="N447" s="150">
        <v>0</v>
      </c>
      <c r="O447" s="150">
        <v>3911</v>
      </c>
      <c r="P447" s="150">
        <v>4224</v>
      </c>
      <c r="Q447" s="150">
        <v>4386.83</v>
      </c>
      <c r="R447" s="150">
        <v>4386.83</v>
      </c>
    </row>
    <row r="448" spans="1:18" x14ac:dyDescent="0.25">
      <c r="A448" t="str">
        <f t="shared" si="6"/>
        <v>39-7-39</v>
      </c>
      <c r="B448">
        <v>39</v>
      </c>
      <c r="C448" s="150" t="s">
        <v>164</v>
      </c>
      <c r="D448" s="150">
        <v>7</v>
      </c>
      <c r="E448" s="150" t="s">
        <v>681</v>
      </c>
      <c r="F448" s="150">
        <v>39</v>
      </c>
      <c r="G448" s="150" t="s">
        <v>621</v>
      </c>
      <c r="H448" s="150">
        <v>0</v>
      </c>
      <c r="I448" s="150">
        <v>81858477</v>
      </c>
      <c r="J448" s="150" t="s">
        <v>1203</v>
      </c>
      <c r="K448" s="150">
        <v>3654</v>
      </c>
      <c r="L448" s="150">
        <v>1426</v>
      </c>
      <c r="M448" s="150">
        <v>1263.6100000000001</v>
      </c>
      <c r="N448" s="150">
        <v>4719.145958023606</v>
      </c>
      <c r="O448" s="150">
        <v>109512</v>
      </c>
      <c r="P448" s="150">
        <v>190789</v>
      </c>
      <c r="Q448" s="150">
        <v>192052.61</v>
      </c>
      <c r="R448" s="150">
        <v>192052.61</v>
      </c>
    </row>
    <row r="449" spans="1:18" x14ac:dyDescent="0.25">
      <c r="A449" t="str">
        <f t="shared" si="6"/>
        <v>25-7-41</v>
      </c>
      <c r="B449">
        <v>25</v>
      </c>
      <c r="C449" s="150" t="s">
        <v>1177</v>
      </c>
      <c r="D449" s="150">
        <v>7</v>
      </c>
      <c r="E449" s="150" t="s">
        <v>681</v>
      </c>
      <c r="F449" s="150">
        <v>41</v>
      </c>
      <c r="G449" s="150" t="s">
        <v>461</v>
      </c>
      <c r="H449" s="150">
        <v>234</v>
      </c>
      <c r="I449" s="150">
        <v>992402</v>
      </c>
      <c r="J449" s="150" t="s">
        <v>1203</v>
      </c>
      <c r="K449" s="150">
        <v>157</v>
      </c>
      <c r="L449" s="150">
        <v>27</v>
      </c>
      <c r="M449" s="150">
        <v>7.8</v>
      </c>
      <c r="N449" s="150">
        <v>0</v>
      </c>
      <c r="O449" s="150">
        <v>2256</v>
      </c>
      <c r="P449" s="150">
        <v>2283</v>
      </c>
      <c r="Q449" s="150">
        <v>2350.8000000000002</v>
      </c>
      <c r="R449" s="150">
        <v>2350.8000000000002</v>
      </c>
    </row>
    <row r="450" spans="1:18" x14ac:dyDescent="0.25">
      <c r="A450" t="str">
        <f t="shared" si="6"/>
        <v>25-11-18</v>
      </c>
      <c r="B450">
        <v>25</v>
      </c>
      <c r="C450" s="150" t="s">
        <v>1177</v>
      </c>
      <c r="D450" s="150">
        <v>11</v>
      </c>
      <c r="E450" s="150" t="s">
        <v>1204</v>
      </c>
      <c r="F450" s="150">
        <v>18</v>
      </c>
      <c r="G450" s="150" t="s">
        <v>476</v>
      </c>
      <c r="H450" s="150">
        <v>1944</v>
      </c>
      <c r="I450" s="150">
        <v>999092</v>
      </c>
      <c r="J450" s="150" t="s">
        <v>1203</v>
      </c>
      <c r="K450" s="150">
        <v>2601</v>
      </c>
      <c r="L450" s="150">
        <v>384</v>
      </c>
      <c r="M450" s="150">
        <v>111.2</v>
      </c>
      <c r="N450" s="150">
        <v>0</v>
      </c>
      <c r="O450" s="150">
        <v>38430</v>
      </c>
      <c r="P450" s="150">
        <v>38046</v>
      </c>
      <c r="Q450" s="150">
        <v>38551.199999999997</v>
      </c>
      <c r="R450" s="150">
        <v>38551.199999999997</v>
      </c>
    </row>
    <row r="451" spans="1:18" x14ac:dyDescent="0.25">
      <c r="A451" t="str">
        <f t="shared" si="6"/>
        <v>5-9-152</v>
      </c>
      <c r="B451">
        <v>5</v>
      </c>
      <c r="C451" s="150" t="s">
        <v>1158</v>
      </c>
      <c r="D451" s="150">
        <v>9</v>
      </c>
      <c r="E451" s="150" t="s">
        <v>683</v>
      </c>
      <c r="F451" s="150">
        <v>152</v>
      </c>
      <c r="G451" s="150" t="s">
        <v>632</v>
      </c>
      <c r="H451" s="150">
        <v>3872</v>
      </c>
      <c r="I451" s="150">
        <v>0</v>
      </c>
      <c r="J451" s="150">
        <v>1</v>
      </c>
      <c r="K451" s="150">
        <v>25</v>
      </c>
      <c r="L451" s="150">
        <v>465</v>
      </c>
      <c r="M451" s="150">
        <v>210.44</v>
      </c>
      <c r="N451" s="150">
        <v>0</v>
      </c>
      <c r="O451" s="150">
        <v>35361</v>
      </c>
      <c r="P451" s="150">
        <v>36563</v>
      </c>
      <c r="Q451" s="150">
        <v>38517.440000000002</v>
      </c>
      <c r="R451" s="150">
        <v>38517.440000000002</v>
      </c>
    </row>
    <row r="452" spans="1:18" x14ac:dyDescent="0.25">
      <c r="A452" t="str">
        <f t="shared" si="6"/>
        <v>40-9-152</v>
      </c>
      <c r="B452">
        <v>40</v>
      </c>
      <c r="C452" s="150" t="s">
        <v>1190</v>
      </c>
      <c r="D452" s="150">
        <v>9</v>
      </c>
      <c r="E452" s="150" t="s">
        <v>683</v>
      </c>
      <c r="F452" s="150">
        <v>152</v>
      </c>
      <c r="G452" s="150" t="s">
        <v>632</v>
      </c>
      <c r="H452" s="150">
        <v>3872</v>
      </c>
      <c r="I452" s="150">
        <v>0</v>
      </c>
      <c r="J452" s="150">
        <v>1</v>
      </c>
      <c r="K452" s="150">
        <v>25</v>
      </c>
      <c r="L452" s="150">
        <v>465</v>
      </c>
      <c r="M452" s="150">
        <v>210.44</v>
      </c>
      <c r="N452" s="150">
        <v>0</v>
      </c>
      <c r="O452" s="150">
        <v>35361</v>
      </c>
      <c r="P452" s="150">
        <v>36563</v>
      </c>
      <c r="Q452" s="150">
        <v>38517.440000000002</v>
      </c>
      <c r="R452" s="150">
        <v>38517.440000000002</v>
      </c>
    </row>
    <row r="453" spans="1:18" x14ac:dyDescent="0.25">
      <c r="A453" t="str">
        <f t="shared" si="6"/>
        <v>5-20-66</v>
      </c>
      <c r="B453">
        <v>5</v>
      </c>
      <c r="C453" s="150" t="s">
        <v>1158</v>
      </c>
      <c r="D453" s="150">
        <v>20</v>
      </c>
      <c r="E453" s="150" t="s">
        <v>238</v>
      </c>
      <c r="F453" s="150">
        <v>66</v>
      </c>
      <c r="G453" s="150" t="s">
        <v>770</v>
      </c>
      <c r="H453" s="150">
        <v>2281</v>
      </c>
      <c r="I453" s="150">
        <v>44656</v>
      </c>
      <c r="J453" s="150" t="s">
        <v>1203</v>
      </c>
      <c r="K453" s="150">
        <v>0</v>
      </c>
      <c r="L453" s="150">
        <v>0</v>
      </c>
      <c r="M453" s="150">
        <v>0.06</v>
      </c>
      <c r="N453" s="150">
        <v>0</v>
      </c>
      <c r="O453" s="150">
        <v>15112</v>
      </c>
      <c r="P453" s="150">
        <v>16321</v>
      </c>
      <c r="Q453" s="150">
        <v>16973.060000000001</v>
      </c>
      <c r="R453" s="150">
        <v>16973.060000000001</v>
      </c>
    </row>
    <row r="454" spans="1:18" x14ac:dyDescent="0.25">
      <c r="A454" t="str">
        <f t="shared" ref="A454:A517" si="7">B454&amp;"-"&amp;D454&amp;"-"&amp;F454</f>
        <v>42-7-206</v>
      </c>
      <c r="B454">
        <v>42</v>
      </c>
      <c r="C454" s="150" t="s">
        <v>1194</v>
      </c>
      <c r="D454" s="150">
        <v>7</v>
      </c>
      <c r="E454" s="150" t="s">
        <v>681</v>
      </c>
      <c r="F454" s="150">
        <v>206</v>
      </c>
      <c r="G454" s="150" t="s">
        <v>1128</v>
      </c>
      <c r="H454" s="150">
        <v>4004</v>
      </c>
      <c r="I454" s="150">
        <v>59221959</v>
      </c>
      <c r="J454" s="150" t="s">
        <v>1203</v>
      </c>
      <c r="K454" s="150">
        <v>0</v>
      </c>
      <c r="L454" s="150">
        <v>0</v>
      </c>
      <c r="M454" s="150">
        <v>168.79999999999998</v>
      </c>
      <c r="N454" s="150">
        <v>44</v>
      </c>
      <c r="O454" s="150">
        <v>83796</v>
      </c>
      <c r="P454" s="150">
        <v>86809</v>
      </c>
      <c r="Q454" s="150">
        <v>91287.8</v>
      </c>
      <c r="R454" s="150">
        <v>91287.8</v>
      </c>
    </row>
    <row r="455" spans="1:18" x14ac:dyDescent="0.25">
      <c r="A455" t="str">
        <f t="shared" si="7"/>
        <v>42-11-19</v>
      </c>
      <c r="B455">
        <v>42</v>
      </c>
      <c r="C455" s="150" t="s">
        <v>1194</v>
      </c>
      <c r="D455" s="150">
        <v>11</v>
      </c>
      <c r="E455" s="150" t="s">
        <v>1204</v>
      </c>
      <c r="F455" s="150">
        <v>19</v>
      </c>
      <c r="G455" s="150" t="s">
        <v>1135</v>
      </c>
      <c r="H455" s="150">
        <v>0</v>
      </c>
      <c r="I455" s="150">
        <v>32932635</v>
      </c>
      <c r="J455" s="150" t="s">
        <v>1203</v>
      </c>
      <c r="K455" s="150">
        <v>7973</v>
      </c>
      <c r="L455" s="150">
        <v>2670</v>
      </c>
      <c r="M455" s="150">
        <v>1436.23</v>
      </c>
      <c r="N455" s="150">
        <v>0</v>
      </c>
      <c r="O455" s="150">
        <v>557246</v>
      </c>
      <c r="P455" s="150">
        <v>582128</v>
      </c>
      <c r="Q455" s="150">
        <v>612911.23</v>
      </c>
      <c r="R455" s="150">
        <v>612911.23</v>
      </c>
    </row>
    <row r="456" spans="1:18" x14ac:dyDescent="0.25">
      <c r="A456" t="str">
        <f t="shared" si="7"/>
        <v>42-17-10</v>
      </c>
      <c r="B456">
        <v>42</v>
      </c>
      <c r="C456" s="150" t="s">
        <v>1194</v>
      </c>
      <c r="D456" s="150">
        <v>17</v>
      </c>
      <c r="E456" s="150" t="s">
        <v>688</v>
      </c>
      <c r="F456" s="150">
        <v>10</v>
      </c>
      <c r="G456" s="150" t="s">
        <v>655</v>
      </c>
      <c r="H456" s="150">
        <v>0</v>
      </c>
      <c r="I456" s="150">
        <v>32932635</v>
      </c>
      <c r="J456" s="150" t="s">
        <v>1203</v>
      </c>
      <c r="K456" s="150">
        <v>2243</v>
      </c>
      <c r="L456" s="150">
        <v>943</v>
      </c>
      <c r="M456" s="150">
        <v>410.76</v>
      </c>
      <c r="N456" s="150">
        <v>0</v>
      </c>
      <c r="O456" s="150">
        <v>159522</v>
      </c>
      <c r="P456" s="150">
        <v>166645</v>
      </c>
      <c r="Q456" s="150">
        <v>175456.76</v>
      </c>
      <c r="R456" s="150">
        <v>175456.76</v>
      </c>
    </row>
    <row r="457" spans="1:18" x14ac:dyDescent="0.25">
      <c r="A457" t="str">
        <f t="shared" si="7"/>
        <v>42-9-147</v>
      </c>
      <c r="B457">
        <v>42</v>
      </c>
      <c r="C457" s="150" t="s">
        <v>1194</v>
      </c>
      <c r="D457" s="150">
        <v>9</v>
      </c>
      <c r="E457" s="150" t="s">
        <v>683</v>
      </c>
      <c r="F457" s="150">
        <v>147</v>
      </c>
      <c r="G457" s="150" t="s">
        <v>1133</v>
      </c>
      <c r="H457" s="150">
        <v>0</v>
      </c>
      <c r="I457" s="150">
        <v>3138923</v>
      </c>
      <c r="J457" s="150" t="s">
        <v>1203</v>
      </c>
      <c r="K457" s="150">
        <v>12268</v>
      </c>
      <c r="L457" s="150">
        <v>1108</v>
      </c>
      <c r="M457" s="150">
        <v>456.56</v>
      </c>
      <c r="N457" s="150">
        <v>0</v>
      </c>
      <c r="O457" s="150">
        <v>504829</v>
      </c>
      <c r="P457" s="150">
        <v>530056</v>
      </c>
      <c r="Q457" s="150">
        <v>572459.56000000006</v>
      </c>
      <c r="R457" s="150">
        <v>572459.56000000006</v>
      </c>
    </row>
    <row r="458" spans="1:18" x14ac:dyDescent="0.25">
      <c r="A458" t="str">
        <f t="shared" si="7"/>
        <v>42-4-168</v>
      </c>
      <c r="B458">
        <v>42</v>
      </c>
      <c r="C458" s="150" t="s">
        <v>1194</v>
      </c>
      <c r="D458" s="150">
        <v>4</v>
      </c>
      <c r="E458" s="150" t="s">
        <v>146</v>
      </c>
      <c r="F458" s="150">
        <v>168</v>
      </c>
      <c r="G458" s="150" t="s">
        <v>1124</v>
      </c>
      <c r="H458" s="150">
        <v>0</v>
      </c>
      <c r="I458" s="150">
        <v>59221959</v>
      </c>
      <c r="J458" s="150" t="s">
        <v>1203</v>
      </c>
      <c r="K458" s="150">
        <v>12953</v>
      </c>
      <c r="L458" s="150">
        <v>11702</v>
      </c>
      <c r="M458" s="150">
        <v>3600.69</v>
      </c>
      <c r="N458" s="150">
        <v>936</v>
      </c>
      <c r="O458" s="150">
        <v>26143</v>
      </c>
      <c r="P458" s="150">
        <v>28392</v>
      </c>
      <c r="Q458" s="150">
        <v>28935</v>
      </c>
      <c r="R458" s="150">
        <v>28935</v>
      </c>
    </row>
    <row r="459" spans="1:18" x14ac:dyDescent="0.25">
      <c r="A459" t="str">
        <f t="shared" si="7"/>
        <v>10-9-20</v>
      </c>
      <c r="B459">
        <v>10</v>
      </c>
      <c r="C459" s="150" t="s">
        <v>1162</v>
      </c>
      <c r="D459" s="150">
        <v>9</v>
      </c>
      <c r="E459" s="150" t="s">
        <v>683</v>
      </c>
      <c r="F459" s="150">
        <v>20</v>
      </c>
      <c r="G459" s="150" t="s">
        <v>831</v>
      </c>
      <c r="H459" s="150">
        <v>1125788</v>
      </c>
      <c r="I459" s="150">
        <v>0</v>
      </c>
      <c r="J459" s="150" t="s">
        <v>1203</v>
      </c>
      <c r="K459" s="150">
        <v>43321</v>
      </c>
      <c r="L459" s="150">
        <v>26495</v>
      </c>
      <c r="M459" s="150">
        <v>9611.7900000000009</v>
      </c>
      <c r="N459" s="150">
        <v>0</v>
      </c>
      <c r="O459" s="150">
        <v>3558811</v>
      </c>
      <c r="P459" s="150">
        <v>3741326</v>
      </c>
      <c r="Q459" s="150">
        <v>3987179.79</v>
      </c>
      <c r="R459" s="150">
        <v>3987179.79</v>
      </c>
    </row>
    <row r="460" spans="1:18" x14ac:dyDescent="0.25">
      <c r="A460" t="str">
        <f t="shared" si="7"/>
        <v>27-9-24</v>
      </c>
      <c r="B460">
        <v>27</v>
      </c>
      <c r="C460" s="150" t="s">
        <v>1179</v>
      </c>
      <c r="D460" s="150">
        <v>9</v>
      </c>
      <c r="E460" s="150" t="s">
        <v>683</v>
      </c>
      <c r="F460" s="150">
        <v>24</v>
      </c>
      <c r="G460" s="150" t="s">
        <v>1261</v>
      </c>
      <c r="H460" s="150">
        <v>44</v>
      </c>
      <c r="I460" s="150">
        <v>23144000</v>
      </c>
      <c r="J460" s="150" t="s">
        <v>1203</v>
      </c>
      <c r="K460" s="150">
        <v>16194</v>
      </c>
      <c r="L460" s="150">
        <v>2123</v>
      </c>
      <c r="M460" s="150">
        <v>933.27</v>
      </c>
      <c r="N460" s="150">
        <v>0</v>
      </c>
      <c r="O460" s="150">
        <v>277026</v>
      </c>
      <c r="P460" s="150">
        <v>285637</v>
      </c>
      <c r="Q460" s="150">
        <v>297369.27</v>
      </c>
      <c r="R460" s="150">
        <v>297369.27</v>
      </c>
    </row>
    <row r="461" spans="1:18" x14ac:dyDescent="0.25">
      <c r="A461" t="str">
        <f t="shared" si="7"/>
        <v>6-4-21</v>
      </c>
      <c r="B461">
        <v>6</v>
      </c>
      <c r="C461" s="150" t="s">
        <v>1159</v>
      </c>
      <c r="D461" s="150">
        <v>4</v>
      </c>
      <c r="E461" s="150" t="s">
        <v>146</v>
      </c>
      <c r="F461" s="150">
        <v>21</v>
      </c>
      <c r="G461" s="150" t="s">
        <v>774</v>
      </c>
      <c r="H461" s="150">
        <v>0</v>
      </c>
      <c r="I461" s="150">
        <v>32742028</v>
      </c>
      <c r="J461" s="150" t="s">
        <v>1203</v>
      </c>
      <c r="K461" s="150">
        <v>17535</v>
      </c>
      <c r="L461" s="150">
        <v>2943</v>
      </c>
      <c r="M461" s="150">
        <v>970.99</v>
      </c>
      <c r="N461" s="150">
        <v>0</v>
      </c>
      <c r="O461" s="150">
        <v>43382</v>
      </c>
      <c r="P461" s="150">
        <v>43382</v>
      </c>
      <c r="Q461" s="150">
        <v>45765</v>
      </c>
      <c r="R461" s="150">
        <v>45765</v>
      </c>
    </row>
    <row r="462" spans="1:18" x14ac:dyDescent="0.25">
      <c r="A462" t="str">
        <f t="shared" si="7"/>
        <v>4-15-14</v>
      </c>
      <c r="B462">
        <v>4</v>
      </c>
      <c r="C462" s="150" t="s">
        <v>1196</v>
      </c>
      <c r="D462" s="150">
        <v>15</v>
      </c>
      <c r="E462" s="150" t="s">
        <v>237</v>
      </c>
      <c r="F462" s="150">
        <v>14</v>
      </c>
      <c r="G462" s="150" t="s">
        <v>758</v>
      </c>
      <c r="H462" s="150">
        <v>68670</v>
      </c>
      <c r="I462" s="150">
        <v>2193623</v>
      </c>
      <c r="J462" s="150" t="s">
        <v>1203</v>
      </c>
      <c r="K462" s="150">
        <v>0</v>
      </c>
      <c r="L462" s="150">
        <v>144</v>
      </c>
      <c r="M462" s="150">
        <v>5.96</v>
      </c>
      <c r="N462" s="150">
        <v>0</v>
      </c>
      <c r="O462" s="150">
        <v>90144</v>
      </c>
      <c r="P462" s="150">
        <v>94281</v>
      </c>
      <c r="Q462" s="150">
        <v>94286.96</v>
      </c>
      <c r="R462" s="150">
        <v>94286.96</v>
      </c>
    </row>
    <row r="463" spans="1:18" x14ac:dyDescent="0.25">
      <c r="A463" t="str">
        <f t="shared" si="7"/>
        <v>4-7-42</v>
      </c>
      <c r="B463">
        <v>4</v>
      </c>
      <c r="C463" s="150" t="s">
        <v>1196</v>
      </c>
      <c r="D463" s="150">
        <v>7</v>
      </c>
      <c r="E463" s="150" t="s">
        <v>681</v>
      </c>
      <c r="F463" s="150">
        <v>42</v>
      </c>
      <c r="G463" s="150" t="s">
        <v>207</v>
      </c>
      <c r="H463" s="150">
        <v>0</v>
      </c>
      <c r="I463" s="150">
        <v>2704472</v>
      </c>
      <c r="J463" s="150" t="s">
        <v>1203</v>
      </c>
      <c r="K463" s="150">
        <v>1</v>
      </c>
      <c r="L463" s="150">
        <v>12</v>
      </c>
      <c r="M463" s="150">
        <v>0.85000000000000009</v>
      </c>
      <c r="N463" s="150">
        <v>0</v>
      </c>
      <c r="O463" s="150">
        <v>13989</v>
      </c>
      <c r="P463" s="150">
        <v>14616</v>
      </c>
      <c r="Q463" s="150">
        <v>15390.85</v>
      </c>
      <c r="R463" s="150">
        <v>15390.85</v>
      </c>
    </row>
    <row r="464" spans="1:18" x14ac:dyDescent="0.25">
      <c r="A464" t="str">
        <f t="shared" si="7"/>
        <v>4-19-28</v>
      </c>
      <c r="B464">
        <v>4</v>
      </c>
      <c r="C464" s="150" t="s">
        <v>1196</v>
      </c>
      <c r="D464" s="150">
        <v>19</v>
      </c>
      <c r="E464" s="150" t="s">
        <v>1205</v>
      </c>
      <c r="F464" s="150">
        <v>28</v>
      </c>
      <c r="G464" s="150" t="s">
        <v>759</v>
      </c>
      <c r="H464" s="150">
        <v>108</v>
      </c>
      <c r="I464" s="150">
        <v>2310478</v>
      </c>
      <c r="J464" s="150" t="s">
        <v>1203</v>
      </c>
      <c r="K464" s="150">
        <v>0</v>
      </c>
      <c r="L464" s="150">
        <v>34</v>
      </c>
      <c r="M464" s="150">
        <v>2.75</v>
      </c>
      <c r="N464" s="150">
        <v>0</v>
      </c>
      <c r="O464" s="150">
        <v>41407</v>
      </c>
      <c r="P464" s="150">
        <v>43302</v>
      </c>
      <c r="Q464" s="150">
        <v>46048.75</v>
      </c>
      <c r="R464" s="150">
        <v>46048.75</v>
      </c>
    </row>
    <row r="465" spans="1:18" x14ac:dyDescent="0.25">
      <c r="A465" t="str">
        <f t="shared" si="7"/>
        <v>6-10-1</v>
      </c>
      <c r="B465">
        <v>6</v>
      </c>
      <c r="C465" s="150" t="s">
        <v>1159</v>
      </c>
      <c r="D465" s="150">
        <v>10</v>
      </c>
      <c r="E465" s="150" t="s">
        <v>684</v>
      </c>
      <c r="F465" s="150">
        <v>1</v>
      </c>
      <c r="G465" s="150" t="s">
        <v>233</v>
      </c>
      <c r="H465" s="150">
        <v>11</v>
      </c>
      <c r="I465" s="150">
        <v>0</v>
      </c>
      <c r="J465" s="150">
        <v>1</v>
      </c>
      <c r="K465" s="150">
        <v>0</v>
      </c>
      <c r="L465" s="150">
        <v>0</v>
      </c>
      <c r="M465" s="150">
        <v>0</v>
      </c>
      <c r="N465" s="150">
        <v>0</v>
      </c>
      <c r="O465" s="150">
        <v>63007</v>
      </c>
      <c r="P465" s="150">
        <v>66374</v>
      </c>
      <c r="Q465" s="150">
        <v>70035</v>
      </c>
      <c r="R465" s="150">
        <v>70035</v>
      </c>
    </row>
    <row r="466" spans="1:18" x14ac:dyDescent="0.25">
      <c r="A466" t="str">
        <f t="shared" si="7"/>
        <v>10-10-1</v>
      </c>
      <c r="B466">
        <v>10</v>
      </c>
      <c r="C466" s="150" t="s">
        <v>1162</v>
      </c>
      <c r="D466" s="150">
        <v>10</v>
      </c>
      <c r="E466" s="150" t="s">
        <v>684</v>
      </c>
      <c r="F466" s="150">
        <v>1</v>
      </c>
      <c r="G466" s="150" t="s">
        <v>233</v>
      </c>
      <c r="H466" s="150">
        <v>11</v>
      </c>
      <c r="I466" s="150">
        <v>0</v>
      </c>
      <c r="J466" s="150">
        <v>1</v>
      </c>
      <c r="K466" s="150">
        <v>0</v>
      </c>
      <c r="L466" s="150">
        <v>0</v>
      </c>
      <c r="M466" s="150">
        <v>0</v>
      </c>
      <c r="N466" s="150">
        <v>0</v>
      </c>
      <c r="O466" s="150">
        <v>63007</v>
      </c>
      <c r="P466" s="150">
        <v>66374</v>
      </c>
      <c r="Q466" s="150">
        <v>70035</v>
      </c>
      <c r="R466" s="150">
        <v>70035</v>
      </c>
    </row>
    <row r="467" spans="1:18" x14ac:dyDescent="0.25">
      <c r="A467" t="str">
        <f t="shared" si="7"/>
        <v>26-10-1</v>
      </c>
      <c r="B467">
        <v>26</v>
      </c>
      <c r="C467" s="150" t="s">
        <v>1178</v>
      </c>
      <c r="D467" s="150">
        <v>10</v>
      </c>
      <c r="E467" s="150" t="s">
        <v>684</v>
      </c>
      <c r="F467" s="150">
        <v>1</v>
      </c>
      <c r="G467" s="150" t="s">
        <v>233</v>
      </c>
      <c r="H467" s="150">
        <v>11</v>
      </c>
      <c r="I467" s="150">
        <v>0</v>
      </c>
      <c r="J467" s="150">
        <v>1</v>
      </c>
      <c r="K467" s="150">
        <v>0</v>
      </c>
      <c r="L467" s="150">
        <v>0</v>
      </c>
      <c r="M467" s="150">
        <v>0</v>
      </c>
      <c r="N467" s="150">
        <v>0</v>
      </c>
      <c r="O467" s="150">
        <v>63007</v>
      </c>
      <c r="P467" s="150">
        <v>66374</v>
      </c>
      <c r="Q467" s="150">
        <v>70035</v>
      </c>
      <c r="R467" s="150">
        <v>70035</v>
      </c>
    </row>
    <row r="468" spans="1:18" x14ac:dyDescent="0.25">
      <c r="A468" t="str">
        <f t="shared" si="7"/>
        <v>33-10-1</v>
      </c>
      <c r="B468">
        <v>33</v>
      </c>
      <c r="C468" s="150" t="s">
        <v>1185</v>
      </c>
      <c r="D468" s="150">
        <v>10</v>
      </c>
      <c r="E468" s="150" t="s">
        <v>684</v>
      </c>
      <c r="F468" s="150">
        <v>1</v>
      </c>
      <c r="G468" s="150" t="s">
        <v>233</v>
      </c>
      <c r="H468" s="150">
        <v>11</v>
      </c>
      <c r="I468" s="150">
        <v>0</v>
      </c>
      <c r="J468" s="150">
        <v>1</v>
      </c>
      <c r="K468" s="150">
        <v>0</v>
      </c>
      <c r="L468" s="150">
        <v>0</v>
      </c>
      <c r="M468" s="150">
        <v>0</v>
      </c>
      <c r="N468" s="150">
        <v>0</v>
      </c>
      <c r="O468" s="150">
        <v>63007</v>
      </c>
      <c r="P468" s="150">
        <v>66374</v>
      </c>
      <c r="Q468" s="150">
        <v>70035</v>
      </c>
      <c r="R468" s="150">
        <v>70035</v>
      </c>
    </row>
    <row r="469" spans="1:18" x14ac:dyDescent="0.25">
      <c r="A469" t="str">
        <f t="shared" si="7"/>
        <v>1-10-13</v>
      </c>
      <c r="B469">
        <v>1</v>
      </c>
      <c r="C469" s="150" t="s">
        <v>1155</v>
      </c>
      <c r="D469" s="150">
        <v>10</v>
      </c>
      <c r="E469" s="150" t="s">
        <v>684</v>
      </c>
      <c r="F469" s="150">
        <v>13</v>
      </c>
      <c r="G469" s="150" t="s">
        <v>174</v>
      </c>
      <c r="H469" s="150">
        <v>0</v>
      </c>
      <c r="I469" s="150">
        <v>0</v>
      </c>
      <c r="J469" s="150">
        <v>1</v>
      </c>
      <c r="K469" s="150">
        <v>0</v>
      </c>
      <c r="L469" s="150">
        <v>0</v>
      </c>
      <c r="M469" s="150">
        <v>0</v>
      </c>
      <c r="N469" s="150">
        <v>0</v>
      </c>
      <c r="O469" s="150">
        <v>473380</v>
      </c>
      <c r="P469" s="150">
        <v>504186</v>
      </c>
      <c r="Q469" s="150">
        <v>530706</v>
      </c>
      <c r="R469" s="150">
        <v>530706</v>
      </c>
    </row>
    <row r="470" spans="1:18" x14ac:dyDescent="0.25">
      <c r="A470" t="str">
        <f t="shared" si="7"/>
        <v>14-10-13</v>
      </c>
      <c r="B470">
        <v>14</v>
      </c>
      <c r="C470" s="150" t="s">
        <v>1166</v>
      </c>
      <c r="D470" s="150">
        <v>10</v>
      </c>
      <c r="E470" s="150" t="s">
        <v>684</v>
      </c>
      <c r="F470" s="150">
        <v>13</v>
      </c>
      <c r="G470" s="150" t="s">
        <v>174</v>
      </c>
      <c r="H470" s="150">
        <v>0</v>
      </c>
      <c r="I470" s="150">
        <v>0</v>
      </c>
      <c r="J470" s="150">
        <v>1</v>
      </c>
      <c r="K470" s="150">
        <v>0</v>
      </c>
      <c r="L470" s="150">
        <v>0</v>
      </c>
      <c r="M470" s="150">
        <v>0</v>
      </c>
      <c r="N470" s="150">
        <v>0</v>
      </c>
      <c r="O470" s="150">
        <v>473380</v>
      </c>
      <c r="P470" s="150">
        <v>504186</v>
      </c>
      <c r="Q470" s="150">
        <v>530706</v>
      </c>
      <c r="R470" s="150">
        <v>530706</v>
      </c>
    </row>
    <row r="471" spans="1:18" x14ac:dyDescent="0.25">
      <c r="A471" t="str">
        <f t="shared" si="7"/>
        <v>14-10-15</v>
      </c>
      <c r="B471">
        <v>14</v>
      </c>
      <c r="C471" s="150" t="s">
        <v>1166</v>
      </c>
      <c r="D471" s="150">
        <v>10</v>
      </c>
      <c r="E471" s="150" t="s">
        <v>684</v>
      </c>
      <c r="F471" s="150">
        <v>15</v>
      </c>
      <c r="G471" s="150" t="s">
        <v>332</v>
      </c>
      <c r="H471" s="150">
        <v>0</v>
      </c>
      <c r="I471" s="150">
        <v>0</v>
      </c>
      <c r="J471" s="150" t="s">
        <v>1203</v>
      </c>
      <c r="K471" s="150">
        <v>0</v>
      </c>
      <c r="L471" s="150">
        <v>0</v>
      </c>
      <c r="M471" s="150">
        <v>0</v>
      </c>
      <c r="N471" s="150">
        <v>0</v>
      </c>
      <c r="O471" s="150">
        <v>60443</v>
      </c>
      <c r="P471" s="150">
        <v>62899</v>
      </c>
      <c r="Q471" s="150">
        <v>67462</v>
      </c>
      <c r="R471" s="150">
        <v>67462</v>
      </c>
    </row>
    <row r="472" spans="1:18" x14ac:dyDescent="0.25">
      <c r="A472" t="str">
        <f t="shared" si="7"/>
        <v>2-10-6</v>
      </c>
      <c r="B472">
        <v>2</v>
      </c>
      <c r="C472" s="150" t="s">
        <v>1156</v>
      </c>
      <c r="D472" s="150">
        <v>10</v>
      </c>
      <c r="E472" s="150" t="s">
        <v>684</v>
      </c>
      <c r="F472" s="150">
        <v>6</v>
      </c>
      <c r="G472" s="150" t="s">
        <v>181</v>
      </c>
      <c r="H472" s="150">
        <v>579</v>
      </c>
      <c r="I472" s="150">
        <v>0</v>
      </c>
      <c r="J472" s="150">
        <v>1</v>
      </c>
      <c r="K472" s="150">
        <v>0</v>
      </c>
      <c r="L472" s="150">
        <v>0</v>
      </c>
      <c r="M472" s="150">
        <v>0</v>
      </c>
      <c r="N472" s="150">
        <v>0</v>
      </c>
      <c r="O472" s="150">
        <v>17480</v>
      </c>
      <c r="P472" s="150">
        <v>17480</v>
      </c>
      <c r="Q472" s="150">
        <v>17480</v>
      </c>
      <c r="R472" s="150">
        <v>17480</v>
      </c>
    </row>
    <row r="473" spans="1:18" x14ac:dyDescent="0.25">
      <c r="A473" t="str">
        <f t="shared" si="7"/>
        <v>44-10-6</v>
      </c>
      <c r="B473">
        <v>44</v>
      </c>
      <c r="C473" s="150" t="s">
        <v>1193</v>
      </c>
      <c r="D473" s="150">
        <v>10</v>
      </c>
      <c r="E473" s="150" t="s">
        <v>684</v>
      </c>
      <c r="F473" s="150">
        <v>6</v>
      </c>
      <c r="G473" s="150" t="s">
        <v>181</v>
      </c>
      <c r="H473" s="150">
        <v>579</v>
      </c>
      <c r="I473" s="150">
        <v>0</v>
      </c>
      <c r="J473" s="150">
        <v>1</v>
      </c>
      <c r="K473" s="150">
        <v>0</v>
      </c>
      <c r="L473" s="150">
        <v>0</v>
      </c>
      <c r="M473" s="150">
        <v>0</v>
      </c>
      <c r="N473" s="150">
        <v>0</v>
      </c>
      <c r="O473" s="150">
        <v>17480</v>
      </c>
      <c r="P473" s="150">
        <v>17480</v>
      </c>
      <c r="Q473" s="150">
        <v>17480</v>
      </c>
      <c r="R473" s="150">
        <v>17480</v>
      </c>
    </row>
    <row r="474" spans="1:18" x14ac:dyDescent="0.25">
      <c r="A474" t="str">
        <f t="shared" si="7"/>
        <v>26-10-8</v>
      </c>
      <c r="B474">
        <v>26</v>
      </c>
      <c r="C474" s="150" t="s">
        <v>1178</v>
      </c>
      <c r="D474" s="150">
        <v>10</v>
      </c>
      <c r="E474" s="150" t="s">
        <v>684</v>
      </c>
      <c r="F474" s="150">
        <v>8</v>
      </c>
      <c r="G474" s="150" t="s">
        <v>487</v>
      </c>
      <c r="H474" s="150">
        <v>8</v>
      </c>
      <c r="I474" s="150">
        <v>0</v>
      </c>
      <c r="J474" s="150" t="s">
        <v>1203</v>
      </c>
      <c r="K474" s="150">
        <v>0</v>
      </c>
      <c r="L474" s="150">
        <v>0</v>
      </c>
      <c r="M474" s="150">
        <v>0</v>
      </c>
      <c r="N474" s="150">
        <v>0</v>
      </c>
      <c r="O474" s="150">
        <v>21523</v>
      </c>
      <c r="P474" s="150">
        <v>22217</v>
      </c>
      <c r="Q474" s="150">
        <v>23035</v>
      </c>
      <c r="R474" s="150">
        <v>23035</v>
      </c>
    </row>
    <row r="475" spans="1:18" x14ac:dyDescent="0.25">
      <c r="A475" t="str">
        <f t="shared" si="7"/>
        <v>25-10-9</v>
      </c>
      <c r="B475">
        <v>25</v>
      </c>
      <c r="C475" s="150" t="s">
        <v>1177</v>
      </c>
      <c r="D475" s="150">
        <v>10</v>
      </c>
      <c r="E475" s="150" t="s">
        <v>684</v>
      </c>
      <c r="F475" s="150">
        <v>9</v>
      </c>
      <c r="G475" s="150" t="s">
        <v>474</v>
      </c>
      <c r="H475" s="150">
        <v>0</v>
      </c>
      <c r="I475" s="150">
        <v>0</v>
      </c>
      <c r="J475" s="150" t="s">
        <v>1203</v>
      </c>
      <c r="K475" s="150">
        <v>0</v>
      </c>
      <c r="L475" s="150">
        <v>0</v>
      </c>
      <c r="M475" s="150">
        <v>0</v>
      </c>
      <c r="N475" s="150">
        <v>0</v>
      </c>
      <c r="O475" s="150">
        <v>2085</v>
      </c>
      <c r="P475" s="150">
        <v>2159</v>
      </c>
      <c r="Q475" s="150">
        <v>2159</v>
      </c>
      <c r="R475" s="150">
        <v>2159</v>
      </c>
    </row>
    <row r="476" spans="1:18" x14ac:dyDescent="0.25">
      <c r="A476" t="str">
        <f t="shared" si="7"/>
        <v>6-10-10</v>
      </c>
      <c r="B476">
        <v>6</v>
      </c>
      <c r="C476" s="150" t="s">
        <v>1159</v>
      </c>
      <c r="D476" s="150">
        <v>10</v>
      </c>
      <c r="E476" s="150" t="s">
        <v>684</v>
      </c>
      <c r="F476" s="150">
        <v>10</v>
      </c>
      <c r="G476" s="150" t="s">
        <v>234</v>
      </c>
      <c r="H476" s="150">
        <v>0</v>
      </c>
      <c r="I476" s="150">
        <v>0</v>
      </c>
      <c r="J476" s="150" t="s">
        <v>1203</v>
      </c>
      <c r="K476" s="150">
        <v>0</v>
      </c>
      <c r="L476" s="150">
        <v>0</v>
      </c>
      <c r="M476" s="150">
        <v>0</v>
      </c>
      <c r="N476" s="150">
        <v>0</v>
      </c>
      <c r="O476" s="150">
        <v>9476</v>
      </c>
      <c r="P476" s="150">
        <v>9872</v>
      </c>
      <c r="Q476" s="150">
        <v>9872</v>
      </c>
      <c r="R476" s="150">
        <v>9872</v>
      </c>
    </row>
    <row r="477" spans="1:18" x14ac:dyDescent="0.25">
      <c r="A477" t="str">
        <f t="shared" si="7"/>
        <v>22-15-13</v>
      </c>
      <c r="B477">
        <v>22</v>
      </c>
      <c r="C477" s="150" t="s">
        <v>1174</v>
      </c>
      <c r="D477" s="150">
        <v>15</v>
      </c>
      <c r="E477" s="150" t="s">
        <v>237</v>
      </c>
      <c r="F477" s="150">
        <v>13</v>
      </c>
      <c r="G477" s="150" t="s">
        <v>962</v>
      </c>
      <c r="H477" s="150">
        <v>10590</v>
      </c>
      <c r="I477" s="150">
        <v>1915633</v>
      </c>
      <c r="J477" s="150" t="s">
        <v>1203</v>
      </c>
      <c r="K477" s="150">
        <v>0</v>
      </c>
      <c r="L477" s="150">
        <v>1</v>
      </c>
      <c r="M477" s="150">
        <v>4.47</v>
      </c>
      <c r="N477" s="150">
        <v>0</v>
      </c>
      <c r="O477" s="150">
        <v>17814</v>
      </c>
      <c r="P477" s="150">
        <v>17325</v>
      </c>
      <c r="Q477" s="150">
        <v>18350.47</v>
      </c>
      <c r="R477" s="150">
        <v>18350.47</v>
      </c>
    </row>
    <row r="478" spans="1:18" x14ac:dyDescent="0.25">
      <c r="A478" t="str">
        <f t="shared" si="7"/>
        <v>21-15-22</v>
      </c>
      <c r="B478">
        <v>21</v>
      </c>
      <c r="C478" s="150" t="s">
        <v>1173</v>
      </c>
      <c r="D478" s="150">
        <v>15</v>
      </c>
      <c r="E478" s="150" t="s">
        <v>237</v>
      </c>
      <c r="F478" s="150">
        <v>22</v>
      </c>
      <c r="G478" s="150" t="s">
        <v>945</v>
      </c>
      <c r="H478" s="150">
        <v>23387</v>
      </c>
      <c r="I478" s="150">
        <v>141839719</v>
      </c>
      <c r="J478" s="150" t="s">
        <v>1203</v>
      </c>
      <c r="K478" s="150">
        <v>0</v>
      </c>
      <c r="L478" s="150">
        <v>2754</v>
      </c>
      <c r="M478" s="150">
        <v>916.67</v>
      </c>
      <c r="N478" s="150">
        <v>0</v>
      </c>
      <c r="O478" s="150">
        <v>239496</v>
      </c>
      <c r="P478" s="150">
        <v>252399</v>
      </c>
      <c r="Q478" s="150">
        <v>264453.67</v>
      </c>
      <c r="R478" s="150">
        <v>264453.67</v>
      </c>
    </row>
    <row r="479" spans="1:18" x14ac:dyDescent="0.25">
      <c r="A479" t="str">
        <f t="shared" si="7"/>
        <v>21-7-43</v>
      </c>
      <c r="B479">
        <v>21</v>
      </c>
      <c r="C479" s="150" t="s">
        <v>1173</v>
      </c>
      <c r="D479" s="150">
        <v>7</v>
      </c>
      <c r="E479" s="150" t="s">
        <v>681</v>
      </c>
      <c r="F479" s="150">
        <v>43</v>
      </c>
      <c r="G479" s="150" t="s">
        <v>412</v>
      </c>
      <c r="H479" s="150">
        <v>0</v>
      </c>
      <c r="I479" s="150">
        <v>5521711</v>
      </c>
      <c r="J479" s="150" t="s">
        <v>1203</v>
      </c>
      <c r="K479" s="150">
        <v>205</v>
      </c>
      <c r="L479" s="150">
        <v>118</v>
      </c>
      <c r="M479" s="150">
        <v>74.2</v>
      </c>
      <c r="N479" s="150">
        <v>0</v>
      </c>
      <c r="O479" s="150">
        <v>13626</v>
      </c>
      <c r="P479" s="150">
        <v>14476</v>
      </c>
      <c r="Q479" s="150">
        <v>15554.2</v>
      </c>
      <c r="R479" s="150">
        <v>15554.2</v>
      </c>
    </row>
    <row r="480" spans="1:18" x14ac:dyDescent="0.25">
      <c r="A480" t="str">
        <f t="shared" si="7"/>
        <v>21-11-87</v>
      </c>
      <c r="B480">
        <v>21</v>
      </c>
      <c r="C480" s="150" t="s">
        <v>1173</v>
      </c>
      <c r="D480" s="150">
        <v>11</v>
      </c>
      <c r="E480" s="150" t="s">
        <v>1204</v>
      </c>
      <c r="F480" s="150">
        <v>87</v>
      </c>
      <c r="G480" s="150" t="s">
        <v>943</v>
      </c>
      <c r="H480" s="150">
        <v>0</v>
      </c>
      <c r="I480" s="150">
        <v>141321014</v>
      </c>
      <c r="J480" s="150"/>
      <c r="K480" s="150">
        <v>0</v>
      </c>
      <c r="L480" s="150">
        <v>0</v>
      </c>
      <c r="M480" s="150">
        <v>0</v>
      </c>
      <c r="N480" s="150">
        <v>0</v>
      </c>
      <c r="O480" s="150">
        <v>666760</v>
      </c>
      <c r="P480" s="150">
        <v>681989</v>
      </c>
      <c r="Q480" s="150">
        <v>802027</v>
      </c>
    </row>
    <row r="481" spans="1:19" x14ac:dyDescent="0.25">
      <c r="A481" t="str">
        <f t="shared" si="7"/>
        <v>21-9-171</v>
      </c>
      <c r="B481">
        <v>21</v>
      </c>
      <c r="C481" s="150" t="s">
        <v>1173</v>
      </c>
      <c r="D481" s="150">
        <v>9</v>
      </c>
      <c r="E481" s="150" t="s">
        <v>683</v>
      </c>
      <c r="F481" s="150">
        <v>171</v>
      </c>
      <c r="G481" s="150" t="s">
        <v>942</v>
      </c>
      <c r="H481" s="150">
        <v>178702</v>
      </c>
      <c r="I481" s="150">
        <v>1364000</v>
      </c>
      <c r="J481" s="150" t="s">
        <v>1203</v>
      </c>
      <c r="K481" s="150">
        <v>0</v>
      </c>
      <c r="L481" s="150">
        <v>7867</v>
      </c>
      <c r="M481" s="150">
        <v>2317.25</v>
      </c>
      <c r="N481" s="150">
        <v>0</v>
      </c>
      <c r="O481" s="150">
        <v>765809</v>
      </c>
      <c r="P481" s="150">
        <v>809047</v>
      </c>
      <c r="Q481" s="150">
        <v>849220.25</v>
      </c>
      <c r="R481" s="150">
        <v>849220.25</v>
      </c>
    </row>
    <row r="482" spans="1:19" x14ac:dyDescent="0.25">
      <c r="A482" t="str">
        <f t="shared" si="7"/>
        <v>21-14-16</v>
      </c>
      <c r="B482">
        <v>21</v>
      </c>
      <c r="C482" s="150" t="s">
        <v>1173</v>
      </c>
      <c r="D482" s="150">
        <v>14</v>
      </c>
      <c r="E482" s="150" t="s">
        <v>665</v>
      </c>
      <c r="F482" s="150">
        <v>16</v>
      </c>
      <c r="G482" s="150" t="s">
        <v>944</v>
      </c>
      <c r="H482" s="150">
        <v>0</v>
      </c>
      <c r="I482" s="150">
        <v>141839719</v>
      </c>
      <c r="J482" s="150" t="s">
        <v>1203</v>
      </c>
      <c r="K482" s="150">
        <v>10185</v>
      </c>
      <c r="L482" s="150">
        <v>3414</v>
      </c>
      <c r="M482" s="150">
        <v>1306.6100000000001</v>
      </c>
      <c r="N482" s="150">
        <v>0</v>
      </c>
      <c r="O482" s="150">
        <v>350552</v>
      </c>
      <c r="P482" s="150">
        <v>369438</v>
      </c>
      <c r="Q482" s="150">
        <v>387081.61</v>
      </c>
      <c r="R482" s="150">
        <v>387081.61</v>
      </c>
    </row>
    <row r="483" spans="1:19" x14ac:dyDescent="0.25">
      <c r="A483" t="str">
        <f t="shared" si="7"/>
        <v>21-2-21</v>
      </c>
      <c r="B483">
        <v>21</v>
      </c>
      <c r="C483" s="150" t="s">
        <v>1173</v>
      </c>
      <c r="D483" s="150">
        <v>2</v>
      </c>
      <c r="E483" s="150" t="s">
        <v>110</v>
      </c>
      <c r="F483" s="150">
        <v>21</v>
      </c>
      <c r="G483" s="150" t="s">
        <v>402</v>
      </c>
      <c r="H483" s="150">
        <v>0</v>
      </c>
      <c r="I483" s="150">
        <v>141839719</v>
      </c>
      <c r="J483" s="150"/>
      <c r="K483" s="150">
        <v>85471</v>
      </c>
      <c r="L483" s="150">
        <v>46215</v>
      </c>
      <c r="M483" s="150">
        <v>19070.509999999998</v>
      </c>
      <c r="N483" s="150">
        <v>0</v>
      </c>
      <c r="O483" s="150">
        <v>4122433</v>
      </c>
      <c r="P483" s="150">
        <v>4493131</v>
      </c>
      <c r="Q483" s="150">
        <v>4620283.51</v>
      </c>
      <c r="R483" s="150" t="s">
        <v>1314</v>
      </c>
      <c r="S483" s="150" t="s">
        <v>1314</v>
      </c>
    </row>
    <row r="484" spans="1:19" x14ac:dyDescent="0.25">
      <c r="A484" t="str">
        <f t="shared" si="7"/>
        <v>18-7-44</v>
      </c>
      <c r="B484">
        <v>18</v>
      </c>
      <c r="C484" s="150" t="s">
        <v>1170</v>
      </c>
      <c r="D484" s="150">
        <v>7</v>
      </c>
      <c r="E484" s="150" t="s">
        <v>681</v>
      </c>
      <c r="F484" s="150">
        <v>44</v>
      </c>
      <c r="G484" s="150" t="s">
        <v>379</v>
      </c>
      <c r="H484" s="150">
        <v>604</v>
      </c>
      <c r="I484" s="150">
        <v>1040314</v>
      </c>
      <c r="J484" s="150" t="s">
        <v>1203</v>
      </c>
      <c r="K484" s="150">
        <v>81</v>
      </c>
      <c r="L484" s="150">
        <v>31</v>
      </c>
      <c r="M484" s="150">
        <v>0.11</v>
      </c>
      <c r="N484" s="150">
        <v>0</v>
      </c>
      <c r="O484" s="150">
        <v>1924</v>
      </c>
      <c r="P484" s="150">
        <v>1982</v>
      </c>
      <c r="Q484" s="150">
        <v>2041.11</v>
      </c>
      <c r="R484" s="150">
        <v>2041.11</v>
      </c>
    </row>
    <row r="485" spans="1:19" x14ac:dyDescent="0.25">
      <c r="A485" t="str">
        <f t="shared" si="7"/>
        <v>18-6-3</v>
      </c>
      <c r="B485">
        <v>18</v>
      </c>
      <c r="C485" s="150" t="s">
        <v>1170</v>
      </c>
      <c r="D485" s="150">
        <v>6</v>
      </c>
      <c r="E485" s="150" t="s">
        <v>687</v>
      </c>
      <c r="F485" s="150">
        <v>3</v>
      </c>
      <c r="G485" s="150" t="s">
        <v>378</v>
      </c>
      <c r="H485" s="150">
        <v>800</v>
      </c>
      <c r="I485" s="150">
        <v>582803</v>
      </c>
      <c r="J485" s="150" t="s">
        <v>1203</v>
      </c>
      <c r="K485" s="150">
        <v>243</v>
      </c>
      <c r="L485" s="150">
        <v>102</v>
      </c>
      <c r="M485" s="150">
        <v>0.25</v>
      </c>
      <c r="N485" s="150">
        <v>0</v>
      </c>
      <c r="O485" s="150">
        <v>3625</v>
      </c>
      <c r="P485" s="150">
        <v>5310</v>
      </c>
      <c r="Q485" s="150">
        <v>5474.25</v>
      </c>
      <c r="R485" s="150">
        <v>5474.25</v>
      </c>
    </row>
    <row r="486" spans="1:19" x14ac:dyDescent="0.25">
      <c r="A486" t="str">
        <f t="shared" si="7"/>
        <v>10-7-45</v>
      </c>
      <c r="B486">
        <v>10</v>
      </c>
      <c r="C486" s="150" t="s">
        <v>1162</v>
      </c>
      <c r="D486" s="150">
        <v>7</v>
      </c>
      <c r="E486" s="150" t="s">
        <v>681</v>
      </c>
      <c r="F486" s="150">
        <v>45</v>
      </c>
      <c r="G486" s="150" t="s">
        <v>288</v>
      </c>
      <c r="H486" s="150">
        <v>81</v>
      </c>
      <c r="I486" s="150">
        <v>0</v>
      </c>
      <c r="J486" s="150">
        <v>1</v>
      </c>
      <c r="K486" s="150">
        <v>95</v>
      </c>
      <c r="L486" s="150">
        <v>10</v>
      </c>
      <c r="M486" s="150">
        <v>0.76</v>
      </c>
      <c r="N486" s="150">
        <v>0</v>
      </c>
      <c r="O486" s="150">
        <v>3697</v>
      </c>
      <c r="P486" s="150">
        <v>3808</v>
      </c>
      <c r="Q486" s="150">
        <v>3967.76</v>
      </c>
      <c r="R486" s="150">
        <v>3967.76</v>
      </c>
    </row>
    <row r="487" spans="1:19" x14ac:dyDescent="0.25">
      <c r="A487" t="str">
        <f t="shared" si="7"/>
        <v>15-7-45</v>
      </c>
      <c r="B487">
        <v>15</v>
      </c>
      <c r="C487" s="150" t="s">
        <v>1167</v>
      </c>
      <c r="D487" s="150">
        <v>7</v>
      </c>
      <c r="E487" s="150" t="s">
        <v>681</v>
      </c>
      <c r="F487" s="150">
        <v>45</v>
      </c>
      <c r="G487" s="150" t="s">
        <v>288</v>
      </c>
      <c r="H487" s="150">
        <v>81</v>
      </c>
      <c r="I487" s="150">
        <v>76513</v>
      </c>
      <c r="J487" s="150">
        <v>1</v>
      </c>
      <c r="K487" s="150">
        <v>95</v>
      </c>
      <c r="L487" s="150">
        <v>10</v>
      </c>
      <c r="M487" s="150">
        <v>0.76</v>
      </c>
      <c r="N487" s="150">
        <v>0</v>
      </c>
      <c r="O487" s="150">
        <v>3697</v>
      </c>
      <c r="P487" s="150">
        <v>3808</v>
      </c>
      <c r="Q487" s="150">
        <v>3967.76</v>
      </c>
      <c r="R487" s="150">
        <v>3967.76</v>
      </c>
    </row>
    <row r="488" spans="1:19" x14ac:dyDescent="0.25">
      <c r="A488" t="str">
        <f t="shared" si="7"/>
        <v>15-9-134</v>
      </c>
      <c r="B488">
        <v>15</v>
      </c>
      <c r="C488" s="150" t="s">
        <v>1167</v>
      </c>
      <c r="D488" s="150">
        <v>9</v>
      </c>
      <c r="E488" s="150" t="s">
        <v>683</v>
      </c>
      <c r="F488" s="150">
        <v>134</v>
      </c>
      <c r="G488" s="150" t="s">
        <v>869</v>
      </c>
      <c r="H488" s="150">
        <v>0</v>
      </c>
      <c r="I488" s="150">
        <v>0</v>
      </c>
      <c r="J488" s="150" t="s">
        <v>1203</v>
      </c>
      <c r="K488" s="150">
        <v>137</v>
      </c>
      <c r="L488" s="150">
        <v>24</v>
      </c>
      <c r="M488" s="150">
        <v>0</v>
      </c>
      <c r="N488" s="150">
        <v>0</v>
      </c>
      <c r="O488" s="150">
        <v>718</v>
      </c>
      <c r="P488" s="150">
        <v>5988</v>
      </c>
      <c r="Q488" s="150">
        <v>5713</v>
      </c>
      <c r="R488" s="150">
        <v>5988</v>
      </c>
    </row>
    <row r="489" spans="1:19" x14ac:dyDescent="0.25">
      <c r="A489" t="str">
        <f t="shared" si="7"/>
        <v>29-7-47</v>
      </c>
      <c r="B489">
        <v>29</v>
      </c>
      <c r="C489" s="150" t="s">
        <v>1181</v>
      </c>
      <c r="D489" s="150">
        <v>7</v>
      </c>
      <c r="E489" s="150" t="s">
        <v>681</v>
      </c>
      <c r="F489" s="150">
        <v>47</v>
      </c>
      <c r="G489" s="150" t="s">
        <v>533</v>
      </c>
      <c r="H489" s="150">
        <v>319</v>
      </c>
      <c r="I489" s="150">
        <v>2463064</v>
      </c>
      <c r="J489" s="150" t="s">
        <v>1203</v>
      </c>
      <c r="K489" s="150">
        <v>83</v>
      </c>
      <c r="L489" s="150">
        <v>6</v>
      </c>
      <c r="M489" s="150">
        <v>9.2199999999999989</v>
      </c>
      <c r="N489" s="150">
        <v>0</v>
      </c>
      <c r="O489" s="150">
        <v>11439</v>
      </c>
      <c r="P489" s="150">
        <f>11809+83+6</f>
        <v>11898</v>
      </c>
      <c r="Q489" s="150">
        <v>11907.22</v>
      </c>
      <c r="R489" s="150">
        <v>11907</v>
      </c>
    </row>
    <row r="490" spans="1:19" x14ac:dyDescent="0.25">
      <c r="A490" t="str">
        <f t="shared" si="7"/>
        <v>22-11-88</v>
      </c>
      <c r="B490">
        <v>22</v>
      </c>
      <c r="C490" s="150" t="s">
        <v>1174</v>
      </c>
      <c r="D490" s="150">
        <v>11</v>
      </c>
      <c r="E490" s="150" t="s">
        <v>1204</v>
      </c>
      <c r="F490" s="150">
        <v>88</v>
      </c>
      <c r="G490" s="150" t="s">
        <v>958</v>
      </c>
      <c r="H490" s="150">
        <v>0</v>
      </c>
      <c r="I490" s="150">
        <v>50945666</v>
      </c>
      <c r="J490" s="150" t="s">
        <v>1203</v>
      </c>
      <c r="K490" s="150">
        <v>0</v>
      </c>
      <c r="L490" s="150">
        <v>0</v>
      </c>
      <c r="M490" s="150">
        <v>0</v>
      </c>
      <c r="N490" s="150">
        <v>0</v>
      </c>
      <c r="O490" s="150">
        <v>2658494</v>
      </c>
      <c r="P490" s="150">
        <v>1870127</v>
      </c>
      <c r="Q490" s="150">
        <v>1802093</v>
      </c>
    </row>
    <row r="491" spans="1:19" x14ac:dyDescent="0.25">
      <c r="A491" t="str">
        <f t="shared" si="7"/>
        <v>22-5-17</v>
      </c>
      <c r="B491">
        <v>22</v>
      </c>
      <c r="C491" s="150" t="s">
        <v>1174</v>
      </c>
      <c r="D491" s="150">
        <v>5</v>
      </c>
      <c r="E491" s="150" t="s">
        <v>286</v>
      </c>
      <c r="F491" s="150">
        <v>17</v>
      </c>
      <c r="G491" s="150" t="s">
        <v>948</v>
      </c>
      <c r="H491" s="150">
        <v>1</v>
      </c>
      <c r="I491" s="150">
        <v>50945666</v>
      </c>
      <c r="J491" s="150" t="s">
        <v>1203</v>
      </c>
      <c r="K491" s="150">
        <v>9544</v>
      </c>
      <c r="L491" s="150">
        <v>1927</v>
      </c>
      <c r="M491" s="150">
        <v>545.77</v>
      </c>
      <c r="N491" s="150">
        <v>0</v>
      </c>
      <c r="O491" s="150">
        <v>419218</v>
      </c>
      <c r="P491" s="150">
        <v>439684</v>
      </c>
      <c r="Q491" s="150">
        <v>461584.77</v>
      </c>
      <c r="R491" s="150">
        <v>461584.77</v>
      </c>
    </row>
    <row r="492" spans="1:19" x14ac:dyDescent="0.25">
      <c r="A492" t="str">
        <f t="shared" si="7"/>
        <v>22-2-22</v>
      </c>
      <c r="B492">
        <v>22</v>
      </c>
      <c r="C492" s="150" t="s">
        <v>1174</v>
      </c>
      <c r="D492" s="150">
        <v>2</v>
      </c>
      <c r="E492" s="150" t="s">
        <v>110</v>
      </c>
      <c r="F492" s="150">
        <v>22</v>
      </c>
      <c r="G492" s="150" t="s">
        <v>420</v>
      </c>
      <c r="H492" s="150">
        <v>2</v>
      </c>
      <c r="I492" s="150">
        <v>50945666</v>
      </c>
      <c r="J492" s="150" t="s">
        <v>1203</v>
      </c>
      <c r="K492" s="150">
        <v>114306</v>
      </c>
      <c r="L492" s="150">
        <v>44920</v>
      </c>
      <c r="M492" s="150">
        <v>8440.94</v>
      </c>
      <c r="N492" s="150">
        <v>0</v>
      </c>
      <c r="O492" s="150">
        <f>7434340+O490</f>
        <v>10092834</v>
      </c>
      <c r="P492" s="150">
        <f>8730031+P490</f>
        <v>10600158</v>
      </c>
      <c r="Q492" s="150">
        <v>9326046.9399999995</v>
      </c>
      <c r="R492" s="150">
        <v>11128139.939999999</v>
      </c>
    </row>
    <row r="493" spans="1:19" x14ac:dyDescent="0.25">
      <c r="A493" t="str">
        <f t="shared" si="7"/>
        <v>22-14-15</v>
      </c>
      <c r="B493">
        <v>22</v>
      </c>
      <c r="C493" s="150" t="s">
        <v>1174</v>
      </c>
      <c r="D493" s="150">
        <v>14</v>
      </c>
      <c r="E493" s="150" t="s">
        <v>665</v>
      </c>
      <c r="F493" s="150">
        <v>15</v>
      </c>
      <c r="G493" s="150" t="s">
        <v>960</v>
      </c>
      <c r="H493" s="150">
        <v>5474</v>
      </c>
      <c r="I493" s="150">
        <v>47003244</v>
      </c>
      <c r="J493" s="150" t="s">
        <v>1203</v>
      </c>
      <c r="K493" s="150">
        <v>2304</v>
      </c>
      <c r="L493" s="150">
        <v>3170</v>
      </c>
      <c r="M493" s="150">
        <v>389.59999999999997</v>
      </c>
      <c r="N493" s="150">
        <v>0</v>
      </c>
      <c r="O493" s="150">
        <v>522430</v>
      </c>
      <c r="P493" s="150">
        <v>547889</v>
      </c>
      <c r="Q493" s="150">
        <v>575287.6</v>
      </c>
      <c r="R493" s="150">
        <v>575287.6</v>
      </c>
    </row>
    <row r="494" spans="1:19" x14ac:dyDescent="0.25">
      <c r="A494" t="str">
        <f t="shared" si="7"/>
        <v>22-4-80</v>
      </c>
      <c r="B494">
        <v>22</v>
      </c>
      <c r="C494" s="150" t="s">
        <v>1174</v>
      </c>
      <c r="D494" s="150">
        <v>4</v>
      </c>
      <c r="E494" s="150" t="s">
        <v>146</v>
      </c>
      <c r="F494" s="150">
        <v>80</v>
      </c>
      <c r="G494" s="150" t="s">
        <v>946</v>
      </c>
      <c r="H494" s="150">
        <v>0</v>
      </c>
      <c r="I494" s="150">
        <v>47003244</v>
      </c>
      <c r="J494" s="150">
        <v>1</v>
      </c>
      <c r="K494" s="150">
        <v>6276</v>
      </c>
      <c r="L494" s="150">
        <v>26502</v>
      </c>
      <c r="M494" s="150">
        <v>2818.99</v>
      </c>
      <c r="N494" s="150">
        <v>0</v>
      </c>
      <c r="O494" s="150">
        <v>33874</v>
      </c>
      <c r="P494" s="150">
        <v>65808</v>
      </c>
      <c r="Q494" s="150">
        <v>69097</v>
      </c>
      <c r="R494" s="150">
        <v>69097</v>
      </c>
    </row>
    <row r="495" spans="1:19" x14ac:dyDescent="0.25">
      <c r="A495" t="str">
        <f t="shared" si="7"/>
        <v>33-4-80</v>
      </c>
      <c r="B495">
        <v>33</v>
      </c>
      <c r="C495" s="150" t="s">
        <v>1185</v>
      </c>
      <c r="D495" s="150">
        <v>4</v>
      </c>
      <c r="E495" s="150" t="s">
        <v>146</v>
      </c>
      <c r="F495" s="150">
        <v>80</v>
      </c>
      <c r="G495" s="150" t="s">
        <v>946</v>
      </c>
      <c r="H495" s="150">
        <v>0</v>
      </c>
      <c r="I495" s="150">
        <v>1167023</v>
      </c>
      <c r="J495" s="150">
        <v>1</v>
      </c>
      <c r="K495" s="150">
        <v>6276</v>
      </c>
      <c r="L495" s="150">
        <v>26502</v>
      </c>
      <c r="M495" s="150">
        <v>2818.99</v>
      </c>
      <c r="N495" s="150">
        <v>0</v>
      </c>
      <c r="O495" s="150">
        <v>33874</v>
      </c>
      <c r="P495" s="150">
        <v>65808</v>
      </c>
      <c r="Q495" s="150">
        <v>69097</v>
      </c>
      <c r="R495" s="150">
        <v>69097</v>
      </c>
    </row>
    <row r="496" spans="1:19" x14ac:dyDescent="0.25">
      <c r="A496" t="str">
        <f t="shared" si="7"/>
        <v>38-4-154</v>
      </c>
      <c r="B496">
        <v>38</v>
      </c>
      <c r="C496" s="150" t="s">
        <v>1189</v>
      </c>
      <c r="D496" s="150">
        <v>4</v>
      </c>
      <c r="E496" s="150" t="s">
        <v>146</v>
      </c>
      <c r="F496" s="150">
        <v>154</v>
      </c>
      <c r="G496" s="150" t="s">
        <v>1092</v>
      </c>
      <c r="H496" s="150">
        <v>0</v>
      </c>
      <c r="I496" s="150">
        <v>33750850</v>
      </c>
      <c r="J496" s="150" t="s">
        <v>1203</v>
      </c>
      <c r="K496" s="150">
        <v>18430</v>
      </c>
      <c r="L496" s="150">
        <v>21343</v>
      </c>
      <c r="M496" s="150">
        <v>2363.8700000000003</v>
      </c>
      <c r="N496" s="150">
        <v>0</v>
      </c>
      <c r="O496" s="150">
        <v>73006</v>
      </c>
      <c r="P496" s="150">
        <v>37004</v>
      </c>
      <c r="Q496" s="150">
        <v>80359</v>
      </c>
      <c r="R496" s="150">
        <v>80359</v>
      </c>
    </row>
    <row r="497" spans="1:18" x14ac:dyDescent="0.25">
      <c r="A497" t="str">
        <f t="shared" si="7"/>
        <v>8-9-173</v>
      </c>
      <c r="B497">
        <v>8</v>
      </c>
      <c r="C497" s="150" t="s">
        <v>1160</v>
      </c>
      <c r="D497" s="150">
        <v>9</v>
      </c>
      <c r="E497" s="150" t="s">
        <v>683</v>
      </c>
      <c r="F497" s="150">
        <v>173</v>
      </c>
      <c r="G497" s="150" t="s">
        <v>802</v>
      </c>
      <c r="H497" s="150">
        <v>2380</v>
      </c>
      <c r="I497" s="150">
        <v>0</v>
      </c>
      <c r="J497" s="150" t="s">
        <v>1203</v>
      </c>
      <c r="K497" s="150">
        <v>0</v>
      </c>
      <c r="L497" s="150">
        <v>2379</v>
      </c>
      <c r="M497" s="150">
        <v>139.32</v>
      </c>
      <c r="N497" s="150">
        <v>0</v>
      </c>
      <c r="O497" s="283">
        <f>293056+2379</f>
        <v>295435</v>
      </c>
      <c r="P497" s="283">
        <f>308079+2379</f>
        <v>310458</v>
      </c>
      <c r="Q497" s="283">
        <f>322644+2379+139</f>
        <v>325162</v>
      </c>
      <c r="R497" s="283">
        <v>325162</v>
      </c>
    </row>
    <row r="498" spans="1:18" x14ac:dyDescent="0.25">
      <c r="A498" t="str">
        <f t="shared" si="7"/>
        <v>8-12-18</v>
      </c>
      <c r="B498">
        <v>8</v>
      </c>
      <c r="C498" s="150" t="s">
        <v>1160</v>
      </c>
      <c r="D498" s="150">
        <v>12</v>
      </c>
      <c r="E498" s="150" t="s">
        <v>151</v>
      </c>
      <c r="F498" s="150">
        <v>18</v>
      </c>
      <c r="G498" s="150" t="s">
        <v>258</v>
      </c>
      <c r="H498" s="150">
        <v>8630</v>
      </c>
      <c r="I498" s="150">
        <v>8337269</v>
      </c>
      <c r="J498" s="150" t="s">
        <v>1203</v>
      </c>
      <c r="K498" s="150">
        <v>28</v>
      </c>
      <c r="L498" s="150">
        <v>1318</v>
      </c>
      <c r="M498" s="150">
        <v>63.83</v>
      </c>
      <c r="N498" s="150">
        <v>0</v>
      </c>
      <c r="O498" s="150">
        <v>167798</v>
      </c>
      <c r="P498" s="150">
        <v>133904</v>
      </c>
      <c r="Q498" s="150">
        <v>175455.83</v>
      </c>
      <c r="R498" s="150">
        <v>175455.83</v>
      </c>
    </row>
    <row r="499" spans="1:18" x14ac:dyDescent="0.25">
      <c r="A499" t="str">
        <f t="shared" si="7"/>
        <v>8-14-45</v>
      </c>
      <c r="B499">
        <v>8</v>
      </c>
      <c r="C499" s="150" t="s">
        <v>1160</v>
      </c>
      <c r="D499" s="150">
        <v>14</v>
      </c>
      <c r="E499" s="150" t="s">
        <v>665</v>
      </c>
      <c r="F499" s="150">
        <v>45</v>
      </c>
      <c r="G499" s="150" t="s">
        <v>261</v>
      </c>
      <c r="H499" s="150">
        <v>0</v>
      </c>
      <c r="I499" s="150">
        <v>6489017</v>
      </c>
      <c r="J499" s="150" t="s">
        <v>1203</v>
      </c>
      <c r="K499" s="150">
        <v>29</v>
      </c>
      <c r="L499" s="150">
        <v>2234</v>
      </c>
      <c r="M499" s="150">
        <v>113.92</v>
      </c>
      <c r="N499" s="150">
        <v>0</v>
      </c>
      <c r="O499" s="150">
        <v>168339</v>
      </c>
      <c r="P499" s="150">
        <v>176896</v>
      </c>
      <c r="Q499" s="150">
        <v>185261.92</v>
      </c>
      <c r="R499" s="150">
        <v>185261.92</v>
      </c>
    </row>
    <row r="500" spans="1:18" x14ac:dyDescent="0.25">
      <c r="A500" t="str">
        <f t="shared" si="7"/>
        <v>8-4-25</v>
      </c>
      <c r="B500">
        <v>8</v>
      </c>
      <c r="C500" s="150" t="s">
        <v>1160</v>
      </c>
      <c r="D500" s="150">
        <v>4</v>
      </c>
      <c r="E500" s="150" t="s">
        <v>146</v>
      </c>
      <c r="F500" s="150">
        <v>25</v>
      </c>
      <c r="G500" s="150" t="s">
        <v>796</v>
      </c>
      <c r="H500" s="150">
        <v>0</v>
      </c>
      <c r="I500" s="150">
        <v>8337269</v>
      </c>
      <c r="J500" s="150" t="s">
        <v>1203</v>
      </c>
      <c r="K500" s="150">
        <v>0</v>
      </c>
      <c r="L500" s="150">
        <v>13276</v>
      </c>
      <c r="M500" s="150">
        <v>777.07</v>
      </c>
      <c r="N500" s="150">
        <v>0</v>
      </c>
      <c r="O500" s="150">
        <v>25335</v>
      </c>
      <c r="P500" s="150">
        <v>26574</v>
      </c>
      <c r="Q500" s="150">
        <v>27787</v>
      </c>
      <c r="R500" s="150">
        <v>27787</v>
      </c>
    </row>
    <row r="501" spans="1:18" x14ac:dyDescent="0.25">
      <c r="A501" t="str">
        <f t="shared" si="7"/>
        <v>5-9-25</v>
      </c>
      <c r="B501">
        <v>5</v>
      </c>
      <c r="C501" s="150" t="s">
        <v>1158</v>
      </c>
      <c r="D501" s="150">
        <v>9</v>
      </c>
      <c r="E501" s="150" t="s">
        <v>683</v>
      </c>
      <c r="F501" s="150">
        <v>25</v>
      </c>
      <c r="G501" s="150" t="s">
        <v>764</v>
      </c>
      <c r="H501" s="150">
        <v>0</v>
      </c>
      <c r="I501" s="150">
        <v>6160237</v>
      </c>
      <c r="J501" s="150" t="s">
        <v>1203</v>
      </c>
      <c r="K501" s="150">
        <v>3756</v>
      </c>
      <c r="L501" s="150">
        <v>1753</v>
      </c>
      <c r="M501" s="150">
        <v>257.59000000000003</v>
      </c>
      <c r="N501" s="150">
        <v>0</v>
      </c>
      <c r="O501" s="150">
        <v>215138</v>
      </c>
      <c r="P501" s="150">
        <v>224403</v>
      </c>
      <c r="Q501" s="150">
        <v>234165.59</v>
      </c>
      <c r="R501" s="150">
        <v>234165.59</v>
      </c>
    </row>
    <row r="502" spans="1:18" x14ac:dyDescent="0.25">
      <c r="A502" t="str">
        <f t="shared" si="7"/>
        <v>23-11-89</v>
      </c>
      <c r="B502">
        <v>23</v>
      </c>
      <c r="C502" s="150" t="s">
        <v>1175</v>
      </c>
      <c r="D502" s="150">
        <v>11</v>
      </c>
      <c r="E502" s="150" t="s">
        <v>1204</v>
      </c>
      <c r="F502" s="150">
        <v>89</v>
      </c>
      <c r="G502" s="150" t="s">
        <v>965</v>
      </c>
      <c r="H502" s="150">
        <v>0</v>
      </c>
      <c r="I502" s="150">
        <v>31599903</v>
      </c>
      <c r="J502" s="150" t="s">
        <v>1203</v>
      </c>
      <c r="K502" s="150">
        <v>0</v>
      </c>
      <c r="L502" s="150">
        <v>0</v>
      </c>
      <c r="M502" s="150">
        <v>0</v>
      </c>
      <c r="N502" s="150">
        <v>0</v>
      </c>
      <c r="O502" s="150">
        <v>659765</v>
      </c>
      <c r="P502" s="150">
        <v>472743</v>
      </c>
      <c r="Q502" s="150">
        <v>0</v>
      </c>
    </row>
    <row r="503" spans="1:18" x14ac:dyDescent="0.25">
      <c r="A503" t="str">
        <f t="shared" si="7"/>
        <v>23-2-23</v>
      </c>
      <c r="B503">
        <v>23</v>
      </c>
      <c r="C503" s="150" t="s">
        <v>1175</v>
      </c>
      <c r="D503" s="150">
        <v>2</v>
      </c>
      <c r="E503" s="150" t="s">
        <v>110</v>
      </c>
      <c r="F503" s="150">
        <v>23</v>
      </c>
      <c r="G503" s="150" t="s">
        <v>428</v>
      </c>
      <c r="H503" s="150">
        <v>0</v>
      </c>
      <c r="I503" s="150">
        <v>31599903</v>
      </c>
      <c r="J503" s="150" t="s">
        <v>1203</v>
      </c>
      <c r="K503" s="150">
        <v>44618</v>
      </c>
      <c r="L503" s="150">
        <v>69247</v>
      </c>
      <c r="M503" s="150">
        <v>6702.55</v>
      </c>
      <c r="N503" s="150">
        <v>0</v>
      </c>
      <c r="O503" s="150">
        <f>5166126+O502</f>
        <v>5825891</v>
      </c>
      <c r="P503" s="150">
        <f>5824232+P502</f>
        <v>6296975</v>
      </c>
      <c r="Q503" s="150">
        <v>6724411.5499999998</v>
      </c>
      <c r="R503" s="150">
        <v>6724411.5499999998</v>
      </c>
    </row>
    <row r="504" spans="1:18" x14ac:dyDescent="0.25">
      <c r="A504" t="str">
        <f t="shared" si="7"/>
        <v>23-15-3</v>
      </c>
      <c r="B504">
        <v>23</v>
      </c>
      <c r="C504" s="150" t="s">
        <v>1175</v>
      </c>
      <c r="D504" s="150">
        <v>15</v>
      </c>
      <c r="E504" s="150" t="s">
        <v>237</v>
      </c>
      <c r="F504" s="150">
        <v>3</v>
      </c>
      <c r="G504" s="150" t="s">
        <v>966</v>
      </c>
      <c r="H504" s="150">
        <v>0</v>
      </c>
      <c r="I504" s="150">
        <v>18420943</v>
      </c>
      <c r="J504" s="150" t="s">
        <v>1203</v>
      </c>
      <c r="K504" s="150">
        <v>2615</v>
      </c>
      <c r="L504" s="150">
        <v>7977</v>
      </c>
      <c r="M504" s="150">
        <v>862.63</v>
      </c>
      <c r="N504" s="150">
        <v>0</v>
      </c>
      <c r="O504" s="150">
        <v>691486</v>
      </c>
      <c r="P504" s="150">
        <v>729729</v>
      </c>
      <c r="Q504" s="150">
        <v>772196.63</v>
      </c>
      <c r="R504" s="150">
        <v>772196.63</v>
      </c>
    </row>
    <row r="505" spans="1:18" x14ac:dyDescent="0.25">
      <c r="A505" t="str">
        <f t="shared" si="7"/>
        <v>23-9-17</v>
      </c>
      <c r="B505">
        <v>23</v>
      </c>
      <c r="C505" s="150" t="s">
        <v>1175</v>
      </c>
      <c r="D505" s="150">
        <v>9</v>
      </c>
      <c r="E505" s="150" t="s">
        <v>683</v>
      </c>
      <c r="F505" s="150">
        <v>17</v>
      </c>
      <c r="G505" s="150" t="s">
        <v>963</v>
      </c>
      <c r="H505" s="150">
        <v>20776</v>
      </c>
      <c r="I505" s="150">
        <v>0</v>
      </c>
      <c r="J505" s="150" t="s">
        <v>1203</v>
      </c>
      <c r="K505" s="150">
        <v>4094</v>
      </c>
      <c r="L505" s="150">
        <v>2556</v>
      </c>
      <c r="M505" s="150">
        <v>361.74</v>
      </c>
      <c r="N505" s="150">
        <v>0</v>
      </c>
      <c r="O505" s="150">
        <v>396443</v>
      </c>
      <c r="P505" s="150">
        <v>417589</v>
      </c>
      <c r="Q505" s="150">
        <v>430278.74</v>
      </c>
      <c r="R505" s="150">
        <v>430278.74</v>
      </c>
    </row>
    <row r="506" spans="1:18" x14ac:dyDescent="0.25">
      <c r="A506" t="str">
        <f t="shared" si="7"/>
        <v>23-9-22</v>
      </c>
      <c r="B506">
        <v>23</v>
      </c>
      <c r="C506" s="150" t="s">
        <v>1175</v>
      </c>
      <c r="D506" s="150">
        <v>9</v>
      </c>
      <c r="E506" s="150" t="s">
        <v>683</v>
      </c>
      <c r="F506" s="150">
        <v>22</v>
      </c>
      <c r="G506" s="150" t="s">
        <v>964</v>
      </c>
      <c r="H506" s="150">
        <v>0</v>
      </c>
      <c r="I506" s="150">
        <v>0</v>
      </c>
      <c r="J506" s="150" t="s">
        <v>1203</v>
      </c>
      <c r="K506" s="150">
        <v>622</v>
      </c>
      <c r="L506" s="150">
        <v>374</v>
      </c>
      <c r="M506" s="150">
        <v>1.95</v>
      </c>
      <c r="N506" s="150">
        <v>0</v>
      </c>
      <c r="O506" s="150">
        <v>52678</v>
      </c>
      <c r="P506" s="150">
        <v>55218</v>
      </c>
      <c r="Q506" s="150">
        <v>59240.95</v>
      </c>
      <c r="R506" s="150">
        <v>59240.95</v>
      </c>
    </row>
    <row r="507" spans="1:18" x14ac:dyDescent="0.25">
      <c r="A507" t="str">
        <f t="shared" si="7"/>
        <v>37-11-20</v>
      </c>
      <c r="B507">
        <v>37</v>
      </c>
      <c r="C507" s="150" t="s">
        <v>1188</v>
      </c>
      <c r="D507" s="150">
        <v>11</v>
      </c>
      <c r="E507" s="150" t="s">
        <v>1204</v>
      </c>
      <c r="F507" s="150">
        <v>20</v>
      </c>
      <c r="G507" s="150" t="s">
        <v>1086</v>
      </c>
      <c r="H507" s="150">
        <v>0</v>
      </c>
      <c r="I507" s="150">
        <v>10510371</v>
      </c>
      <c r="J507" s="150" t="s">
        <v>1203</v>
      </c>
      <c r="K507" s="150">
        <v>2112</v>
      </c>
      <c r="L507" s="150">
        <v>597</v>
      </c>
      <c r="M507" s="150">
        <v>221.24</v>
      </c>
      <c r="N507" s="150">
        <v>0</v>
      </c>
      <c r="O507" s="150">
        <v>90142</v>
      </c>
      <c r="P507" s="150">
        <v>92846</v>
      </c>
      <c r="Q507" s="150">
        <v>75735.240000000005</v>
      </c>
      <c r="R507" s="150">
        <v>92846</v>
      </c>
    </row>
    <row r="508" spans="1:18" x14ac:dyDescent="0.25">
      <c r="A508" t="str">
        <f t="shared" si="7"/>
        <v>29-7-48</v>
      </c>
      <c r="B508">
        <v>29</v>
      </c>
      <c r="C508" s="150" t="s">
        <v>1181</v>
      </c>
      <c r="D508" s="150">
        <v>7</v>
      </c>
      <c r="E508" s="150" t="s">
        <v>681</v>
      </c>
      <c r="F508" s="150">
        <v>48</v>
      </c>
      <c r="G508" s="150" t="s">
        <v>534</v>
      </c>
      <c r="H508" s="150">
        <v>2079</v>
      </c>
      <c r="I508" s="150">
        <v>4752123</v>
      </c>
      <c r="J508" s="150">
        <v>1</v>
      </c>
      <c r="K508" s="150">
        <v>854</v>
      </c>
      <c r="L508" s="150">
        <v>52</v>
      </c>
      <c r="M508" s="150">
        <v>37.06</v>
      </c>
      <c r="N508" s="150">
        <v>0</v>
      </c>
      <c r="O508" s="150">
        <v>12179</v>
      </c>
      <c r="P508" s="150">
        <f>11190+854+52+16</f>
        <v>12112</v>
      </c>
      <c r="Q508" s="150">
        <v>11621.06</v>
      </c>
      <c r="R508" s="150">
        <v>12179</v>
      </c>
    </row>
    <row r="509" spans="1:18" x14ac:dyDescent="0.25">
      <c r="A509" t="str">
        <f t="shared" si="7"/>
        <v>35-7-48</v>
      </c>
      <c r="B509">
        <v>35</v>
      </c>
      <c r="C509" s="150" t="s">
        <v>1195</v>
      </c>
      <c r="D509" s="150">
        <v>7</v>
      </c>
      <c r="E509" s="150" t="s">
        <v>681</v>
      </c>
      <c r="F509" s="150">
        <v>48</v>
      </c>
      <c r="G509" s="150" t="s">
        <v>534</v>
      </c>
      <c r="H509" s="150">
        <v>2079</v>
      </c>
      <c r="I509" s="150">
        <v>3179782</v>
      </c>
      <c r="J509" s="150">
        <v>1</v>
      </c>
      <c r="K509" s="150">
        <v>854</v>
      </c>
      <c r="L509" s="150">
        <v>52</v>
      </c>
      <c r="M509" s="150">
        <v>37.06</v>
      </c>
      <c r="N509" s="150">
        <v>0</v>
      </c>
      <c r="O509" s="150">
        <v>12179</v>
      </c>
      <c r="P509" s="150">
        <f>11190+854+52+16</f>
        <v>12112</v>
      </c>
      <c r="Q509" s="150">
        <v>11621.06</v>
      </c>
      <c r="R509" s="150">
        <v>12179</v>
      </c>
    </row>
    <row r="510" spans="1:18" x14ac:dyDescent="0.25">
      <c r="A510" t="str">
        <f t="shared" si="7"/>
        <v>29-9-26</v>
      </c>
      <c r="B510">
        <v>29</v>
      </c>
      <c r="C510" s="150" t="s">
        <v>1181</v>
      </c>
      <c r="D510" s="150">
        <v>9</v>
      </c>
      <c r="E510" s="150" t="s">
        <v>683</v>
      </c>
      <c r="F510" s="150">
        <v>26</v>
      </c>
      <c r="G510" s="150" t="s">
        <v>1028</v>
      </c>
      <c r="H510" s="150">
        <v>4</v>
      </c>
      <c r="I510" s="150">
        <v>4476875</v>
      </c>
      <c r="J510" s="150">
        <v>1</v>
      </c>
      <c r="K510" s="150">
        <v>1971</v>
      </c>
      <c r="L510" s="150">
        <v>69</v>
      </c>
      <c r="M510" s="150">
        <v>858.7</v>
      </c>
      <c r="N510" s="150">
        <v>0</v>
      </c>
      <c r="O510" s="150">
        <v>30342</v>
      </c>
      <c r="P510" s="150">
        <v>31466</v>
      </c>
      <c r="Q510" s="150">
        <v>32289.7</v>
      </c>
      <c r="R510" s="150">
        <v>32289.7</v>
      </c>
    </row>
    <row r="511" spans="1:18" x14ac:dyDescent="0.25">
      <c r="A511" t="str">
        <f t="shared" si="7"/>
        <v>35-9-26</v>
      </c>
      <c r="B511">
        <v>35</v>
      </c>
      <c r="C511" s="150" t="s">
        <v>1195</v>
      </c>
      <c r="D511" s="150">
        <v>9</v>
      </c>
      <c r="E511" s="150" t="s">
        <v>683</v>
      </c>
      <c r="F511" s="150">
        <v>26</v>
      </c>
      <c r="G511" s="150" t="s">
        <v>1028</v>
      </c>
      <c r="H511" s="150">
        <v>4</v>
      </c>
      <c r="I511" s="150">
        <v>2272128</v>
      </c>
      <c r="J511" s="150">
        <v>1</v>
      </c>
      <c r="K511" s="150">
        <v>1971</v>
      </c>
      <c r="L511" s="150">
        <v>69</v>
      </c>
      <c r="M511" s="150">
        <v>858.7</v>
      </c>
      <c r="N511" s="150">
        <v>0</v>
      </c>
      <c r="O511" s="150">
        <v>30342</v>
      </c>
      <c r="P511" s="150">
        <v>31466</v>
      </c>
      <c r="Q511" s="150">
        <v>32289.7</v>
      </c>
      <c r="R511" s="150">
        <v>32289.7</v>
      </c>
    </row>
    <row r="512" spans="1:18" x14ac:dyDescent="0.25">
      <c r="A512" t="str">
        <f t="shared" si="7"/>
        <v>29-17-35</v>
      </c>
      <c r="B512">
        <v>29</v>
      </c>
      <c r="C512" s="150" t="s">
        <v>1181</v>
      </c>
      <c r="D512" s="150">
        <v>17</v>
      </c>
      <c r="E512" s="150" t="s">
        <v>688</v>
      </c>
      <c r="F512" s="150">
        <v>35</v>
      </c>
      <c r="G512" s="150" t="s">
        <v>540</v>
      </c>
      <c r="H512" s="150">
        <v>1909</v>
      </c>
      <c r="I512" s="150">
        <v>5928857</v>
      </c>
      <c r="J512" s="150" t="s">
        <v>1203</v>
      </c>
      <c r="K512" s="150">
        <v>0</v>
      </c>
      <c r="L512" s="150">
        <v>352</v>
      </c>
      <c r="M512" s="150">
        <v>254.4</v>
      </c>
      <c r="N512" s="150">
        <v>0</v>
      </c>
      <c r="O512" s="150">
        <v>84911</v>
      </c>
      <c r="P512" s="150">
        <v>87390</v>
      </c>
      <c r="Q512" s="150">
        <v>90436</v>
      </c>
      <c r="R512" s="150">
        <v>90436.4</v>
      </c>
    </row>
    <row r="513" spans="1:18" x14ac:dyDescent="0.25">
      <c r="A513" t="str">
        <f t="shared" si="7"/>
        <v>29-4-111</v>
      </c>
      <c r="B513">
        <v>29</v>
      </c>
      <c r="C513" s="150" t="s">
        <v>1181</v>
      </c>
      <c r="D513" s="150">
        <v>4</v>
      </c>
      <c r="E513" s="150" t="s">
        <v>146</v>
      </c>
      <c r="F513" s="150">
        <v>111</v>
      </c>
      <c r="G513" s="150" t="s">
        <v>1021</v>
      </c>
      <c r="H513" s="150">
        <v>0</v>
      </c>
      <c r="I513" s="150">
        <v>5952756</v>
      </c>
      <c r="J513" s="150">
        <v>1</v>
      </c>
      <c r="K513" s="150">
        <v>57693</v>
      </c>
      <c r="L513" s="150">
        <v>5533</v>
      </c>
      <c r="M513" s="150">
        <v>3960.61</v>
      </c>
      <c r="N513" s="150">
        <v>0</v>
      </c>
      <c r="O513" s="150">
        <v>13613</v>
      </c>
      <c r="P513" s="150">
        <v>14094</v>
      </c>
      <c r="Q513" s="150">
        <v>14566</v>
      </c>
      <c r="R513" s="150">
        <v>14566</v>
      </c>
    </row>
    <row r="514" spans="1:18" x14ac:dyDescent="0.25">
      <c r="A514" t="str">
        <f t="shared" si="7"/>
        <v>35-4-111</v>
      </c>
      <c r="B514">
        <v>35</v>
      </c>
      <c r="C514" s="150" t="s">
        <v>1195</v>
      </c>
      <c r="D514" s="150">
        <v>4</v>
      </c>
      <c r="E514" s="150" t="s">
        <v>146</v>
      </c>
      <c r="F514" s="150">
        <v>111</v>
      </c>
      <c r="G514" s="150" t="s">
        <v>1021</v>
      </c>
      <c r="H514" s="150">
        <v>0</v>
      </c>
      <c r="I514" s="150">
        <v>2579565</v>
      </c>
      <c r="J514" s="150">
        <v>1</v>
      </c>
      <c r="K514" s="150">
        <v>57693</v>
      </c>
      <c r="L514" s="150">
        <v>5533</v>
      </c>
      <c r="M514" s="150">
        <v>3960.61</v>
      </c>
      <c r="N514" s="150">
        <v>0</v>
      </c>
      <c r="O514" s="150">
        <v>13613</v>
      </c>
      <c r="P514" s="150">
        <v>14094</v>
      </c>
      <c r="Q514" s="150">
        <v>14566</v>
      </c>
      <c r="R514" s="150">
        <v>14566</v>
      </c>
    </row>
    <row r="515" spans="1:18" x14ac:dyDescent="0.25">
      <c r="A515" t="str">
        <f t="shared" si="7"/>
        <v>4-7-193</v>
      </c>
      <c r="B515">
        <v>4</v>
      </c>
      <c r="C515" s="150" t="s">
        <v>1196</v>
      </c>
      <c r="D515" s="150">
        <v>7</v>
      </c>
      <c r="E515" s="150" t="s">
        <v>681</v>
      </c>
      <c r="F515" s="150">
        <v>193</v>
      </c>
      <c r="G515" s="150" t="s">
        <v>208</v>
      </c>
      <c r="H515" s="150">
        <v>0</v>
      </c>
      <c r="I515" s="150">
        <v>1165117</v>
      </c>
      <c r="J515" s="150" t="s">
        <v>1203</v>
      </c>
      <c r="K515" s="150">
        <v>364</v>
      </c>
      <c r="L515" s="150">
        <v>12</v>
      </c>
      <c r="M515" s="150">
        <v>3.1799999999999997</v>
      </c>
      <c r="N515" s="150">
        <v>0</v>
      </c>
      <c r="O515" s="150">
        <v>7772</v>
      </c>
      <c r="P515" s="150">
        <v>8256</v>
      </c>
      <c r="Q515" s="150">
        <v>8523.18</v>
      </c>
      <c r="R515" s="150">
        <v>8523.18</v>
      </c>
    </row>
    <row r="516" spans="1:18" x14ac:dyDescent="0.25">
      <c r="A516" t="str">
        <f t="shared" si="7"/>
        <v>35-7-50</v>
      </c>
      <c r="B516">
        <v>35</v>
      </c>
      <c r="C516" s="150" t="s">
        <v>1195</v>
      </c>
      <c r="D516" s="150">
        <v>7</v>
      </c>
      <c r="E516" s="150" t="s">
        <v>681</v>
      </c>
      <c r="F516" s="150">
        <v>50</v>
      </c>
      <c r="G516" s="150" t="s">
        <v>589</v>
      </c>
      <c r="H516" s="150">
        <v>1112</v>
      </c>
      <c r="I516" s="150">
        <v>473753</v>
      </c>
      <c r="J516" s="150" t="s">
        <v>1203</v>
      </c>
      <c r="K516" s="150">
        <v>253</v>
      </c>
      <c r="L516" s="150">
        <v>9</v>
      </c>
      <c r="M516" s="150">
        <v>3.1</v>
      </c>
      <c r="N516" s="150">
        <v>0</v>
      </c>
      <c r="O516" s="150">
        <v>3200</v>
      </c>
      <c r="P516" s="150">
        <v>3302</v>
      </c>
      <c r="Q516" s="150">
        <v>3404.1</v>
      </c>
      <c r="R516" s="150">
        <v>3404.1</v>
      </c>
    </row>
    <row r="517" spans="1:18" x14ac:dyDescent="0.25">
      <c r="A517" t="str">
        <f t="shared" si="7"/>
        <v>18-7-51</v>
      </c>
      <c r="B517">
        <v>18</v>
      </c>
      <c r="C517" s="150" t="s">
        <v>1170</v>
      </c>
      <c r="D517" s="150">
        <v>7</v>
      </c>
      <c r="E517" s="150" t="s">
        <v>681</v>
      </c>
      <c r="F517" s="150">
        <v>51</v>
      </c>
      <c r="G517" s="150" t="s">
        <v>380</v>
      </c>
      <c r="H517" s="150">
        <v>420</v>
      </c>
      <c r="I517" s="150">
        <v>278676</v>
      </c>
      <c r="J517" s="150" t="s">
        <v>1203</v>
      </c>
      <c r="K517" s="150">
        <v>47</v>
      </c>
      <c r="L517" s="150">
        <v>3</v>
      </c>
      <c r="M517" s="150">
        <v>0.04</v>
      </c>
      <c r="N517" s="150">
        <v>0</v>
      </c>
      <c r="O517" s="150">
        <v>950</v>
      </c>
      <c r="P517" s="150">
        <v>950</v>
      </c>
      <c r="Q517" s="150">
        <v>950.04</v>
      </c>
      <c r="R517" s="150">
        <v>950.04</v>
      </c>
    </row>
    <row r="518" spans="1:18" x14ac:dyDescent="0.25">
      <c r="A518" t="str">
        <f t="shared" ref="A518:A581" si="8">B518&amp;"-"&amp;D518&amp;"-"&amp;F518</f>
        <v>20-11-21</v>
      </c>
      <c r="B518">
        <v>20</v>
      </c>
      <c r="C518" s="150" t="s">
        <v>1172</v>
      </c>
      <c r="D518" s="150">
        <v>11</v>
      </c>
      <c r="E518" s="150" t="s">
        <v>1204</v>
      </c>
      <c r="F518" s="150">
        <v>21</v>
      </c>
      <c r="G518" s="150" t="s">
        <v>936</v>
      </c>
      <c r="H518" s="150">
        <v>0</v>
      </c>
      <c r="I518" s="150">
        <v>260116535</v>
      </c>
      <c r="J518" s="150" t="s">
        <v>1203</v>
      </c>
      <c r="K518" s="150">
        <v>21258</v>
      </c>
      <c r="L518" s="150">
        <v>7782</v>
      </c>
      <c r="M518" s="150">
        <v>4306.87</v>
      </c>
      <c r="N518" s="150">
        <v>0</v>
      </c>
      <c r="O518" s="150">
        <v>618727</v>
      </c>
      <c r="P518" s="150">
        <v>658124</v>
      </c>
      <c r="Q518" s="150">
        <v>680253.87</v>
      </c>
      <c r="R518" s="150">
        <v>680253.87</v>
      </c>
    </row>
    <row r="519" spans="1:18" x14ac:dyDescent="0.25">
      <c r="A519" t="str">
        <f t="shared" si="8"/>
        <v>20-4-73</v>
      </c>
      <c r="B519">
        <v>20</v>
      </c>
      <c r="C519" s="150" t="s">
        <v>1172</v>
      </c>
      <c r="D519" s="150">
        <v>4</v>
      </c>
      <c r="E519" s="150" t="s">
        <v>146</v>
      </c>
      <c r="F519" s="150">
        <v>73</v>
      </c>
      <c r="G519" s="150" t="s">
        <v>927</v>
      </c>
      <c r="H519" s="150">
        <v>0</v>
      </c>
      <c r="I519" s="150">
        <v>217064242</v>
      </c>
      <c r="J519" s="150">
        <v>1</v>
      </c>
      <c r="K519" s="150">
        <v>0</v>
      </c>
      <c r="L519" s="150">
        <v>6099</v>
      </c>
      <c r="M519" s="150">
        <v>2928.71</v>
      </c>
      <c r="N519" s="150">
        <v>0</v>
      </c>
      <c r="O519" s="150">
        <v>0</v>
      </c>
      <c r="P519" s="150">
        <v>61251</v>
      </c>
      <c r="Q519" s="150">
        <v>63287</v>
      </c>
      <c r="R519" s="150">
        <v>63287</v>
      </c>
    </row>
    <row r="520" spans="1:18" x14ac:dyDescent="0.25">
      <c r="A520" t="str">
        <f t="shared" si="8"/>
        <v>37-4-73</v>
      </c>
      <c r="B520">
        <v>37</v>
      </c>
      <c r="C520" s="150" t="s">
        <v>1188</v>
      </c>
      <c r="D520" s="150">
        <v>4</v>
      </c>
      <c r="E520" s="150" t="s">
        <v>146</v>
      </c>
      <c r="F520" s="150">
        <v>73</v>
      </c>
      <c r="G520" s="150" t="s">
        <v>927</v>
      </c>
      <c r="H520" s="150">
        <v>0</v>
      </c>
      <c r="I520" s="150">
        <v>484552</v>
      </c>
      <c r="J520" s="150">
        <v>1</v>
      </c>
      <c r="K520" s="150">
        <v>0</v>
      </c>
      <c r="L520" s="150">
        <v>6099</v>
      </c>
      <c r="M520" s="150">
        <v>2928.71</v>
      </c>
      <c r="N520" s="150">
        <v>0</v>
      </c>
      <c r="O520" s="150">
        <v>59299</v>
      </c>
      <c r="P520" s="150">
        <v>61251</v>
      </c>
      <c r="Q520" s="150">
        <v>63287</v>
      </c>
      <c r="R520" s="150">
        <v>63287</v>
      </c>
    </row>
    <row r="521" spans="1:18" x14ac:dyDescent="0.25">
      <c r="A521" t="str">
        <f t="shared" si="8"/>
        <v>14-11-22</v>
      </c>
      <c r="B521">
        <v>14</v>
      </c>
      <c r="C521" s="150" t="s">
        <v>1166</v>
      </c>
      <c r="D521" s="150">
        <v>11</v>
      </c>
      <c r="E521" s="150" t="s">
        <v>1204</v>
      </c>
      <c r="F521" s="150">
        <v>22</v>
      </c>
      <c r="G521" s="150" t="s">
        <v>334</v>
      </c>
      <c r="H521" s="150">
        <v>11414</v>
      </c>
      <c r="I521" s="150">
        <v>19209716</v>
      </c>
      <c r="J521" s="150" t="s">
        <v>1203</v>
      </c>
      <c r="K521" s="150">
        <v>20908</v>
      </c>
      <c r="L521" s="150">
        <v>7377</v>
      </c>
      <c r="M521" s="150">
        <v>1895.29</v>
      </c>
      <c r="N521" s="150">
        <v>0</v>
      </c>
      <c r="O521" s="150">
        <v>1497203</v>
      </c>
      <c r="P521" s="150">
        <v>1578083</v>
      </c>
      <c r="Q521" s="150">
        <v>1664366.29</v>
      </c>
      <c r="R521" s="150">
        <v>1664366.29</v>
      </c>
    </row>
    <row r="522" spans="1:18" x14ac:dyDescent="0.25">
      <c r="A522" t="str">
        <f t="shared" si="8"/>
        <v>24-7-52</v>
      </c>
      <c r="B522">
        <v>24</v>
      </c>
      <c r="C522" s="150" t="s">
        <v>1176</v>
      </c>
      <c r="D522" s="150">
        <v>7</v>
      </c>
      <c r="E522" s="150" t="s">
        <v>681</v>
      </c>
      <c r="F522" s="150">
        <v>52</v>
      </c>
      <c r="G522" s="150" t="s">
        <v>440</v>
      </c>
      <c r="H522" s="150">
        <v>36</v>
      </c>
      <c r="I522" s="150">
        <v>89124007</v>
      </c>
      <c r="J522" s="150" t="s">
        <v>1203</v>
      </c>
      <c r="K522" s="150">
        <v>2071</v>
      </c>
      <c r="L522" s="150">
        <v>1173</v>
      </c>
      <c r="M522" s="150">
        <v>223.06</v>
      </c>
      <c r="N522" s="150">
        <v>0</v>
      </c>
      <c r="O522" s="150">
        <v>97699</v>
      </c>
      <c r="P522" s="150">
        <v>101360</v>
      </c>
      <c r="Q522" s="150">
        <v>105302.06</v>
      </c>
      <c r="R522" s="150">
        <v>105302.06</v>
      </c>
    </row>
    <row r="523" spans="1:18" x14ac:dyDescent="0.25">
      <c r="A523" t="str">
        <f t="shared" si="8"/>
        <v>24-2-24</v>
      </c>
      <c r="B523">
        <v>24</v>
      </c>
      <c r="C523" s="150" t="s">
        <v>1176</v>
      </c>
      <c r="D523" s="150">
        <v>2</v>
      </c>
      <c r="E523" s="150" t="s">
        <v>110</v>
      </c>
      <c r="F523" s="150">
        <v>24</v>
      </c>
      <c r="G523" s="150" t="s">
        <v>434</v>
      </c>
      <c r="H523" s="150">
        <v>0</v>
      </c>
      <c r="I523" s="150">
        <v>188815396</v>
      </c>
      <c r="J523" s="150" t="s">
        <v>1203</v>
      </c>
      <c r="K523" s="150">
        <v>170629</v>
      </c>
      <c r="L523" s="150">
        <v>50272</v>
      </c>
      <c r="M523" s="150">
        <v>8287.48</v>
      </c>
      <c r="N523" s="150">
        <v>0</v>
      </c>
      <c r="O523" s="150">
        <v>4586172</v>
      </c>
      <c r="P523" s="150">
        <v>4348501</v>
      </c>
      <c r="Q523" s="150">
        <v>4900879.4800000004</v>
      </c>
      <c r="R523" s="150">
        <v>4900879.4800000004</v>
      </c>
    </row>
    <row r="524" spans="1:18" x14ac:dyDescent="0.25">
      <c r="A524" t="str">
        <f t="shared" si="8"/>
        <v>24-5-26</v>
      </c>
      <c r="B524">
        <v>24</v>
      </c>
      <c r="C524" s="150" t="s">
        <v>1176</v>
      </c>
      <c r="D524" s="150">
        <v>5</v>
      </c>
      <c r="E524" s="150" t="s">
        <v>286</v>
      </c>
      <c r="F524" s="150">
        <v>26</v>
      </c>
      <c r="G524" s="150" t="s">
        <v>439</v>
      </c>
      <c r="H524" s="150">
        <v>5856</v>
      </c>
      <c r="I524" s="150">
        <v>188815396</v>
      </c>
      <c r="J524" s="150" t="s">
        <v>1203</v>
      </c>
      <c r="K524" s="150">
        <v>0</v>
      </c>
      <c r="L524" s="150">
        <v>4434</v>
      </c>
      <c r="M524" s="150">
        <v>852.24</v>
      </c>
      <c r="N524" s="150">
        <v>0</v>
      </c>
      <c r="O524" s="150">
        <v>455913</v>
      </c>
      <c r="P524" s="150">
        <v>473353</v>
      </c>
      <c r="Q524" s="150">
        <v>495541.24</v>
      </c>
      <c r="R524" s="150">
        <v>495541.24</v>
      </c>
    </row>
    <row r="525" spans="1:18" x14ac:dyDescent="0.25">
      <c r="A525" t="str">
        <f t="shared" si="8"/>
        <v>24-9-28</v>
      </c>
      <c r="B525">
        <v>24</v>
      </c>
      <c r="C525" s="150" t="s">
        <v>1176</v>
      </c>
      <c r="D525" s="150">
        <v>9</v>
      </c>
      <c r="E525" s="150" t="s">
        <v>683</v>
      </c>
      <c r="F525" s="150">
        <v>28</v>
      </c>
      <c r="G525" s="150" t="s">
        <v>972</v>
      </c>
      <c r="H525" s="150">
        <v>336</v>
      </c>
      <c r="I525" s="150">
        <v>1942810</v>
      </c>
      <c r="J525" s="150" t="s">
        <v>1203</v>
      </c>
      <c r="K525" s="150">
        <v>5581</v>
      </c>
      <c r="L525" s="150">
        <v>1144</v>
      </c>
      <c r="M525" s="150">
        <v>953.2</v>
      </c>
      <c r="N525" s="150">
        <v>0</v>
      </c>
      <c r="O525" s="150">
        <v>751766</v>
      </c>
      <c r="P525" s="150">
        <v>780664</v>
      </c>
      <c r="Q525" s="150">
        <v>811665.2</v>
      </c>
      <c r="R525" s="150">
        <v>811665.2</v>
      </c>
    </row>
    <row r="526" spans="1:18" x14ac:dyDescent="0.25">
      <c r="A526" t="str">
        <f t="shared" si="8"/>
        <v>24-11-23</v>
      </c>
      <c r="B526">
        <v>24</v>
      </c>
      <c r="C526" s="150" t="s">
        <v>1176</v>
      </c>
      <c r="D526" s="150">
        <v>11</v>
      </c>
      <c r="E526" s="150" t="s">
        <v>1204</v>
      </c>
      <c r="F526" s="150">
        <v>23</v>
      </c>
      <c r="G526" s="150" t="s">
        <v>444</v>
      </c>
      <c r="H526" s="150">
        <v>418</v>
      </c>
      <c r="I526" s="150">
        <v>62419455</v>
      </c>
      <c r="J526" s="150" t="s">
        <v>1203</v>
      </c>
      <c r="K526" s="150">
        <v>10624</v>
      </c>
      <c r="L526" s="150">
        <v>4506</v>
      </c>
      <c r="M526" s="150">
        <v>1000.16</v>
      </c>
      <c r="N526" s="150">
        <v>0</v>
      </c>
      <c r="O526" s="150">
        <v>507443</v>
      </c>
      <c r="P526" s="150">
        <v>526644</v>
      </c>
      <c r="Q526" s="150">
        <v>547181.16</v>
      </c>
      <c r="R526" s="150">
        <v>547181.16</v>
      </c>
    </row>
    <row r="527" spans="1:18" x14ac:dyDescent="0.25">
      <c r="A527" t="str">
        <f t="shared" si="8"/>
        <v>24-14-65</v>
      </c>
      <c r="B527">
        <v>24</v>
      </c>
      <c r="C527" s="150" t="s">
        <v>1176</v>
      </c>
      <c r="D527" s="150">
        <v>14</v>
      </c>
      <c r="E527" s="150" t="s">
        <v>665</v>
      </c>
      <c r="F527" s="150">
        <v>65</v>
      </c>
      <c r="G527" s="150" t="s">
        <v>448</v>
      </c>
      <c r="H527" s="150">
        <v>0</v>
      </c>
      <c r="I527" s="150">
        <v>63226088</v>
      </c>
      <c r="J527" s="150" t="s">
        <v>1203</v>
      </c>
      <c r="K527" s="150">
        <v>0</v>
      </c>
      <c r="L527" s="150">
        <v>0</v>
      </c>
      <c r="M527" s="150">
        <v>655.63</v>
      </c>
      <c r="N527" s="150">
        <v>0</v>
      </c>
      <c r="O527" s="150">
        <v>324702</v>
      </c>
      <c r="P527" s="150">
        <v>336968</v>
      </c>
      <c r="Q527" s="150">
        <v>350085.63</v>
      </c>
      <c r="R527" s="150">
        <v>350085.63</v>
      </c>
    </row>
    <row r="528" spans="1:18" x14ac:dyDescent="0.25">
      <c r="A528" t="str">
        <f t="shared" si="8"/>
        <v>24-17-20</v>
      </c>
      <c r="B528">
        <v>24</v>
      </c>
      <c r="C528" s="150" t="s">
        <v>1176</v>
      </c>
      <c r="D528" s="150">
        <v>17</v>
      </c>
      <c r="E528" s="150" t="s">
        <v>688</v>
      </c>
      <c r="F528" s="150">
        <v>20</v>
      </c>
      <c r="G528" s="150" t="s">
        <v>449</v>
      </c>
      <c r="H528" s="150">
        <v>76</v>
      </c>
      <c r="I528" s="150">
        <v>79499321</v>
      </c>
      <c r="J528" s="150" t="s">
        <v>1203</v>
      </c>
      <c r="K528" s="150">
        <v>4090</v>
      </c>
      <c r="L528" s="150">
        <v>2356</v>
      </c>
      <c r="M528" s="150">
        <v>437.14</v>
      </c>
      <c r="N528" s="150">
        <v>0</v>
      </c>
      <c r="O528" s="150">
        <v>200270</v>
      </c>
      <c r="P528" s="150">
        <v>207799</v>
      </c>
      <c r="Q528" s="150">
        <v>215912.14</v>
      </c>
      <c r="R528" s="150">
        <v>215912.14</v>
      </c>
    </row>
    <row r="529" spans="1:18" x14ac:dyDescent="0.25">
      <c r="A529" t="str">
        <f t="shared" si="8"/>
        <v>24-4-84</v>
      </c>
      <c r="B529">
        <v>24</v>
      </c>
      <c r="C529" s="150" t="s">
        <v>1176</v>
      </c>
      <c r="D529" s="150">
        <v>4</v>
      </c>
      <c r="E529" s="150" t="s">
        <v>146</v>
      </c>
      <c r="F529" s="150">
        <v>84</v>
      </c>
      <c r="G529" s="150" t="s">
        <v>967</v>
      </c>
      <c r="H529" s="150">
        <v>0</v>
      </c>
      <c r="I529" s="150">
        <v>79529117</v>
      </c>
      <c r="J529" s="150">
        <v>1</v>
      </c>
      <c r="K529" s="150">
        <v>21116</v>
      </c>
      <c r="L529" s="150">
        <v>24728</v>
      </c>
      <c r="M529" s="150">
        <v>3482.76</v>
      </c>
      <c r="N529" s="150">
        <v>0</v>
      </c>
      <c r="O529" s="150">
        <v>47506</v>
      </c>
      <c r="P529" s="150">
        <v>47094</v>
      </c>
      <c r="Q529" s="150">
        <v>49350</v>
      </c>
      <c r="R529" s="150">
        <v>49350</v>
      </c>
    </row>
    <row r="530" spans="1:18" x14ac:dyDescent="0.25">
      <c r="A530" t="str">
        <f t="shared" si="8"/>
        <v>32-4-84</v>
      </c>
      <c r="B530">
        <v>32</v>
      </c>
      <c r="C530" s="150" t="s">
        <v>1184</v>
      </c>
      <c r="D530" s="150">
        <v>4</v>
      </c>
      <c r="E530" s="150" t="s">
        <v>146</v>
      </c>
      <c r="F530" s="150">
        <v>84</v>
      </c>
      <c r="G530" s="150" t="s">
        <v>967</v>
      </c>
      <c r="H530" s="150">
        <v>0</v>
      </c>
      <c r="I530" s="150">
        <v>4500296</v>
      </c>
      <c r="J530" s="150">
        <v>1</v>
      </c>
      <c r="K530" s="150">
        <v>21116</v>
      </c>
      <c r="L530" s="150">
        <v>24728</v>
      </c>
      <c r="M530" s="150">
        <v>3482.76</v>
      </c>
      <c r="N530" s="150">
        <v>0</v>
      </c>
      <c r="O530" s="150">
        <v>47506</v>
      </c>
      <c r="P530" s="150">
        <v>47094</v>
      </c>
      <c r="Q530" s="150">
        <v>49350</v>
      </c>
      <c r="R530" s="150">
        <v>49350</v>
      </c>
    </row>
    <row r="531" spans="1:18" x14ac:dyDescent="0.25">
      <c r="A531" t="str">
        <f t="shared" si="8"/>
        <v>16-10-18</v>
      </c>
      <c r="B531">
        <v>16</v>
      </c>
      <c r="C531" s="150" t="s">
        <v>1168</v>
      </c>
      <c r="D531" s="150">
        <v>10</v>
      </c>
      <c r="E531" s="150" t="s">
        <v>684</v>
      </c>
      <c r="F531" s="150">
        <v>18</v>
      </c>
      <c r="G531" s="150" t="s">
        <v>365</v>
      </c>
      <c r="H531" s="150">
        <v>2782</v>
      </c>
      <c r="I531" s="150">
        <v>0</v>
      </c>
      <c r="J531" s="150" t="s">
        <v>1203</v>
      </c>
      <c r="K531" s="150">
        <v>0</v>
      </c>
      <c r="L531" s="150">
        <v>0</v>
      </c>
      <c r="M531" s="150">
        <v>0</v>
      </c>
      <c r="N531" s="150">
        <v>0</v>
      </c>
      <c r="O531" s="150">
        <v>67541</v>
      </c>
      <c r="P531" s="150">
        <v>74752</v>
      </c>
      <c r="Q531" s="150">
        <v>78934</v>
      </c>
      <c r="R531" s="150">
        <v>78934</v>
      </c>
    </row>
    <row r="532" spans="1:18" x14ac:dyDescent="0.25">
      <c r="A532" t="str">
        <f t="shared" si="8"/>
        <v>15-7-53</v>
      </c>
      <c r="B532">
        <v>15</v>
      </c>
      <c r="C532" s="150" t="s">
        <v>1167</v>
      </c>
      <c r="D532" s="150">
        <v>7</v>
      </c>
      <c r="E532" s="150" t="s">
        <v>681</v>
      </c>
      <c r="F532" s="150">
        <v>53</v>
      </c>
      <c r="G532" s="150" t="s">
        <v>347</v>
      </c>
      <c r="H532" s="150">
        <v>0</v>
      </c>
      <c r="I532" s="150">
        <v>10617988</v>
      </c>
      <c r="J532" s="150" t="s">
        <v>1203</v>
      </c>
      <c r="K532" s="150">
        <v>1135</v>
      </c>
      <c r="L532" s="150">
        <v>229</v>
      </c>
      <c r="M532" s="150">
        <v>64.08</v>
      </c>
      <c r="N532" s="150">
        <v>0</v>
      </c>
      <c r="O532" s="150">
        <v>23933</v>
      </c>
      <c r="P532" s="150">
        <v>25082</v>
      </c>
      <c r="Q532" s="150">
        <v>26177.08</v>
      </c>
      <c r="R532" s="150">
        <v>26177.08</v>
      </c>
    </row>
    <row r="533" spans="1:18" x14ac:dyDescent="0.25">
      <c r="A533" t="str">
        <f t="shared" si="8"/>
        <v>15-14-17</v>
      </c>
      <c r="B533">
        <v>15</v>
      </c>
      <c r="C533" s="150" t="s">
        <v>1167</v>
      </c>
      <c r="D533" s="150">
        <v>14</v>
      </c>
      <c r="E533" s="150" t="s">
        <v>665</v>
      </c>
      <c r="F533" s="150">
        <v>17</v>
      </c>
      <c r="G533" s="150" t="s">
        <v>352</v>
      </c>
      <c r="H533" s="150">
        <v>417</v>
      </c>
      <c r="I533" s="150">
        <v>26226908</v>
      </c>
      <c r="J533" s="150" t="s">
        <v>1203</v>
      </c>
      <c r="K533" s="150">
        <v>3050</v>
      </c>
      <c r="L533" s="150">
        <v>354</v>
      </c>
      <c r="M533" s="150">
        <v>163.48000000000002</v>
      </c>
      <c r="N533" s="150">
        <v>0</v>
      </c>
      <c r="O533" s="150">
        <v>88618</v>
      </c>
      <c r="P533" s="150">
        <v>92878</v>
      </c>
      <c r="Q533" s="150">
        <v>97054.48</v>
      </c>
      <c r="R533" s="150">
        <v>97054.48</v>
      </c>
    </row>
    <row r="534" spans="1:18" x14ac:dyDescent="0.25">
      <c r="A534" t="str">
        <f t="shared" si="8"/>
        <v>3-4-50</v>
      </c>
      <c r="B534">
        <v>3</v>
      </c>
      <c r="C534" s="150" t="s">
        <v>1157</v>
      </c>
      <c r="D534" s="150">
        <v>4</v>
      </c>
      <c r="E534" s="150" t="s">
        <v>146</v>
      </c>
      <c r="F534" s="150">
        <v>50</v>
      </c>
      <c r="G534" s="150" t="s">
        <v>736</v>
      </c>
      <c r="H534" s="150">
        <v>0</v>
      </c>
      <c r="I534" s="150">
        <v>0</v>
      </c>
      <c r="J534" s="150">
        <v>1</v>
      </c>
      <c r="K534" s="150">
        <v>10294</v>
      </c>
      <c r="L534" s="150">
        <v>2895</v>
      </c>
      <c r="M534" s="150">
        <v>2042.63</v>
      </c>
      <c r="N534" s="150">
        <v>0</v>
      </c>
      <c r="O534" s="150">
        <v>28080</v>
      </c>
      <c r="P534" s="150">
        <v>29344</v>
      </c>
      <c r="Q534" s="150">
        <v>30598</v>
      </c>
      <c r="R534" s="150">
        <v>30598</v>
      </c>
    </row>
    <row r="535" spans="1:18" x14ac:dyDescent="0.25">
      <c r="A535" t="str">
        <f t="shared" si="8"/>
        <v>15-4-50</v>
      </c>
      <c r="B535">
        <v>15</v>
      </c>
      <c r="C535" s="150" t="s">
        <v>1167</v>
      </c>
      <c r="D535" s="150">
        <v>4</v>
      </c>
      <c r="E535" s="150" t="s">
        <v>146</v>
      </c>
      <c r="F535" s="150">
        <v>50</v>
      </c>
      <c r="G535" s="150" t="s">
        <v>736</v>
      </c>
      <c r="H535" s="150">
        <v>0</v>
      </c>
      <c r="I535" s="150">
        <v>30190622</v>
      </c>
      <c r="J535" s="150">
        <v>1</v>
      </c>
      <c r="K535" s="150">
        <v>10294</v>
      </c>
      <c r="L535" s="150">
        <v>2895</v>
      </c>
      <c r="M535" s="150">
        <v>2042.63</v>
      </c>
      <c r="N535" s="150">
        <v>0</v>
      </c>
      <c r="O535" s="150">
        <v>28080</v>
      </c>
      <c r="P535" s="150">
        <v>29344</v>
      </c>
      <c r="Q535" s="150">
        <v>30598</v>
      </c>
      <c r="R535" s="150">
        <v>30598</v>
      </c>
    </row>
    <row r="536" spans="1:18" x14ac:dyDescent="0.25">
      <c r="A536" t="str">
        <f t="shared" si="8"/>
        <v>21-4-50</v>
      </c>
      <c r="B536">
        <v>21</v>
      </c>
      <c r="C536" s="150" t="s">
        <v>1173</v>
      </c>
      <c r="D536" s="150">
        <v>4</v>
      </c>
      <c r="E536" s="150" t="s">
        <v>146</v>
      </c>
      <c r="F536" s="150">
        <v>50</v>
      </c>
      <c r="G536" s="150" t="s">
        <v>736</v>
      </c>
      <c r="H536" s="150">
        <v>0</v>
      </c>
      <c r="I536" s="150">
        <v>7484874</v>
      </c>
      <c r="J536" s="150">
        <v>1</v>
      </c>
      <c r="K536" s="150">
        <v>10294</v>
      </c>
      <c r="L536" s="150">
        <v>2895</v>
      </c>
      <c r="M536" s="150">
        <v>2042.63</v>
      </c>
      <c r="N536" s="150">
        <v>0</v>
      </c>
      <c r="O536" s="150">
        <v>28080</v>
      </c>
      <c r="P536" s="150">
        <v>29344</v>
      </c>
      <c r="Q536" s="150">
        <v>30598</v>
      </c>
      <c r="R536" s="150">
        <v>30598</v>
      </c>
    </row>
    <row r="537" spans="1:18" x14ac:dyDescent="0.25">
      <c r="A537" t="str">
        <f t="shared" si="8"/>
        <v>20-9-29</v>
      </c>
      <c r="B537">
        <v>20</v>
      </c>
      <c r="C537" s="150" t="s">
        <v>1172</v>
      </c>
      <c r="D537" s="150">
        <v>9</v>
      </c>
      <c r="E537" s="150" t="s">
        <v>683</v>
      </c>
      <c r="F537" s="150">
        <v>29</v>
      </c>
      <c r="G537" s="150" t="s">
        <v>931</v>
      </c>
      <c r="H537" s="150">
        <v>0</v>
      </c>
      <c r="I537" s="150">
        <v>0</v>
      </c>
      <c r="J537" s="150">
        <v>1</v>
      </c>
      <c r="K537" s="150">
        <v>4373</v>
      </c>
      <c r="L537" s="150">
        <v>1345</v>
      </c>
      <c r="M537" s="150">
        <v>117.10000000000001</v>
      </c>
      <c r="N537" s="150">
        <v>41927</v>
      </c>
      <c r="O537" s="150">
        <v>180851</v>
      </c>
      <c r="P537" s="150">
        <v>74689</v>
      </c>
      <c r="Q537" s="150">
        <v>254837.1</v>
      </c>
      <c r="R537" s="150">
        <v>254837.1</v>
      </c>
    </row>
    <row r="538" spans="1:18" x14ac:dyDescent="0.25">
      <c r="A538" t="str">
        <f t="shared" si="8"/>
        <v>37-9-29</v>
      </c>
      <c r="B538">
        <v>37</v>
      </c>
      <c r="C538" s="150" t="s">
        <v>1188</v>
      </c>
      <c r="D538" s="150">
        <v>9</v>
      </c>
      <c r="E538" s="150" t="s">
        <v>683</v>
      </c>
      <c r="F538" s="150">
        <v>29</v>
      </c>
      <c r="G538" s="150" t="s">
        <v>931</v>
      </c>
      <c r="H538" s="150">
        <v>0</v>
      </c>
      <c r="I538" s="150">
        <v>0</v>
      </c>
      <c r="J538" s="150">
        <v>1</v>
      </c>
      <c r="K538" s="150">
        <v>4373</v>
      </c>
      <c r="L538" s="150">
        <v>1345</v>
      </c>
      <c r="M538" s="150">
        <v>117.10000000000001</v>
      </c>
      <c r="N538" s="150">
        <v>41927</v>
      </c>
      <c r="O538" s="150">
        <v>180851</v>
      </c>
      <c r="P538" s="150">
        <v>74689</v>
      </c>
      <c r="Q538" s="150">
        <v>254837.1</v>
      </c>
      <c r="R538" s="150">
        <v>254837.1</v>
      </c>
    </row>
    <row r="539" spans="1:18" x14ac:dyDescent="0.25">
      <c r="A539" t="str">
        <f t="shared" si="8"/>
        <v>18-9-149</v>
      </c>
      <c r="B539">
        <v>18</v>
      </c>
      <c r="C539" s="150" t="s">
        <v>1170</v>
      </c>
      <c r="D539" s="150">
        <v>9</v>
      </c>
      <c r="E539" s="150" t="s">
        <v>683</v>
      </c>
      <c r="F539" s="150">
        <v>149</v>
      </c>
      <c r="G539" s="150" t="s">
        <v>903</v>
      </c>
      <c r="H539" s="150">
        <v>1410</v>
      </c>
      <c r="I539" s="150">
        <v>0</v>
      </c>
      <c r="J539" s="150" t="s">
        <v>1203</v>
      </c>
      <c r="K539" s="150">
        <v>0</v>
      </c>
      <c r="L539" s="150">
        <v>0</v>
      </c>
      <c r="M539" s="150">
        <v>0</v>
      </c>
      <c r="N539" s="150">
        <v>0</v>
      </c>
      <c r="O539" s="150">
        <v>8885</v>
      </c>
      <c r="P539" s="150">
        <v>8885</v>
      </c>
      <c r="Q539" s="150">
        <v>9258</v>
      </c>
      <c r="R539" s="150">
        <v>9258</v>
      </c>
    </row>
    <row r="540" spans="1:18" x14ac:dyDescent="0.25">
      <c r="A540" t="str">
        <f t="shared" si="8"/>
        <v>25-7-54</v>
      </c>
      <c r="B540">
        <v>25</v>
      </c>
      <c r="C540" s="150" t="s">
        <v>1177</v>
      </c>
      <c r="D540" s="150">
        <v>7</v>
      </c>
      <c r="E540" s="150" t="s">
        <v>681</v>
      </c>
      <c r="F540" s="150">
        <v>54</v>
      </c>
      <c r="G540" s="150" t="s">
        <v>462</v>
      </c>
      <c r="H540" s="150">
        <v>27657</v>
      </c>
      <c r="I540" s="150">
        <v>10399713</v>
      </c>
      <c r="J540" s="150" t="s">
        <v>1203</v>
      </c>
      <c r="K540" s="150">
        <v>2019</v>
      </c>
      <c r="L540" s="150">
        <v>2570</v>
      </c>
      <c r="M540" s="150">
        <v>426.97999999999996</v>
      </c>
      <c r="N540" s="150">
        <v>0</v>
      </c>
      <c r="O540" s="150">
        <v>168440</v>
      </c>
      <c r="P540" s="150">
        <v>174771</v>
      </c>
      <c r="Q540" s="150">
        <v>183664.98</v>
      </c>
      <c r="R540" s="150">
        <v>183664.98</v>
      </c>
    </row>
    <row r="541" spans="1:18" x14ac:dyDescent="0.25">
      <c r="A541" t="str">
        <f t="shared" si="8"/>
        <v>25-9-31</v>
      </c>
      <c r="B541">
        <v>25</v>
      </c>
      <c r="C541" s="150" t="s">
        <v>1177</v>
      </c>
      <c r="D541" s="150">
        <v>9</v>
      </c>
      <c r="E541" s="150" t="s">
        <v>683</v>
      </c>
      <c r="F541" s="150">
        <v>31</v>
      </c>
      <c r="G541" s="150" t="s">
        <v>471</v>
      </c>
      <c r="H541" s="150">
        <v>9145</v>
      </c>
      <c r="I541" s="150">
        <v>3612604</v>
      </c>
      <c r="J541" s="150" t="s">
        <v>1203</v>
      </c>
      <c r="K541" s="150">
        <v>444</v>
      </c>
      <c r="L541" s="150">
        <v>517</v>
      </c>
      <c r="M541" s="150">
        <v>161.80000000000001</v>
      </c>
      <c r="N541" s="150">
        <v>0</v>
      </c>
      <c r="O541" s="150">
        <v>47356</v>
      </c>
      <c r="P541" s="150">
        <v>50666</v>
      </c>
      <c r="Q541" s="150">
        <v>102259.8</v>
      </c>
      <c r="R541" s="150">
        <v>102259.8</v>
      </c>
    </row>
    <row r="542" spans="1:18" x14ac:dyDescent="0.25">
      <c r="A542" t="str">
        <f t="shared" si="8"/>
        <v>25-11-24</v>
      </c>
      <c r="B542">
        <v>25</v>
      </c>
      <c r="C542" s="150" t="s">
        <v>1177</v>
      </c>
      <c r="D542" s="150">
        <v>11</v>
      </c>
      <c r="E542" s="150" t="s">
        <v>1204</v>
      </c>
      <c r="F542" s="150">
        <v>24</v>
      </c>
      <c r="G542" s="150" t="s">
        <v>477</v>
      </c>
      <c r="H542" s="150">
        <v>3283</v>
      </c>
      <c r="I542" s="150">
        <v>7731401</v>
      </c>
      <c r="J542" s="150" t="s">
        <v>1203</v>
      </c>
      <c r="K542" s="150">
        <v>0</v>
      </c>
      <c r="L542" s="150">
        <v>795</v>
      </c>
      <c r="M542" s="150">
        <v>217.41</v>
      </c>
      <c r="N542" s="150">
        <v>0</v>
      </c>
      <c r="O542" s="150">
        <v>71292</v>
      </c>
      <c r="P542" s="150">
        <v>71292</v>
      </c>
      <c r="Q542" s="150">
        <v>71509.41</v>
      </c>
      <c r="R542" s="150">
        <v>71509.41</v>
      </c>
    </row>
    <row r="543" spans="1:18" x14ac:dyDescent="0.25">
      <c r="A543" t="str">
        <f t="shared" si="8"/>
        <v>9-20-8</v>
      </c>
      <c r="B543">
        <v>9</v>
      </c>
      <c r="C543" s="150" t="s">
        <v>1161</v>
      </c>
      <c r="D543" s="150">
        <v>20</v>
      </c>
      <c r="E543" s="150" t="s">
        <v>238</v>
      </c>
      <c r="F543" s="150">
        <v>8</v>
      </c>
      <c r="G543" s="150" t="s">
        <v>823</v>
      </c>
      <c r="H543" s="150">
        <v>5</v>
      </c>
      <c r="I543" s="150">
        <v>1278</v>
      </c>
      <c r="J543" s="150" t="s">
        <v>1203</v>
      </c>
      <c r="K543" s="150">
        <v>0</v>
      </c>
      <c r="L543" s="150">
        <v>97</v>
      </c>
      <c r="M543" s="150">
        <v>23</v>
      </c>
      <c r="N543" s="150">
        <v>0</v>
      </c>
      <c r="O543" s="283">
        <v>31364</v>
      </c>
      <c r="P543" s="283">
        <v>32391</v>
      </c>
      <c r="Q543" s="283">
        <v>32414</v>
      </c>
      <c r="R543" s="283">
        <v>32414</v>
      </c>
    </row>
    <row r="544" spans="1:18" x14ac:dyDescent="0.25">
      <c r="A544" t="str">
        <f t="shared" si="8"/>
        <v>10-9-32</v>
      </c>
      <c r="B544">
        <v>10</v>
      </c>
      <c r="C544" s="150" t="s">
        <v>1162</v>
      </c>
      <c r="D544" s="150">
        <v>9</v>
      </c>
      <c r="E544" s="150" t="s">
        <v>683</v>
      </c>
      <c r="F544" s="150">
        <v>32</v>
      </c>
      <c r="G544" s="150" t="s">
        <v>832</v>
      </c>
      <c r="H544" s="150">
        <v>7209</v>
      </c>
      <c r="I544" s="150">
        <v>0</v>
      </c>
      <c r="J544" s="150" t="s">
        <v>1203</v>
      </c>
      <c r="K544" s="150">
        <v>2408</v>
      </c>
      <c r="L544" s="150">
        <v>975</v>
      </c>
      <c r="M544" s="150">
        <v>245.09</v>
      </c>
      <c r="N544" s="150">
        <v>0</v>
      </c>
      <c r="O544" s="150">
        <v>236701</v>
      </c>
      <c r="P544" s="150">
        <v>252439</v>
      </c>
      <c r="Q544" s="150">
        <v>270791.09000000003</v>
      </c>
      <c r="R544" s="150">
        <v>270791.09000000003</v>
      </c>
    </row>
    <row r="545" spans="1:18" x14ac:dyDescent="0.25">
      <c r="A545" t="str">
        <f t="shared" si="8"/>
        <v>28-20-9</v>
      </c>
      <c r="B545">
        <v>28</v>
      </c>
      <c r="C545" s="150" t="s">
        <v>1180</v>
      </c>
      <c r="D545" s="150">
        <v>20</v>
      </c>
      <c r="E545" s="150" t="s">
        <v>238</v>
      </c>
      <c r="F545" s="150">
        <v>9</v>
      </c>
      <c r="G545" s="150" t="s">
        <v>1376</v>
      </c>
      <c r="H545" s="150">
        <v>0</v>
      </c>
      <c r="I545" s="150">
        <v>1047156</v>
      </c>
      <c r="J545" s="150"/>
      <c r="K545" s="150">
        <v>0</v>
      </c>
      <c r="L545" s="150">
        <v>0</v>
      </c>
      <c r="M545" s="150">
        <v>0</v>
      </c>
      <c r="N545" s="150">
        <v>0</v>
      </c>
      <c r="O545" s="150">
        <v>0</v>
      </c>
      <c r="P545" s="150">
        <v>0</v>
      </c>
      <c r="Q545" s="150">
        <v>400000</v>
      </c>
      <c r="R545" s="150">
        <v>400000</v>
      </c>
    </row>
    <row r="546" spans="1:18" x14ac:dyDescent="0.25">
      <c r="A546" t="str">
        <f t="shared" si="8"/>
        <v>25-11-25</v>
      </c>
      <c r="B546">
        <v>25</v>
      </c>
      <c r="C546" s="150" t="s">
        <v>1177</v>
      </c>
      <c r="D546" s="150">
        <v>11</v>
      </c>
      <c r="E546" s="150" t="s">
        <v>1204</v>
      </c>
      <c r="F546" s="150">
        <v>25</v>
      </c>
      <c r="G546" s="150" t="s">
        <v>478</v>
      </c>
      <c r="H546" s="150">
        <v>0</v>
      </c>
      <c r="I546" s="150">
        <v>842032</v>
      </c>
      <c r="J546" s="150" t="s">
        <v>1203</v>
      </c>
      <c r="K546" s="150">
        <v>1113</v>
      </c>
      <c r="L546" s="150">
        <v>60</v>
      </c>
      <c r="M546" s="150">
        <v>1.53</v>
      </c>
      <c r="N546" s="150">
        <v>0</v>
      </c>
      <c r="O546" s="150">
        <v>17805</v>
      </c>
      <c r="P546" s="150">
        <v>17805</v>
      </c>
      <c r="Q546" s="150">
        <v>17806.53</v>
      </c>
      <c r="R546" s="150">
        <v>17806.53</v>
      </c>
    </row>
    <row r="547" spans="1:18" x14ac:dyDescent="0.25">
      <c r="A547" t="str">
        <f t="shared" si="8"/>
        <v>14-7-55</v>
      </c>
      <c r="B547">
        <v>14</v>
      </c>
      <c r="C547" s="150" t="s">
        <v>1166</v>
      </c>
      <c r="D547" s="150">
        <v>7</v>
      </c>
      <c r="E547" s="150" t="s">
        <v>681</v>
      </c>
      <c r="F547" s="150">
        <v>55</v>
      </c>
      <c r="G547" s="150" t="s">
        <v>316</v>
      </c>
      <c r="H547" s="150">
        <v>0</v>
      </c>
      <c r="I547" s="150">
        <v>3095258</v>
      </c>
      <c r="J547" s="150" t="s">
        <v>1203</v>
      </c>
      <c r="K547" s="150">
        <v>354</v>
      </c>
      <c r="L547" s="150">
        <v>224</v>
      </c>
      <c r="M547" s="150">
        <v>49.88</v>
      </c>
      <c r="N547" s="150">
        <v>0</v>
      </c>
      <c r="O547" s="150">
        <v>25656</v>
      </c>
      <c r="P547" s="150">
        <v>27579</v>
      </c>
      <c r="Q547" s="150">
        <v>29055.88</v>
      </c>
      <c r="R547" s="150">
        <v>29055.88</v>
      </c>
    </row>
    <row r="548" spans="1:18" x14ac:dyDescent="0.25">
      <c r="A548" t="str">
        <f t="shared" si="8"/>
        <v>18-9-168</v>
      </c>
      <c r="B548">
        <v>18</v>
      </c>
      <c r="C548" s="150" t="s">
        <v>1170</v>
      </c>
      <c r="D548" s="150">
        <v>9</v>
      </c>
      <c r="E548" s="150" t="s">
        <v>683</v>
      </c>
      <c r="F548" s="150">
        <v>168</v>
      </c>
      <c r="G548" s="150" t="s">
        <v>907</v>
      </c>
      <c r="H548" s="150">
        <v>2310</v>
      </c>
      <c r="I548" s="150">
        <v>0</v>
      </c>
      <c r="J548" s="150" t="s">
        <v>1203</v>
      </c>
      <c r="K548" s="150">
        <v>0</v>
      </c>
      <c r="L548" s="150">
        <v>0</v>
      </c>
      <c r="M548" s="150">
        <v>0</v>
      </c>
      <c r="N548" s="150">
        <v>0</v>
      </c>
      <c r="O548" s="150">
        <v>6587</v>
      </c>
      <c r="P548" s="150">
        <v>7091</v>
      </c>
      <c r="Q548" s="150">
        <v>7091</v>
      </c>
      <c r="R548" s="150">
        <v>7091</v>
      </c>
    </row>
    <row r="549" spans="1:18" x14ac:dyDescent="0.25">
      <c r="A549" t="str">
        <f t="shared" si="8"/>
        <v>6-7-56</v>
      </c>
      <c r="B549">
        <v>6</v>
      </c>
      <c r="C549" s="150" t="s">
        <v>1159</v>
      </c>
      <c r="D549" s="150">
        <v>7</v>
      </c>
      <c r="E549" s="150" t="s">
        <v>681</v>
      </c>
      <c r="F549" s="150">
        <v>56</v>
      </c>
      <c r="G549" s="150" t="s">
        <v>226</v>
      </c>
      <c r="H549" s="150">
        <v>0</v>
      </c>
      <c r="I549" s="150">
        <v>4593225</v>
      </c>
      <c r="J549" s="150" t="s">
        <v>1203</v>
      </c>
      <c r="K549" s="150">
        <v>226</v>
      </c>
      <c r="L549" s="150">
        <v>764</v>
      </c>
      <c r="M549" s="150">
        <v>348.94</v>
      </c>
      <c r="N549" s="150">
        <v>0</v>
      </c>
      <c r="O549" s="150">
        <v>79344</v>
      </c>
      <c r="P549" s="150">
        <v>82871</v>
      </c>
      <c r="Q549" s="150">
        <v>86624.94</v>
      </c>
      <c r="R549" s="150">
        <v>86624.94</v>
      </c>
    </row>
    <row r="550" spans="1:18" x14ac:dyDescent="0.25">
      <c r="A550" t="str">
        <f t="shared" si="8"/>
        <v>41-7-57</v>
      </c>
      <c r="B550">
        <v>41</v>
      </c>
      <c r="C550" s="150" t="s">
        <v>1191</v>
      </c>
      <c r="D550" s="150">
        <v>7</v>
      </c>
      <c r="E550" s="150" t="s">
        <v>681</v>
      </c>
      <c r="F550" s="150">
        <v>57</v>
      </c>
      <c r="G550" s="150" t="s">
        <v>640</v>
      </c>
      <c r="H550" s="150">
        <v>808</v>
      </c>
      <c r="I550" s="150">
        <v>512517</v>
      </c>
      <c r="J550" s="150" t="s">
        <v>1203</v>
      </c>
      <c r="K550" s="150">
        <v>156</v>
      </c>
      <c r="L550" s="150">
        <v>0</v>
      </c>
      <c r="M550" s="150">
        <v>0</v>
      </c>
      <c r="N550" s="150">
        <v>0</v>
      </c>
      <c r="O550" s="150">
        <v>8648</v>
      </c>
      <c r="P550" s="150">
        <v>9010</v>
      </c>
      <c r="Q550" s="150">
        <v>9422</v>
      </c>
      <c r="R550" s="150">
        <v>9422</v>
      </c>
    </row>
    <row r="551" spans="1:18" x14ac:dyDescent="0.25">
      <c r="A551" t="str">
        <f t="shared" si="8"/>
        <v>24-7-58</v>
      </c>
      <c r="B551">
        <v>24</v>
      </c>
      <c r="C551" s="150" t="s">
        <v>1176</v>
      </c>
      <c r="D551" s="150">
        <v>7</v>
      </c>
      <c r="E551" s="150" t="s">
        <v>681</v>
      </c>
      <c r="F551" s="150">
        <v>58</v>
      </c>
      <c r="G551" s="150" t="s">
        <v>441</v>
      </c>
      <c r="H551" s="150">
        <v>1145</v>
      </c>
      <c r="I551" s="150">
        <v>61762680</v>
      </c>
      <c r="J551" s="150" t="s">
        <v>1203</v>
      </c>
      <c r="K551" s="150">
        <v>626</v>
      </c>
      <c r="L551" s="150">
        <v>431</v>
      </c>
      <c r="M551" s="150">
        <v>206.87</v>
      </c>
      <c r="N551" s="150">
        <v>0</v>
      </c>
      <c r="O551" s="150">
        <v>99555</v>
      </c>
      <c r="P551" s="150">
        <v>103544</v>
      </c>
      <c r="Q551" s="150">
        <v>107599.87</v>
      </c>
      <c r="R551" s="150">
        <v>107599.87</v>
      </c>
    </row>
    <row r="552" spans="1:18" x14ac:dyDescent="0.25">
      <c r="A552" t="str">
        <f t="shared" si="8"/>
        <v>24-9-33</v>
      </c>
      <c r="B552">
        <v>24</v>
      </c>
      <c r="C552" s="150" t="s">
        <v>1176</v>
      </c>
      <c r="D552" s="150">
        <v>9</v>
      </c>
      <c r="E552" s="150" t="s">
        <v>683</v>
      </c>
      <c r="F552" s="150">
        <v>33</v>
      </c>
      <c r="G552" s="150" t="s">
        <v>973</v>
      </c>
      <c r="H552" s="150">
        <v>0</v>
      </c>
      <c r="I552" s="150">
        <v>485000</v>
      </c>
      <c r="J552" s="150">
        <v>1</v>
      </c>
      <c r="K552" s="150">
        <v>2204</v>
      </c>
      <c r="L552" s="150">
        <v>949</v>
      </c>
      <c r="M552" s="150">
        <v>0</v>
      </c>
      <c r="N552" s="150">
        <v>0</v>
      </c>
      <c r="O552" s="150">
        <v>191142</v>
      </c>
      <c r="P552" s="150">
        <v>199781</v>
      </c>
      <c r="Q552" s="150">
        <v>208335</v>
      </c>
      <c r="R552" s="150">
        <v>208335</v>
      </c>
    </row>
    <row r="553" spans="1:18" x14ac:dyDescent="0.25">
      <c r="A553" t="str">
        <f t="shared" si="8"/>
        <v>42-9-33</v>
      </c>
      <c r="B553">
        <v>42</v>
      </c>
      <c r="C553" s="150" t="s">
        <v>1194</v>
      </c>
      <c r="D553" s="150">
        <v>9</v>
      </c>
      <c r="E553" s="150" t="s">
        <v>683</v>
      </c>
      <c r="F553" s="150">
        <v>33</v>
      </c>
      <c r="G553" s="150" t="s">
        <v>973</v>
      </c>
      <c r="H553" s="150">
        <v>0</v>
      </c>
      <c r="I553" s="150">
        <v>0</v>
      </c>
      <c r="J553" s="150">
        <v>1</v>
      </c>
      <c r="K553" s="150">
        <v>2204</v>
      </c>
      <c r="L553" s="150">
        <v>949</v>
      </c>
      <c r="M553" s="150">
        <v>0</v>
      </c>
      <c r="N553" s="150">
        <v>0</v>
      </c>
      <c r="O553" s="150">
        <v>191142</v>
      </c>
      <c r="P553" s="150">
        <v>199781</v>
      </c>
      <c r="Q553" s="150">
        <v>208335</v>
      </c>
      <c r="R553" s="150">
        <v>208335</v>
      </c>
    </row>
    <row r="554" spans="1:18" x14ac:dyDescent="0.25">
      <c r="A554" t="str">
        <f t="shared" si="8"/>
        <v>24-11-26</v>
      </c>
      <c r="B554">
        <v>24</v>
      </c>
      <c r="C554" s="150" t="s">
        <v>1176</v>
      </c>
      <c r="D554" s="150">
        <v>11</v>
      </c>
      <c r="E554" s="150" t="s">
        <v>1204</v>
      </c>
      <c r="F554" s="150">
        <v>26</v>
      </c>
      <c r="G554" s="150" t="s">
        <v>445</v>
      </c>
      <c r="H554" s="150">
        <v>823</v>
      </c>
      <c r="I554" s="150">
        <v>17600449</v>
      </c>
      <c r="J554" s="150" t="s">
        <v>1203</v>
      </c>
      <c r="K554" s="150">
        <v>2801</v>
      </c>
      <c r="L554" s="150">
        <v>942</v>
      </c>
      <c r="M554" s="150">
        <v>90.26</v>
      </c>
      <c r="N554" s="150">
        <v>0</v>
      </c>
      <c r="O554" s="150">
        <v>196958</v>
      </c>
      <c r="P554" s="150">
        <v>205598</v>
      </c>
      <c r="Q554" s="150">
        <v>213934.26</v>
      </c>
      <c r="R554" s="150">
        <v>213934.26</v>
      </c>
    </row>
    <row r="555" spans="1:18" x14ac:dyDescent="0.25">
      <c r="A555" t="str">
        <f t="shared" si="8"/>
        <v>24-4-87</v>
      </c>
      <c r="B555">
        <v>24</v>
      </c>
      <c r="C555" s="150" t="s">
        <v>1176</v>
      </c>
      <c r="D555" s="150">
        <v>4</v>
      </c>
      <c r="E555" s="150" t="s">
        <v>146</v>
      </c>
      <c r="F555" s="150">
        <v>87</v>
      </c>
      <c r="G555" s="150" t="s">
        <v>969</v>
      </c>
      <c r="H555" s="150">
        <v>0</v>
      </c>
      <c r="I555" s="150">
        <v>20034331</v>
      </c>
      <c r="J555" s="150">
        <v>1</v>
      </c>
      <c r="K555" s="150">
        <v>7669</v>
      </c>
      <c r="L555" s="150">
        <v>3284</v>
      </c>
      <c r="M555" s="150">
        <v>191.53</v>
      </c>
      <c r="N555" s="150">
        <v>0</v>
      </c>
      <c r="O555" s="150">
        <v>18721</v>
      </c>
      <c r="P555" s="150">
        <v>19153</v>
      </c>
      <c r="Q555" s="150">
        <v>19911</v>
      </c>
      <c r="R555" s="150">
        <v>19911</v>
      </c>
    </row>
    <row r="556" spans="1:18" x14ac:dyDescent="0.25">
      <c r="A556" t="str">
        <f t="shared" si="8"/>
        <v>42-4-87</v>
      </c>
      <c r="B556">
        <v>42</v>
      </c>
      <c r="C556" s="150" t="s">
        <v>1194</v>
      </c>
      <c r="D556" s="150">
        <v>4</v>
      </c>
      <c r="E556" s="150" t="s">
        <v>146</v>
      </c>
      <c r="F556" s="150">
        <v>87</v>
      </c>
      <c r="G556" s="150" t="s">
        <v>969</v>
      </c>
      <c r="H556" s="150">
        <v>0</v>
      </c>
      <c r="I556" s="150">
        <v>2581242</v>
      </c>
      <c r="J556" s="150">
        <v>1</v>
      </c>
      <c r="K556" s="150">
        <v>7669</v>
      </c>
      <c r="L556" s="150">
        <v>3284</v>
      </c>
      <c r="M556" s="150">
        <v>191.53</v>
      </c>
      <c r="N556" s="150">
        <v>0</v>
      </c>
      <c r="O556" s="150">
        <v>18721</v>
      </c>
      <c r="P556" s="150">
        <v>19153</v>
      </c>
      <c r="Q556" s="150">
        <v>19911</v>
      </c>
      <c r="R556" s="150">
        <v>19911</v>
      </c>
    </row>
    <row r="557" spans="1:18" x14ac:dyDescent="0.25">
      <c r="A557" t="str">
        <f t="shared" si="8"/>
        <v>7-7-59</v>
      </c>
      <c r="B557">
        <v>7</v>
      </c>
      <c r="C557" s="150" t="s">
        <v>1199</v>
      </c>
      <c r="D557" s="150">
        <v>7</v>
      </c>
      <c r="E557" s="150" t="s">
        <v>681</v>
      </c>
      <c r="F557" s="150">
        <v>59</v>
      </c>
      <c r="G557" s="150" t="s">
        <v>248</v>
      </c>
      <c r="H557" s="150">
        <v>0</v>
      </c>
      <c r="I557" s="150">
        <v>13137434</v>
      </c>
      <c r="J557" s="150" t="s">
        <v>1203</v>
      </c>
      <c r="K557" s="150">
        <v>31</v>
      </c>
      <c r="L557" s="150">
        <v>1061</v>
      </c>
      <c r="M557" s="150">
        <v>204.39999999999998</v>
      </c>
      <c r="N557" s="150">
        <v>0</v>
      </c>
      <c r="O557" s="150">
        <v>320637</v>
      </c>
      <c r="P557" s="150">
        <v>331092</v>
      </c>
      <c r="Q557" s="150">
        <v>346280.4</v>
      </c>
      <c r="R557" s="150">
        <v>346280.4</v>
      </c>
    </row>
    <row r="558" spans="1:18" x14ac:dyDescent="0.25">
      <c r="A558" t="str">
        <f t="shared" si="8"/>
        <v>22-9-34</v>
      </c>
      <c r="B558">
        <v>22</v>
      </c>
      <c r="C558" s="150" t="s">
        <v>1174</v>
      </c>
      <c r="D558" s="150">
        <v>9</v>
      </c>
      <c r="E558" s="150" t="s">
        <v>683</v>
      </c>
      <c r="F558" s="150">
        <v>34</v>
      </c>
      <c r="G558" s="150" t="s">
        <v>954</v>
      </c>
      <c r="H558" s="150">
        <v>21035</v>
      </c>
      <c r="I558" s="150">
        <v>0</v>
      </c>
      <c r="J558" s="150">
        <v>1</v>
      </c>
      <c r="K558" s="150">
        <v>5129</v>
      </c>
      <c r="L558" s="150">
        <v>287</v>
      </c>
      <c r="M558" s="150">
        <v>116.38</v>
      </c>
      <c r="N558" s="150">
        <v>0</v>
      </c>
      <c r="O558" s="150">
        <v>35548</v>
      </c>
      <c r="P558" s="150">
        <v>35560</v>
      </c>
      <c r="Q558" s="150">
        <v>35560.379999999997</v>
      </c>
      <c r="R558" s="150">
        <v>35560.379999999997</v>
      </c>
    </row>
    <row r="559" spans="1:18" x14ac:dyDescent="0.25">
      <c r="A559" t="str">
        <f t="shared" si="8"/>
        <v>26-9-34</v>
      </c>
      <c r="B559">
        <v>26</v>
      </c>
      <c r="C559" s="150" t="s">
        <v>1178</v>
      </c>
      <c r="D559" s="150">
        <v>9</v>
      </c>
      <c r="E559" s="150" t="s">
        <v>683</v>
      </c>
      <c r="F559" s="150">
        <v>34</v>
      </c>
      <c r="G559" s="150" t="s">
        <v>954</v>
      </c>
      <c r="H559" s="150">
        <v>21035</v>
      </c>
      <c r="I559" s="150">
        <v>0</v>
      </c>
      <c r="J559" s="150">
        <v>1</v>
      </c>
      <c r="K559" s="150">
        <v>5129</v>
      </c>
      <c r="L559" s="150">
        <v>287</v>
      </c>
      <c r="M559" s="150">
        <v>116.38</v>
      </c>
      <c r="N559" s="150">
        <v>0</v>
      </c>
      <c r="O559" s="150">
        <v>35548</v>
      </c>
      <c r="P559" s="150">
        <v>35560</v>
      </c>
      <c r="Q559" s="150">
        <v>35560.379999999997</v>
      </c>
      <c r="R559" s="150">
        <v>35560.379999999997</v>
      </c>
    </row>
    <row r="560" spans="1:18" x14ac:dyDescent="0.25">
      <c r="A560" t="str">
        <f t="shared" si="8"/>
        <v>42-14-53</v>
      </c>
      <c r="B560">
        <v>42</v>
      </c>
      <c r="C560" s="150" t="s">
        <v>1194</v>
      </c>
      <c r="D560" s="150">
        <v>14</v>
      </c>
      <c r="E560" s="150" t="s">
        <v>665</v>
      </c>
      <c r="F560" s="150">
        <v>53</v>
      </c>
      <c r="G560" s="150" t="s">
        <v>654</v>
      </c>
      <c r="H560" s="150">
        <v>74</v>
      </c>
      <c r="I560" s="150">
        <v>19620934</v>
      </c>
      <c r="J560" s="150" t="s">
        <v>1203</v>
      </c>
      <c r="K560" s="150">
        <v>1884</v>
      </c>
      <c r="L560" s="150">
        <v>272</v>
      </c>
      <c r="M560" s="150">
        <v>38.51</v>
      </c>
      <c r="N560" s="150">
        <v>0</v>
      </c>
      <c r="O560" s="150">
        <v>56617</v>
      </c>
      <c r="P560" s="150">
        <v>58611</v>
      </c>
      <c r="Q560" s="150">
        <v>60770.51</v>
      </c>
      <c r="R560" s="150">
        <v>60770.51</v>
      </c>
    </row>
    <row r="561" spans="1:18" x14ac:dyDescent="0.25">
      <c r="A561" t="str">
        <f t="shared" si="8"/>
        <v>42-4-170</v>
      </c>
      <c r="B561">
        <v>42</v>
      </c>
      <c r="C561" s="150" t="s">
        <v>1194</v>
      </c>
      <c r="D561" s="150">
        <v>4</v>
      </c>
      <c r="E561" s="150" t="s">
        <v>146</v>
      </c>
      <c r="F561" s="150">
        <v>170</v>
      </c>
      <c r="G561" s="150" t="s">
        <v>1126</v>
      </c>
      <c r="H561" s="150">
        <v>0</v>
      </c>
      <c r="I561" s="150">
        <v>19620934</v>
      </c>
      <c r="J561" s="150" t="s">
        <v>1203</v>
      </c>
      <c r="K561" s="150">
        <v>10018</v>
      </c>
      <c r="L561" s="150">
        <v>2367</v>
      </c>
      <c r="M561" s="150">
        <v>346.78999999999996</v>
      </c>
      <c r="N561" s="150">
        <v>0</v>
      </c>
      <c r="O561" s="150">
        <v>28149</v>
      </c>
      <c r="P561" s="150">
        <v>30674</v>
      </c>
      <c r="Q561" s="150">
        <v>31804</v>
      </c>
      <c r="R561" s="150">
        <v>31804</v>
      </c>
    </row>
    <row r="562" spans="1:18" x14ac:dyDescent="0.25">
      <c r="A562" t="str">
        <f t="shared" si="8"/>
        <v>25-9-181</v>
      </c>
      <c r="B562">
        <v>25</v>
      </c>
      <c r="C562" s="150" t="s">
        <v>1177</v>
      </c>
      <c r="D562" s="150">
        <v>9</v>
      </c>
      <c r="E562" s="150" t="s">
        <v>683</v>
      </c>
      <c r="F562" s="150">
        <v>181</v>
      </c>
      <c r="G562" s="150" t="s">
        <v>472</v>
      </c>
      <c r="H562" s="150">
        <v>252</v>
      </c>
      <c r="I562" s="150">
        <v>0</v>
      </c>
      <c r="J562" s="150" t="s">
        <v>1203</v>
      </c>
      <c r="K562" s="150">
        <v>0</v>
      </c>
      <c r="L562" s="150">
        <v>39</v>
      </c>
      <c r="M562" s="150">
        <v>0</v>
      </c>
      <c r="N562" s="150">
        <v>0</v>
      </c>
      <c r="O562" s="150">
        <v>13576</v>
      </c>
      <c r="P562" s="150">
        <v>13943</v>
      </c>
      <c r="Q562" s="150">
        <v>14466</v>
      </c>
      <c r="R562" s="150">
        <v>14466</v>
      </c>
    </row>
    <row r="563" spans="1:18" x14ac:dyDescent="0.25">
      <c r="A563" t="str">
        <f t="shared" si="8"/>
        <v>1-30-1</v>
      </c>
      <c r="B563">
        <v>1</v>
      </c>
      <c r="C563" s="150" t="s">
        <v>1155</v>
      </c>
      <c r="D563" s="150">
        <v>30</v>
      </c>
      <c r="E563" s="150" t="s">
        <v>685</v>
      </c>
      <c r="F563" s="150">
        <v>1</v>
      </c>
      <c r="G563" s="150" t="s">
        <v>715</v>
      </c>
      <c r="H563" s="150">
        <v>2841</v>
      </c>
      <c r="I563" s="150">
        <v>0</v>
      </c>
      <c r="J563" s="150" t="s">
        <v>1203</v>
      </c>
      <c r="K563" s="150">
        <v>0</v>
      </c>
      <c r="L563" s="150">
        <v>0</v>
      </c>
      <c r="M563" s="150">
        <v>0</v>
      </c>
      <c r="N563" s="150">
        <v>0</v>
      </c>
      <c r="O563" s="150">
        <v>16308</v>
      </c>
      <c r="P563" s="150">
        <v>17789</v>
      </c>
      <c r="Q563" s="150">
        <v>19404</v>
      </c>
      <c r="R563" s="150">
        <v>19404</v>
      </c>
    </row>
    <row r="564" spans="1:18" x14ac:dyDescent="0.25">
      <c r="A564" t="str">
        <f t="shared" si="8"/>
        <v>28-9-38</v>
      </c>
      <c r="B564">
        <v>28</v>
      </c>
      <c r="C564" s="150" t="s">
        <v>1180</v>
      </c>
      <c r="D564" s="150">
        <v>9</v>
      </c>
      <c r="E564" s="150" t="s">
        <v>683</v>
      </c>
      <c r="F564" s="150">
        <v>38</v>
      </c>
      <c r="G564" s="150" t="s">
        <v>510</v>
      </c>
      <c r="H564" s="150">
        <v>0</v>
      </c>
      <c r="I564" s="150">
        <v>1403406</v>
      </c>
      <c r="J564" s="150" t="s">
        <v>1203</v>
      </c>
      <c r="K564" s="150">
        <v>85</v>
      </c>
      <c r="L564" s="150">
        <v>1024</v>
      </c>
      <c r="M564" s="150">
        <v>7.3000000000000007</v>
      </c>
      <c r="N564" s="150">
        <v>0</v>
      </c>
      <c r="O564" s="150">
        <v>224363</v>
      </c>
      <c r="P564" s="150">
        <v>239400</v>
      </c>
      <c r="Q564" s="150">
        <v>256508.3</v>
      </c>
      <c r="R564" s="150">
        <v>256508.3</v>
      </c>
    </row>
    <row r="565" spans="1:18" x14ac:dyDescent="0.25">
      <c r="A565" t="str">
        <f t="shared" si="8"/>
        <v>28-19-42</v>
      </c>
      <c r="B565">
        <v>28</v>
      </c>
      <c r="C565" s="150" t="s">
        <v>1180</v>
      </c>
      <c r="D565" s="150">
        <v>19</v>
      </c>
      <c r="E565" s="150" t="s">
        <v>1205</v>
      </c>
      <c r="F565" s="150">
        <v>42</v>
      </c>
      <c r="G565" s="150" t="s">
        <v>1253</v>
      </c>
      <c r="H565" s="150">
        <v>17238</v>
      </c>
      <c r="I565" s="150">
        <v>6165044</v>
      </c>
      <c r="J565" s="150" t="s">
        <v>1203</v>
      </c>
      <c r="K565" s="150">
        <v>0</v>
      </c>
      <c r="L565" s="150">
        <v>77</v>
      </c>
      <c r="M565" s="150">
        <v>8.43</v>
      </c>
      <c r="N565" s="150">
        <v>0</v>
      </c>
      <c r="O565" s="150">
        <v>71331</v>
      </c>
      <c r="P565" s="150">
        <v>74115</v>
      </c>
      <c r="Q565" s="150">
        <v>76423.429999999993</v>
      </c>
      <c r="R565" s="150">
        <v>76423.429999999993</v>
      </c>
    </row>
    <row r="566" spans="1:18" x14ac:dyDescent="0.25">
      <c r="A566" t="str">
        <f t="shared" si="8"/>
        <v>28-22-2</v>
      </c>
      <c r="B566">
        <v>28</v>
      </c>
      <c r="C566" s="150" t="s">
        <v>1180</v>
      </c>
      <c r="D566" s="150">
        <v>22</v>
      </c>
      <c r="E566" s="150" t="s">
        <v>691</v>
      </c>
      <c r="F566" s="150">
        <v>2</v>
      </c>
      <c r="G566" s="150" t="s">
        <v>1019</v>
      </c>
      <c r="H566" s="150">
        <v>30481</v>
      </c>
      <c r="I566" s="150">
        <v>0</v>
      </c>
      <c r="J566" s="150" t="s">
        <v>1203</v>
      </c>
      <c r="K566" s="150">
        <v>0</v>
      </c>
      <c r="L566" s="150">
        <v>0</v>
      </c>
      <c r="M566" s="150">
        <v>0</v>
      </c>
      <c r="N566" s="150">
        <v>0</v>
      </c>
      <c r="O566" s="150">
        <v>125008</v>
      </c>
      <c r="P566" s="150">
        <v>127000</v>
      </c>
      <c r="Q566" s="150">
        <v>129505</v>
      </c>
      <c r="R566" s="150">
        <v>129505</v>
      </c>
    </row>
    <row r="567" spans="1:18" x14ac:dyDescent="0.25">
      <c r="A567" t="str">
        <f t="shared" si="8"/>
        <v>27-7-60</v>
      </c>
      <c r="B567">
        <v>27</v>
      </c>
      <c r="C567" s="150" t="s">
        <v>1179</v>
      </c>
      <c r="D567" s="150">
        <v>7</v>
      </c>
      <c r="E567" s="150" t="s">
        <v>681</v>
      </c>
      <c r="F567" s="150">
        <v>60</v>
      </c>
      <c r="G567" s="150" t="s">
        <v>493</v>
      </c>
      <c r="H567" s="150">
        <v>3322</v>
      </c>
      <c r="I567" s="150">
        <v>72479670</v>
      </c>
      <c r="J567" s="150" t="s">
        <v>1203</v>
      </c>
      <c r="K567" s="150">
        <v>781</v>
      </c>
      <c r="L567" s="150">
        <v>116</v>
      </c>
      <c r="M567" s="150">
        <v>99.81</v>
      </c>
      <c r="N567" s="150">
        <v>0</v>
      </c>
      <c r="O567" s="150">
        <v>23150</v>
      </c>
      <c r="P567" s="150">
        <v>23150</v>
      </c>
      <c r="Q567" s="150">
        <v>22549.81</v>
      </c>
      <c r="R567" s="150">
        <v>23150</v>
      </c>
    </row>
    <row r="568" spans="1:18" x14ac:dyDescent="0.25">
      <c r="A568" t="str">
        <f t="shared" si="8"/>
        <v>34-7-61</v>
      </c>
      <c r="B568">
        <v>34</v>
      </c>
      <c r="C568" s="150" t="s">
        <v>1186</v>
      </c>
      <c r="D568" s="150">
        <v>7</v>
      </c>
      <c r="E568" s="150" t="s">
        <v>681</v>
      </c>
      <c r="F568" s="150">
        <v>61</v>
      </c>
      <c r="G568" s="150" t="s">
        <v>1066</v>
      </c>
      <c r="H568" s="150">
        <v>0</v>
      </c>
      <c r="I568" s="150">
        <v>5562847</v>
      </c>
      <c r="J568" s="150" t="s">
        <v>1203</v>
      </c>
      <c r="K568" s="150">
        <v>2415</v>
      </c>
      <c r="L568" s="150">
        <v>691</v>
      </c>
      <c r="M568" s="150">
        <v>227.1</v>
      </c>
      <c r="N568" s="150">
        <v>0</v>
      </c>
      <c r="O568" s="150">
        <v>62212</v>
      </c>
      <c r="P568" s="150">
        <v>65589</v>
      </c>
      <c r="Q568" s="150">
        <v>68444.100000000006</v>
      </c>
      <c r="R568" s="150">
        <v>68444.100000000006</v>
      </c>
    </row>
    <row r="569" spans="1:18" x14ac:dyDescent="0.25">
      <c r="A569" t="str">
        <f t="shared" si="8"/>
        <v>25-4-125</v>
      </c>
      <c r="B569">
        <v>25</v>
      </c>
      <c r="C569" s="150" t="s">
        <v>1177</v>
      </c>
      <c r="D569" s="150">
        <v>4</v>
      </c>
      <c r="E569" s="150" t="s">
        <v>146</v>
      </c>
      <c r="F569" s="150">
        <v>125</v>
      </c>
      <c r="G569" s="150" t="s">
        <v>977</v>
      </c>
      <c r="H569" s="150">
        <v>0</v>
      </c>
      <c r="I569" s="150">
        <v>126</v>
      </c>
      <c r="J569" s="150">
        <v>1</v>
      </c>
      <c r="K569" s="150">
        <v>3844</v>
      </c>
      <c r="L569" s="150">
        <v>4889</v>
      </c>
      <c r="M569" s="150">
        <v>1507.94</v>
      </c>
      <c r="N569" s="150">
        <v>0</v>
      </c>
      <c r="O569" s="150">
        <v>14747</v>
      </c>
      <c r="P569" s="150">
        <v>15253</v>
      </c>
      <c r="Q569" s="150">
        <v>15755</v>
      </c>
      <c r="R569" s="150">
        <v>15755</v>
      </c>
    </row>
    <row r="570" spans="1:18" x14ac:dyDescent="0.25">
      <c r="A570" t="str">
        <f t="shared" si="8"/>
        <v>31-4-125</v>
      </c>
      <c r="B570">
        <v>31</v>
      </c>
      <c r="C570" s="150" t="s">
        <v>1183</v>
      </c>
      <c r="D570" s="150">
        <v>4</v>
      </c>
      <c r="E570" s="150" t="s">
        <v>146</v>
      </c>
      <c r="F570" s="150">
        <v>125</v>
      </c>
      <c r="G570" s="150" t="s">
        <v>977</v>
      </c>
      <c r="H570" s="150">
        <v>0</v>
      </c>
      <c r="I570" s="150">
        <v>4595887</v>
      </c>
      <c r="J570" s="150">
        <v>1</v>
      </c>
      <c r="K570" s="150">
        <v>3844</v>
      </c>
      <c r="L570" s="150">
        <v>4889</v>
      </c>
      <c r="M570" s="150">
        <v>1507.94</v>
      </c>
      <c r="N570" s="150">
        <v>0</v>
      </c>
      <c r="O570" s="150">
        <v>14747</v>
      </c>
      <c r="P570" s="150">
        <v>15253</v>
      </c>
      <c r="Q570" s="150">
        <v>15755</v>
      </c>
      <c r="R570" s="150">
        <v>15755</v>
      </c>
    </row>
    <row r="571" spans="1:18" x14ac:dyDescent="0.25">
      <c r="A571" t="str">
        <f t="shared" si="8"/>
        <v>35-4-125</v>
      </c>
      <c r="B571">
        <v>35</v>
      </c>
      <c r="C571" s="150" t="s">
        <v>1195</v>
      </c>
      <c r="D571" s="150">
        <v>4</v>
      </c>
      <c r="E571" s="150" t="s">
        <v>146</v>
      </c>
      <c r="F571" s="150">
        <v>125</v>
      </c>
      <c r="G571" s="150" t="s">
        <v>977</v>
      </c>
      <c r="H571" s="150">
        <v>0</v>
      </c>
      <c r="I571" s="150">
        <v>482245</v>
      </c>
      <c r="J571" s="150">
        <v>1</v>
      </c>
      <c r="K571" s="150">
        <v>3844</v>
      </c>
      <c r="L571" s="150">
        <v>4889</v>
      </c>
      <c r="M571" s="150">
        <v>1507.94</v>
      </c>
      <c r="N571" s="150">
        <v>0</v>
      </c>
      <c r="O571" s="150">
        <v>14747</v>
      </c>
      <c r="P571" s="150">
        <v>15253</v>
      </c>
      <c r="Q571" s="150">
        <v>15755</v>
      </c>
      <c r="R571" s="150">
        <v>15755</v>
      </c>
    </row>
    <row r="572" spans="1:18" x14ac:dyDescent="0.25">
      <c r="A572" t="str">
        <f t="shared" si="8"/>
        <v>38-11-28</v>
      </c>
      <c r="B572">
        <v>38</v>
      </c>
      <c r="C572" s="150" t="s">
        <v>1189</v>
      </c>
      <c r="D572" s="150">
        <v>11</v>
      </c>
      <c r="E572" s="150" t="s">
        <v>1204</v>
      </c>
      <c r="F572" s="150">
        <v>28</v>
      </c>
      <c r="G572" s="150" t="s">
        <v>1254</v>
      </c>
      <c r="H572" s="150">
        <v>0</v>
      </c>
      <c r="I572" s="150">
        <v>39470594</v>
      </c>
      <c r="J572" s="150" t="s">
        <v>1203</v>
      </c>
      <c r="K572" s="150">
        <v>10086</v>
      </c>
      <c r="L572" s="150">
        <v>7868</v>
      </c>
      <c r="M572" s="150">
        <v>2089.98</v>
      </c>
      <c r="N572" s="150">
        <v>0</v>
      </c>
      <c r="O572" s="150">
        <v>938773</v>
      </c>
      <c r="P572" s="150">
        <v>987373</v>
      </c>
      <c r="Q572" s="150">
        <v>1036478.98</v>
      </c>
      <c r="R572" s="150">
        <v>1036478.98</v>
      </c>
    </row>
    <row r="573" spans="1:18" x14ac:dyDescent="0.25">
      <c r="A573" t="str">
        <f t="shared" si="8"/>
        <v>44-7-202</v>
      </c>
      <c r="B573">
        <v>44</v>
      </c>
      <c r="C573" s="150" t="s">
        <v>1193</v>
      </c>
      <c r="D573" s="150">
        <v>7</v>
      </c>
      <c r="E573" s="150" t="s">
        <v>681</v>
      </c>
      <c r="F573" s="150">
        <v>202</v>
      </c>
      <c r="G573" s="150" t="s">
        <v>673</v>
      </c>
      <c r="H573" s="150">
        <v>50992</v>
      </c>
      <c r="I573" s="150">
        <v>106931850</v>
      </c>
      <c r="J573" s="150" t="s">
        <v>1203</v>
      </c>
      <c r="K573" s="150">
        <v>0</v>
      </c>
      <c r="L573" s="150">
        <v>2986</v>
      </c>
      <c r="M573" s="150">
        <v>735.86</v>
      </c>
      <c r="N573" s="150">
        <v>0</v>
      </c>
      <c r="O573" s="150">
        <v>159210</v>
      </c>
      <c r="P573" s="150">
        <v>163980</v>
      </c>
      <c r="Q573" s="150">
        <v>170736.86</v>
      </c>
      <c r="R573" s="150">
        <v>170736.86</v>
      </c>
    </row>
    <row r="574" spans="1:18" x14ac:dyDescent="0.25">
      <c r="A574" t="str">
        <f t="shared" si="8"/>
        <v>27-11-30</v>
      </c>
      <c r="B574">
        <v>27</v>
      </c>
      <c r="C574" s="150" t="s">
        <v>1179</v>
      </c>
      <c r="D574" s="150">
        <v>11</v>
      </c>
      <c r="E574" s="150" t="s">
        <v>1204</v>
      </c>
      <c r="F574" s="150">
        <v>30</v>
      </c>
      <c r="G574" s="150" t="s">
        <v>1003</v>
      </c>
      <c r="H574" s="150">
        <v>25771</v>
      </c>
      <c r="I574" s="150">
        <v>65412357</v>
      </c>
      <c r="J574" s="150" t="s">
        <v>1203</v>
      </c>
      <c r="K574" s="150">
        <v>27837</v>
      </c>
      <c r="L574" s="150">
        <v>4121</v>
      </c>
      <c r="M574" s="150">
        <v>2653.03</v>
      </c>
      <c r="N574" s="150">
        <v>0</v>
      </c>
      <c r="O574" s="150">
        <v>641091</v>
      </c>
      <c r="P574" s="150">
        <v>661016</v>
      </c>
      <c r="Q574" s="150">
        <v>620563.03</v>
      </c>
      <c r="R574" s="150">
        <v>661016</v>
      </c>
    </row>
    <row r="575" spans="1:18" x14ac:dyDescent="0.25">
      <c r="A575" t="str">
        <f t="shared" si="8"/>
        <v>36-7-62</v>
      </c>
      <c r="B575">
        <v>36</v>
      </c>
      <c r="C575" s="150" t="s">
        <v>1187</v>
      </c>
      <c r="D575" s="150">
        <v>7</v>
      </c>
      <c r="E575" s="150" t="s">
        <v>681</v>
      </c>
      <c r="F575" s="150">
        <v>62</v>
      </c>
      <c r="G575" s="150" t="s">
        <v>595</v>
      </c>
      <c r="H575" s="150">
        <v>0</v>
      </c>
      <c r="I575" s="150">
        <v>10021664</v>
      </c>
      <c r="J575" s="150" t="s">
        <v>1203</v>
      </c>
      <c r="K575" s="150">
        <v>109</v>
      </c>
      <c r="L575" s="150">
        <v>14</v>
      </c>
      <c r="M575" s="150">
        <v>10.16</v>
      </c>
      <c r="N575" s="150">
        <v>0</v>
      </c>
      <c r="O575" s="150">
        <v>2695</v>
      </c>
      <c r="P575" s="150">
        <v>2787</v>
      </c>
      <c r="Q575" s="150">
        <v>2797.16</v>
      </c>
      <c r="R575" s="150">
        <v>2797.16</v>
      </c>
    </row>
    <row r="576" spans="1:18" x14ac:dyDescent="0.25">
      <c r="A576" t="str">
        <f t="shared" si="8"/>
        <v>36-17-15</v>
      </c>
      <c r="B576">
        <v>36</v>
      </c>
      <c r="C576" s="150" t="s">
        <v>1187</v>
      </c>
      <c r="D576" s="150">
        <v>17</v>
      </c>
      <c r="E576" s="150" t="s">
        <v>688</v>
      </c>
      <c r="F576" s="150">
        <v>15</v>
      </c>
      <c r="G576" s="150" t="s">
        <v>598</v>
      </c>
      <c r="H576" s="150">
        <v>0</v>
      </c>
      <c r="I576" s="150">
        <v>9063223</v>
      </c>
      <c r="J576" s="150" t="s">
        <v>1203</v>
      </c>
      <c r="K576" s="150">
        <v>131</v>
      </c>
      <c r="L576" s="150">
        <v>17</v>
      </c>
      <c r="M576" s="150">
        <v>10.67</v>
      </c>
      <c r="N576" s="150">
        <v>0</v>
      </c>
      <c r="O576" s="150">
        <v>2839</v>
      </c>
      <c r="P576" s="150">
        <v>2974</v>
      </c>
      <c r="Q576" s="150">
        <v>3098.67</v>
      </c>
      <c r="R576" s="150">
        <v>3098.67</v>
      </c>
    </row>
    <row r="577" spans="1:19" x14ac:dyDescent="0.25">
      <c r="A577" t="str">
        <f t="shared" si="8"/>
        <v>14-9-36</v>
      </c>
      <c r="B577">
        <v>14</v>
      </c>
      <c r="C577" s="150" t="s">
        <v>1166</v>
      </c>
      <c r="D577" s="150">
        <v>9</v>
      </c>
      <c r="E577" s="150" t="s">
        <v>683</v>
      </c>
      <c r="F577" s="150">
        <v>36</v>
      </c>
      <c r="G577" s="150" t="s">
        <v>324</v>
      </c>
      <c r="H577" s="150">
        <v>0</v>
      </c>
      <c r="I577" s="150">
        <v>0</v>
      </c>
      <c r="J577" s="150">
        <v>1</v>
      </c>
      <c r="K577" s="150">
        <v>7614</v>
      </c>
      <c r="L577" s="150">
        <v>3439</v>
      </c>
      <c r="M577" s="150">
        <v>785.74</v>
      </c>
      <c r="N577" s="150">
        <v>0</v>
      </c>
      <c r="O577" s="150">
        <v>401195</v>
      </c>
      <c r="P577" s="150">
        <v>419800</v>
      </c>
      <c r="Q577" s="150">
        <v>446763.74</v>
      </c>
      <c r="R577" s="150">
        <v>446763.74</v>
      </c>
    </row>
    <row r="578" spans="1:19" x14ac:dyDescent="0.25">
      <c r="A578" t="str">
        <f t="shared" si="8"/>
        <v>37-9-36</v>
      </c>
      <c r="B578">
        <v>37</v>
      </c>
      <c r="C578" s="150" t="s">
        <v>1188</v>
      </c>
      <c r="D578" s="150">
        <v>9</v>
      </c>
      <c r="E578" s="150" t="s">
        <v>683</v>
      </c>
      <c r="F578" s="150">
        <v>36</v>
      </c>
      <c r="G578" s="150" t="s">
        <v>324</v>
      </c>
      <c r="H578" s="150">
        <v>0</v>
      </c>
      <c r="I578" s="150">
        <v>0</v>
      </c>
      <c r="J578" s="150">
        <v>1</v>
      </c>
      <c r="K578" s="150">
        <v>7614</v>
      </c>
      <c r="L578" s="150">
        <v>3439</v>
      </c>
      <c r="M578" s="150">
        <v>785.74</v>
      </c>
      <c r="N578" s="150">
        <v>0</v>
      </c>
      <c r="O578" s="150">
        <v>401195</v>
      </c>
      <c r="P578" s="150">
        <v>419800</v>
      </c>
      <c r="Q578" s="150">
        <v>446763.74</v>
      </c>
      <c r="R578" s="150">
        <v>446763.74</v>
      </c>
    </row>
    <row r="579" spans="1:19" x14ac:dyDescent="0.25">
      <c r="A579" t="str">
        <f t="shared" si="8"/>
        <v>37-11-31</v>
      </c>
      <c r="B579">
        <v>37</v>
      </c>
      <c r="C579" s="150" t="s">
        <v>1188</v>
      </c>
      <c r="D579" s="150">
        <v>11</v>
      </c>
      <c r="E579" s="150" t="s">
        <v>1204</v>
      </c>
      <c r="F579" s="150">
        <v>31</v>
      </c>
      <c r="G579" s="150" t="s">
        <v>1087</v>
      </c>
      <c r="H579" s="150">
        <v>0</v>
      </c>
      <c r="I579" s="150">
        <v>11025443</v>
      </c>
      <c r="J579" s="150" t="s">
        <v>1203</v>
      </c>
      <c r="K579" s="150">
        <v>2492</v>
      </c>
      <c r="L579" s="150">
        <v>1022</v>
      </c>
      <c r="M579" s="150">
        <v>283.18</v>
      </c>
      <c r="N579" s="150">
        <v>0</v>
      </c>
      <c r="O579" s="150">
        <v>104210</v>
      </c>
      <c r="P579" s="150">
        <v>108325</v>
      </c>
      <c r="Q579" s="150">
        <v>115542.18</v>
      </c>
      <c r="R579" s="150">
        <v>115542.18</v>
      </c>
    </row>
    <row r="580" spans="1:19" x14ac:dyDescent="0.25">
      <c r="A580" t="str">
        <f t="shared" si="8"/>
        <v>14-14-66</v>
      </c>
      <c r="B580">
        <v>14</v>
      </c>
      <c r="C580" s="150" t="s">
        <v>1166</v>
      </c>
      <c r="D580" s="150">
        <v>14</v>
      </c>
      <c r="E580" s="150" t="s">
        <v>665</v>
      </c>
      <c r="F580" s="150">
        <v>66</v>
      </c>
      <c r="G580" s="150" t="s">
        <v>1373</v>
      </c>
      <c r="H580" s="150">
        <v>0</v>
      </c>
      <c r="I580" s="150">
        <v>2314373</v>
      </c>
      <c r="J580" s="150">
        <v>1</v>
      </c>
      <c r="K580" s="150">
        <v>0</v>
      </c>
      <c r="L580" s="150">
        <v>0</v>
      </c>
      <c r="M580" s="150">
        <v>0</v>
      </c>
      <c r="N580" s="150">
        <v>0</v>
      </c>
      <c r="O580" s="150">
        <v>0</v>
      </c>
      <c r="P580" s="150">
        <v>0</v>
      </c>
      <c r="Q580" s="150">
        <v>309900</v>
      </c>
      <c r="R580" s="150">
        <v>309900</v>
      </c>
    </row>
    <row r="581" spans="1:19" x14ac:dyDescent="0.25">
      <c r="A581" t="str">
        <f t="shared" si="8"/>
        <v>37-14-66</v>
      </c>
      <c r="B581">
        <v>37</v>
      </c>
      <c r="C581" s="150" t="s">
        <v>1188</v>
      </c>
      <c r="D581" s="150">
        <v>14</v>
      </c>
      <c r="E581" s="150" t="s">
        <v>665</v>
      </c>
      <c r="F581" s="150">
        <v>66</v>
      </c>
      <c r="G581" s="150" t="s">
        <v>1373</v>
      </c>
      <c r="H581" s="150">
        <v>0</v>
      </c>
      <c r="I581" s="150">
        <v>9558066</v>
      </c>
      <c r="J581" s="150">
        <v>1</v>
      </c>
      <c r="K581" s="150">
        <v>0</v>
      </c>
      <c r="L581" s="150">
        <v>0</v>
      </c>
      <c r="M581" s="150">
        <v>0</v>
      </c>
      <c r="N581" s="150">
        <v>0</v>
      </c>
      <c r="O581" s="150">
        <v>0</v>
      </c>
      <c r="P581" s="150">
        <v>0</v>
      </c>
      <c r="Q581" s="150">
        <v>309900</v>
      </c>
      <c r="R581" s="150">
        <v>309900</v>
      </c>
    </row>
    <row r="582" spans="1:19" x14ac:dyDescent="0.25">
      <c r="A582" t="str">
        <f t="shared" ref="A582:A645" si="9">B582&amp;"-"&amp;D582&amp;"-"&amp;F582</f>
        <v>14-4-149</v>
      </c>
      <c r="B582">
        <v>14</v>
      </c>
      <c r="C582" s="150" t="s">
        <v>1166</v>
      </c>
      <c r="D582" s="150">
        <v>4</v>
      </c>
      <c r="E582" s="150" t="s">
        <v>146</v>
      </c>
      <c r="F582" s="150">
        <v>149</v>
      </c>
      <c r="G582" s="150" t="s">
        <v>863</v>
      </c>
      <c r="H582" s="150">
        <v>0</v>
      </c>
      <c r="I582" s="150">
        <v>2314373</v>
      </c>
      <c r="J582" s="150">
        <v>1</v>
      </c>
      <c r="K582" s="150">
        <v>21535</v>
      </c>
      <c r="L582" s="150">
        <v>15867</v>
      </c>
      <c r="M582" s="150">
        <v>4493.2</v>
      </c>
      <c r="N582" s="150">
        <v>0</v>
      </c>
      <c r="O582" s="150">
        <v>41637</v>
      </c>
      <c r="P582" s="150">
        <v>43566</v>
      </c>
      <c r="Q582" s="150">
        <v>46320</v>
      </c>
      <c r="R582" s="150">
        <v>46320</v>
      </c>
    </row>
    <row r="583" spans="1:19" x14ac:dyDescent="0.25">
      <c r="A583" t="str">
        <f t="shared" si="9"/>
        <v>37-4-149</v>
      </c>
      <c r="B583">
        <v>37</v>
      </c>
      <c r="C583" s="150" t="s">
        <v>1188</v>
      </c>
      <c r="D583" s="150">
        <v>4</v>
      </c>
      <c r="E583" s="150" t="s">
        <v>146</v>
      </c>
      <c r="F583" s="150">
        <v>149</v>
      </c>
      <c r="G583" s="150" t="s">
        <v>863</v>
      </c>
      <c r="H583" s="150">
        <v>0</v>
      </c>
      <c r="I583" s="150">
        <v>9621676</v>
      </c>
      <c r="J583" s="150">
        <v>1</v>
      </c>
      <c r="K583" s="150">
        <v>21535</v>
      </c>
      <c r="L583" s="150">
        <v>15867</v>
      </c>
      <c r="M583" s="150">
        <v>4493.2</v>
      </c>
      <c r="N583" s="150">
        <v>0</v>
      </c>
      <c r="O583" s="150">
        <v>41637</v>
      </c>
      <c r="P583" s="150">
        <v>43566</v>
      </c>
      <c r="Q583" s="150">
        <v>46320</v>
      </c>
      <c r="R583" s="150">
        <v>46320</v>
      </c>
    </row>
    <row r="584" spans="1:19" x14ac:dyDescent="0.25">
      <c r="A584" t="str">
        <f t="shared" si="9"/>
        <v>8-12-23</v>
      </c>
      <c r="B584">
        <v>8</v>
      </c>
      <c r="C584" s="150" t="s">
        <v>1160</v>
      </c>
      <c r="D584" s="150">
        <v>12</v>
      </c>
      <c r="E584" s="150" t="s">
        <v>151</v>
      </c>
      <c r="F584" s="150">
        <v>23</v>
      </c>
      <c r="G584" s="150" t="s">
        <v>259</v>
      </c>
      <c r="H584" s="150">
        <v>5560</v>
      </c>
      <c r="I584" s="150">
        <v>9256732</v>
      </c>
      <c r="J584" s="150" t="s">
        <v>1203</v>
      </c>
      <c r="K584" s="150">
        <v>175</v>
      </c>
      <c r="L584" s="150">
        <v>1182</v>
      </c>
      <c r="M584" s="150">
        <v>205.37</v>
      </c>
      <c r="N584" s="150">
        <v>0</v>
      </c>
      <c r="O584" s="150">
        <v>58715</v>
      </c>
      <c r="P584" s="150">
        <v>52046</v>
      </c>
      <c r="Q584" s="150">
        <v>59857.37</v>
      </c>
      <c r="R584" s="150">
        <v>59857.37</v>
      </c>
    </row>
    <row r="585" spans="1:19" x14ac:dyDescent="0.25">
      <c r="A585" t="str">
        <f t="shared" si="9"/>
        <v>8-14-19</v>
      </c>
      <c r="B585">
        <v>8</v>
      </c>
      <c r="C585" s="150" t="s">
        <v>1160</v>
      </c>
      <c r="D585" s="150">
        <v>14</v>
      </c>
      <c r="E585" s="150" t="s">
        <v>665</v>
      </c>
      <c r="F585" s="150">
        <v>19</v>
      </c>
      <c r="G585" s="150" t="s">
        <v>262</v>
      </c>
      <c r="H585" s="150">
        <v>12997</v>
      </c>
      <c r="I585" s="150">
        <v>8783078</v>
      </c>
      <c r="J585" s="150" t="s">
        <v>1203</v>
      </c>
      <c r="K585" s="150">
        <v>204</v>
      </c>
      <c r="L585" s="150">
        <v>961</v>
      </c>
      <c r="M585" s="150">
        <v>132.59</v>
      </c>
      <c r="N585" s="150">
        <v>0</v>
      </c>
      <c r="O585" s="150">
        <v>72665</v>
      </c>
      <c r="P585" s="150">
        <v>75000</v>
      </c>
      <c r="Q585" s="150">
        <v>76499.59</v>
      </c>
      <c r="R585" s="150">
        <v>76499.59</v>
      </c>
    </row>
    <row r="586" spans="1:19" x14ac:dyDescent="0.25">
      <c r="A586" t="str">
        <f t="shared" si="9"/>
        <v>8-4-27</v>
      </c>
      <c r="B586">
        <v>8</v>
      </c>
      <c r="C586" s="150" t="s">
        <v>1160</v>
      </c>
      <c r="D586" s="150">
        <v>4</v>
      </c>
      <c r="E586" s="150" t="s">
        <v>146</v>
      </c>
      <c r="F586" s="150">
        <v>27</v>
      </c>
      <c r="G586" s="150" t="s">
        <v>798</v>
      </c>
      <c r="H586" s="150">
        <v>0</v>
      </c>
      <c r="I586" s="150">
        <v>9256732</v>
      </c>
      <c r="J586" s="150" t="s">
        <v>1203</v>
      </c>
      <c r="K586" s="150">
        <v>701</v>
      </c>
      <c r="L586" s="150">
        <v>14392</v>
      </c>
      <c r="M586" s="150">
        <v>1409.88</v>
      </c>
      <c r="N586" s="150">
        <v>0</v>
      </c>
      <c r="O586" s="150">
        <v>21586</v>
      </c>
      <c r="P586" s="150">
        <v>23056</v>
      </c>
      <c r="Q586" s="150">
        <v>24118</v>
      </c>
      <c r="R586" s="150">
        <v>24118</v>
      </c>
    </row>
    <row r="587" spans="1:19" x14ac:dyDescent="0.25">
      <c r="A587" t="str">
        <f t="shared" si="9"/>
        <v>8-9-165</v>
      </c>
      <c r="B587">
        <v>8</v>
      </c>
      <c r="C587" s="150" t="s">
        <v>1160</v>
      </c>
      <c r="D587" s="150">
        <v>9</v>
      </c>
      <c r="E587" s="150" t="s">
        <v>683</v>
      </c>
      <c r="F587" s="150">
        <v>165</v>
      </c>
      <c r="G587" s="150" t="s">
        <v>801</v>
      </c>
      <c r="H587" s="150">
        <v>16239</v>
      </c>
      <c r="I587" s="150">
        <v>3999547</v>
      </c>
      <c r="J587" s="150" t="s">
        <v>1203</v>
      </c>
      <c r="K587" s="150">
        <v>96</v>
      </c>
      <c r="L587" s="150">
        <v>1086</v>
      </c>
      <c r="M587" s="150">
        <v>96.9</v>
      </c>
      <c r="N587" s="150">
        <v>0</v>
      </c>
      <c r="O587" s="283">
        <f>51600+96+1086</f>
        <v>52782</v>
      </c>
      <c r="P587" s="283">
        <f>54441+96+1086</f>
        <v>55623</v>
      </c>
      <c r="Q587" s="283">
        <f>55209+96+1086+97</f>
        <v>56488</v>
      </c>
      <c r="R587" s="283">
        <v>56488</v>
      </c>
    </row>
    <row r="588" spans="1:19" x14ac:dyDescent="0.25">
      <c r="A588" t="str">
        <f t="shared" si="9"/>
        <v>8-9-189</v>
      </c>
      <c r="B588">
        <v>8</v>
      </c>
      <c r="C588" s="150" t="s">
        <v>1160</v>
      </c>
      <c r="D588" s="150">
        <v>9</v>
      </c>
      <c r="E588" s="150" t="s">
        <v>683</v>
      </c>
      <c r="F588" s="150">
        <v>189</v>
      </c>
      <c r="G588" s="150" t="s">
        <v>1409</v>
      </c>
      <c r="H588" s="150">
        <v>22890</v>
      </c>
      <c r="I588" s="150">
        <v>0</v>
      </c>
      <c r="J588" s="150" t="s">
        <v>1203</v>
      </c>
      <c r="K588" s="150">
        <v>0</v>
      </c>
      <c r="L588" s="150">
        <v>0</v>
      </c>
      <c r="M588" s="150">
        <v>104.32</v>
      </c>
      <c r="N588" s="150">
        <v>0</v>
      </c>
      <c r="O588" s="283">
        <f>124000+0</f>
        <v>124000</v>
      </c>
      <c r="P588" s="283">
        <v>124000</v>
      </c>
      <c r="Q588" s="283">
        <f>125240+104</f>
        <v>125344</v>
      </c>
      <c r="R588" s="283">
        <v>125344</v>
      </c>
    </row>
    <row r="589" spans="1:19" x14ac:dyDescent="0.25">
      <c r="A589" t="str">
        <f t="shared" si="9"/>
        <v>25-11-91</v>
      </c>
      <c r="B589">
        <v>25</v>
      </c>
      <c r="C589" s="150" t="s">
        <v>1177</v>
      </c>
      <c r="D589" s="150">
        <v>11</v>
      </c>
      <c r="E589" s="150" t="s">
        <v>1204</v>
      </c>
      <c r="F589" s="150">
        <v>91</v>
      </c>
      <c r="G589" s="150" t="s">
        <v>981</v>
      </c>
      <c r="H589" s="150">
        <v>0</v>
      </c>
      <c r="I589" s="150">
        <v>19940944</v>
      </c>
      <c r="J589" s="150"/>
      <c r="K589" s="150">
        <v>0</v>
      </c>
      <c r="L589" s="150">
        <v>0</v>
      </c>
      <c r="M589" s="150">
        <v>0</v>
      </c>
      <c r="N589" s="150">
        <v>0</v>
      </c>
      <c r="O589" s="150">
        <v>109496</v>
      </c>
      <c r="P589" s="150">
        <v>112781</v>
      </c>
      <c r="Q589" s="150">
        <v>816923</v>
      </c>
    </row>
    <row r="590" spans="1:19" x14ac:dyDescent="0.25">
      <c r="A590" t="str">
        <f t="shared" si="9"/>
        <v>25-2-25</v>
      </c>
      <c r="B590">
        <v>25</v>
      </c>
      <c r="C590" s="150" t="s">
        <v>1177</v>
      </c>
      <c r="D590" s="150">
        <v>2</v>
      </c>
      <c r="E590" s="150" t="s">
        <v>110</v>
      </c>
      <c r="F590" s="150">
        <v>25</v>
      </c>
      <c r="G590" s="150" t="s">
        <v>451</v>
      </c>
      <c r="H590" s="150">
        <v>0</v>
      </c>
      <c r="I590" s="150">
        <v>38443993</v>
      </c>
      <c r="J590" s="150"/>
      <c r="K590" s="150">
        <v>56559</v>
      </c>
      <c r="L590" s="150">
        <v>45651</v>
      </c>
      <c r="M590" s="150">
        <v>5673.2800000000007</v>
      </c>
      <c r="N590" s="150">
        <v>0</v>
      </c>
      <c r="O590" s="150">
        <v>3561545</v>
      </c>
      <c r="P590" s="150">
        <v>3720663</v>
      </c>
      <c r="Q590" s="150">
        <v>3162517.28</v>
      </c>
      <c r="R590" s="150" t="s">
        <v>1314</v>
      </c>
      <c r="S590" s="150" t="s">
        <v>1314</v>
      </c>
    </row>
    <row r="591" spans="1:19" x14ac:dyDescent="0.25">
      <c r="A591" t="str">
        <f t="shared" si="9"/>
        <v>10-4-29</v>
      </c>
      <c r="B591">
        <v>10</v>
      </c>
      <c r="C591" s="150" t="s">
        <v>1162</v>
      </c>
      <c r="D591" s="150">
        <v>4</v>
      </c>
      <c r="E591" s="150" t="s">
        <v>146</v>
      </c>
      <c r="F591" s="150">
        <v>29</v>
      </c>
      <c r="G591" s="150" t="s">
        <v>826</v>
      </c>
      <c r="H591" s="150">
        <v>0</v>
      </c>
      <c r="I591" s="150">
        <v>61759907</v>
      </c>
      <c r="J591" s="150" t="s">
        <v>1203</v>
      </c>
      <c r="K591" s="150">
        <v>95771</v>
      </c>
      <c r="L591" s="150">
        <v>215334</v>
      </c>
      <c r="M591" s="150">
        <v>48603.31</v>
      </c>
      <c r="N591" s="150">
        <v>0</v>
      </c>
      <c r="O591" s="150">
        <v>0</v>
      </c>
      <c r="P591" s="150">
        <v>143401</v>
      </c>
      <c r="Q591" s="150">
        <v>152135</v>
      </c>
      <c r="R591" s="150">
        <v>152135</v>
      </c>
    </row>
    <row r="592" spans="1:19" x14ac:dyDescent="0.25">
      <c r="A592" t="str">
        <f t="shared" si="9"/>
        <v>2-7-64</v>
      </c>
      <c r="B592">
        <v>2</v>
      </c>
      <c r="C592" s="150" t="s">
        <v>1156</v>
      </c>
      <c r="D592" s="150">
        <v>7</v>
      </c>
      <c r="E592" s="150" t="s">
        <v>681</v>
      </c>
      <c r="F592" s="150">
        <v>64</v>
      </c>
      <c r="G592" s="150" t="s">
        <v>728</v>
      </c>
      <c r="H592" s="150">
        <v>4</v>
      </c>
      <c r="I592" s="150">
        <v>4269204</v>
      </c>
      <c r="J592" s="150" t="s">
        <v>1203</v>
      </c>
      <c r="K592" s="150">
        <v>118</v>
      </c>
      <c r="L592" s="150">
        <v>32</v>
      </c>
      <c r="M592" s="150">
        <v>4.72</v>
      </c>
      <c r="N592" s="150">
        <v>0</v>
      </c>
      <c r="O592" s="150">
        <v>5745</v>
      </c>
      <c r="P592" s="150">
        <v>5968</v>
      </c>
      <c r="Q592" s="150">
        <v>6153.72</v>
      </c>
      <c r="R592" s="150">
        <v>6153.72</v>
      </c>
    </row>
    <row r="593" spans="1:18" x14ac:dyDescent="0.25">
      <c r="A593" t="str">
        <f t="shared" si="9"/>
        <v>2-9-123</v>
      </c>
      <c r="B593">
        <v>2</v>
      </c>
      <c r="C593" s="150" t="s">
        <v>1156</v>
      </c>
      <c r="D593" s="150">
        <v>9</v>
      </c>
      <c r="E593" s="150" t="s">
        <v>683</v>
      </c>
      <c r="F593" s="150">
        <v>123</v>
      </c>
      <c r="G593" s="150" t="s">
        <v>732</v>
      </c>
      <c r="H593" s="150">
        <v>0</v>
      </c>
      <c r="I593" s="150">
        <v>0</v>
      </c>
      <c r="J593" s="150" t="s">
        <v>1203</v>
      </c>
      <c r="K593" s="150">
        <v>0</v>
      </c>
      <c r="L593" s="150">
        <v>0</v>
      </c>
      <c r="M593" s="150">
        <v>0</v>
      </c>
      <c r="N593" s="150">
        <v>0</v>
      </c>
      <c r="O593" s="150">
        <v>37931</v>
      </c>
      <c r="P593" s="150">
        <v>40021</v>
      </c>
      <c r="Q593" s="150">
        <v>42394</v>
      </c>
      <c r="R593" s="150">
        <v>42394</v>
      </c>
    </row>
    <row r="594" spans="1:18" x14ac:dyDescent="0.25">
      <c r="A594" t="str">
        <f t="shared" si="9"/>
        <v>3-7-65</v>
      </c>
      <c r="B594">
        <v>3</v>
      </c>
      <c r="C594" s="150" t="s">
        <v>1157</v>
      </c>
      <c r="D594" s="150">
        <v>7</v>
      </c>
      <c r="E594" s="150" t="s">
        <v>681</v>
      </c>
      <c r="F594" s="150">
        <v>65</v>
      </c>
      <c r="G594" s="150" t="s">
        <v>192</v>
      </c>
      <c r="H594" s="150">
        <v>817</v>
      </c>
      <c r="I594" s="150">
        <v>37648153</v>
      </c>
      <c r="J594" s="150" t="s">
        <v>1203</v>
      </c>
      <c r="K594" s="150">
        <v>201</v>
      </c>
      <c r="L594" s="150">
        <v>123</v>
      </c>
      <c r="M594" s="150">
        <v>80.12</v>
      </c>
      <c r="N594" s="150">
        <v>0</v>
      </c>
      <c r="O594" s="150">
        <v>25942</v>
      </c>
      <c r="P594" s="150">
        <v>26767</v>
      </c>
      <c r="Q594" s="150">
        <v>27955.119999999999</v>
      </c>
      <c r="R594" s="150">
        <v>27955.119999999999</v>
      </c>
    </row>
    <row r="595" spans="1:18" x14ac:dyDescent="0.25">
      <c r="A595" t="str">
        <f t="shared" si="9"/>
        <v>10-7-66</v>
      </c>
      <c r="B595">
        <v>10</v>
      </c>
      <c r="C595" s="150" t="s">
        <v>1162</v>
      </c>
      <c r="D595" s="150">
        <v>7</v>
      </c>
      <c r="E595" s="150" t="s">
        <v>681</v>
      </c>
      <c r="F595" s="150">
        <v>66</v>
      </c>
      <c r="G595" s="150" t="s">
        <v>289</v>
      </c>
      <c r="H595" s="150">
        <v>0</v>
      </c>
      <c r="I595" s="150">
        <v>11719479</v>
      </c>
      <c r="J595" s="150" t="s">
        <v>1203</v>
      </c>
      <c r="K595" s="150">
        <v>418</v>
      </c>
      <c r="L595" s="150">
        <v>341</v>
      </c>
      <c r="M595" s="150">
        <v>117.08</v>
      </c>
      <c r="N595" s="150">
        <v>0</v>
      </c>
      <c r="O595" s="150">
        <v>125264</v>
      </c>
      <c r="P595" s="150">
        <v>134853</v>
      </c>
      <c r="Q595" s="150">
        <v>144920.07999999999</v>
      </c>
      <c r="R595" s="150">
        <v>144920.07999999999</v>
      </c>
    </row>
    <row r="596" spans="1:18" x14ac:dyDescent="0.25">
      <c r="A596" t="str">
        <f t="shared" si="9"/>
        <v>22-9-110</v>
      </c>
      <c r="B596">
        <v>22</v>
      </c>
      <c r="C596" s="150" t="s">
        <v>1174</v>
      </c>
      <c r="D596" s="150">
        <v>9</v>
      </c>
      <c r="E596" s="150" t="s">
        <v>683</v>
      </c>
      <c r="F596" s="150">
        <v>110</v>
      </c>
      <c r="G596" s="150" t="s">
        <v>957</v>
      </c>
      <c r="H596" s="150">
        <v>5703</v>
      </c>
      <c r="I596" s="150">
        <v>0</v>
      </c>
      <c r="J596" s="150" t="s">
        <v>1203</v>
      </c>
      <c r="K596" s="150">
        <v>7</v>
      </c>
      <c r="L596" s="150">
        <v>721</v>
      </c>
      <c r="M596" s="150">
        <v>66.430000000000007</v>
      </c>
      <c r="N596" s="150">
        <v>0</v>
      </c>
      <c r="O596" s="150">
        <v>234751</v>
      </c>
      <c r="P596" s="150">
        <v>246807</v>
      </c>
      <c r="Q596" s="150">
        <v>259184.43</v>
      </c>
      <c r="R596" s="150">
        <v>259184.43</v>
      </c>
    </row>
    <row r="597" spans="1:18" x14ac:dyDescent="0.25">
      <c r="A597" t="str">
        <f t="shared" si="9"/>
        <v>29-17-5</v>
      </c>
      <c r="B597">
        <v>29</v>
      </c>
      <c r="C597" s="150" t="s">
        <v>1181</v>
      </c>
      <c r="D597" s="150">
        <v>17</v>
      </c>
      <c r="E597" s="150" t="s">
        <v>688</v>
      </c>
      <c r="F597" s="150">
        <v>5</v>
      </c>
      <c r="G597" s="150" t="s">
        <v>1037</v>
      </c>
      <c r="H597" s="150">
        <v>3323</v>
      </c>
      <c r="I597" s="150">
        <v>4697447</v>
      </c>
      <c r="J597" s="150">
        <v>1</v>
      </c>
      <c r="K597" s="150">
        <v>666</v>
      </c>
      <c r="L597" s="150">
        <v>284</v>
      </c>
      <c r="M597" s="150">
        <v>53.81</v>
      </c>
      <c r="N597" s="150">
        <v>0</v>
      </c>
      <c r="O597" s="150">
        <v>21092</v>
      </c>
      <c r="P597" s="150">
        <f>20991+666+284+26</f>
        <v>21967</v>
      </c>
      <c r="Q597" s="150">
        <v>21978.81</v>
      </c>
      <c r="R597" s="150">
        <v>21979</v>
      </c>
    </row>
    <row r="598" spans="1:18" x14ac:dyDescent="0.25">
      <c r="A598" t="str">
        <f t="shared" si="9"/>
        <v>35-17-5</v>
      </c>
      <c r="B598">
        <v>35</v>
      </c>
      <c r="C598" s="150" t="s">
        <v>1195</v>
      </c>
      <c r="D598" s="150">
        <v>17</v>
      </c>
      <c r="E598" s="150" t="s">
        <v>688</v>
      </c>
      <c r="F598" s="150">
        <v>5</v>
      </c>
      <c r="G598" s="150" t="s">
        <v>1037</v>
      </c>
      <c r="H598" s="150">
        <v>3323</v>
      </c>
      <c r="I598" s="150">
        <v>1311836</v>
      </c>
      <c r="J598" s="150">
        <v>1</v>
      </c>
      <c r="K598" s="150">
        <v>666</v>
      </c>
      <c r="L598" s="150">
        <v>284</v>
      </c>
      <c r="M598" s="150">
        <v>53.81</v>
      </c>
      <c r="N598" s="150">
        <v>0</v>
      </c>
      <c r="O598" s="150">
        <v>21092</v>
      </c>
      <c r="P598" s="150">
        <f>20991+666+284+26</f>
        <v>21967</v>
      </c>
      <c r="Q598" s="150">
        <v>21978.81</v>
      </c>
      <c r="R598" s="150">
        <v>21979</v>
      </c>
    </row>
    <row r="599" spans="1:18" x14ac:dyDescent="0.25">
      <c r="A599" t="str">
        <f t="shared" si="9"/>
        <v>3-9-131</v>
      </c>
      <c r="B599">
        <v>3</v>
      </c>
      <c r="C599" s="150" t="s">
        <v>1157</v>
      </c>
      <c r="D599" s="150">
        <v>9</v>
      </c>
      <c r="E599" s="150" t="s">
        <v>683</v>
      </c>
      <c r="F599" s="150">
        <v>131</v>
      </c>
      <c r="G599" s="150" t="s">
        <v>744</v>
      </c>
      <c r="H599" s="150">
        <v>3902</v>
      </c>
      <c r="I599" s="150">
        <v>0</v>
      </c>
      <c r="J599" s="150" t="s">
        <v>1203</v>
      </c>
      <c r="K599" s="150">
        <v>0</v>
      </c>
      <c r="L599" s="150">
        <v>0</v>
      </c>
      <c r="M599" s="150">
        <v>0</v>
      </c>
      <c r="N599" s="150">
        <v>0</v>
      </c>
      <c r="O599" s="150">
        <v>36645</v>
      </c>
      <c r="P599" s="150">
        <v>37744</v>
      </c>
      <c r="Q599" s="150">
        <v>38876</v>
      </c>
      <c r="R599" s="150">
        <v>38876</v>
      </c>
    </row>
    <row r="600" spans="1:18" x14ac:dyDescent="0.25">
      <c r="A600" t="str">
        <f t="shared" si="9"/>
        <v>10-15-7</v>
      </c>
      <c r="B600">
        <v>10</v>
      </c>
      <c r="C600" s="150" t="s">
        <v>1162</v>
      </c>
      <c r="D600" s="150">
        <v>15</v>
      </c>
      <c r="E600" s="150" t="s">
        <v>237</v>
      </c>
      <c r="F600" s="150">
        <v>7</v>
      </c>
      <c r="G600" s="150" t="s">
        <v>837</v>
      </c>
      <c r="H600" s="150">
        <v>0</v>
      </c>
      <c r="I600" s="150">
        <v>288664</v>
      </c>
      <c r="J600" s="150">
        <v>1</v>
      </c>
      <c r="K600" s="150">
        <v>670</v>
      </c>
      <c r="L600" s="150">
        <v>984</v>
      </c>
      <c r="M600" s="150">
        <v>247.39000000000001</v>
      </c>
      <c r="N600" s="150">
        <v>0</v>
      </c>
      <c r="O600" s="150">
        <v>176460</v>
      </c>
      <c r="P600" s="150">
        <v>185823</v>
      </c>
      <c r="Q600" s="150">
        <v>194534.39</v>
      </c>
      <c r="R600" s="150">
        <v>194534.39</v>
      </c>
    </row>
    <row r="601" spans="1:18" x14ac:dyDescent="0.25">
      <c r="A601" t="str">
        <f t="shared" si="9"/>
        <v>26-15-7</v>
      </c>
      <c r="B601">
        <v>26</v>
      </c>
      <c r="C601" s="150" t="s">
        <v>1178</v>
      </c>
      <c r="D601" s="150">
        <v>15</v>
      </c>
      <c r="E601" s="150" t="s">
        <v>237</v>
      </c>
      <c r="F601" s="150">
        <v>7</v>
      </c>
      <c r="G601" s="150" t="s">
        <v>837</v>
      </c>
      <c r="H601" s="150">
        <v>0</v>
      </c>
      <c r="I601" s="150">
        <v>3273099</v>
      </c>
      <c r="J601" s="150">
        <v>1</v>
      </c>
      <c r="K601" s="150">
        <v>670</v>
      </c>
      <c r="L601" s="150">
        <v>984</v>
      </c>
      <c r="M601" s="150">
        <v>247.39000000000001</v>
      </c>
      <c r="N601" s="150">
        <v>0</v>
      </c>
      <c r="O601" s="150">
        <v>176460</v>
      </c>
      <c r="P601" s="150">
        <v>185823</v>
      </c>
      <c r="Q601" s="150">
        <v>194534.39</v>
      </c>
      <c r="R601" s="150">
        <v>194534.39</v>
      </c>
    </row>
    <row r="602" spans="1:18" x14ac:dyDescent="0.25">
      <c r="A602" t="str">
        <f t="shared" si="9"/>
        <v>10-9-114</v>
      </c>
      <c r="B602">
        <v>10</v>
      </c>
      <c r="C602" s="150" t="s">
        <v>1162</v>
      </c>
      <c r="D602" s="150">
        <v>9</v>
      </c>
      <c r="E602" s="150" t="s">
        <v>683</v>
      </c>
      <c r="F602" s="150">
        <v>114</v>
      </c>
      <c r="G602" s="150" t="s">
        <v>833</v>
      </c>
      <c r="H602" s="150">
        <v>0</v>
      </c>
      <c r="I602" s="150">
        <v>0</v>
      </c>
      <c r="J602" s="150">
        <v>1</v>
      </c>
      <c r="K602" s="150">
        <v>17196</v>
      </c>
      <c r="L602" s="150">
        <v>10903</v>
      </c>
      <c r="M602" s="150">
        <v>2789.7400000000002</v>
      </c>
      <c r="N602" s="150">
        <v>0</v>
      </c>
      <c r="O602" s="150">
        <v>1542599</v>
      </c>
      <c r="P602" s="150">
        <v>1602877</v>
      </c>
      <c r="Q602" s="150">
        <v>1766531.74</v>
      </c>
      <c r="R602" s="150">
        <v>1766531.74</v>
      </c>
    </row>
    <row r="603" spans="1:18" x14ac:dyDescent="0.25">
      <c r="A603" t="str">
        <f t="shared" si="9"/>
        <v>26-9-114</v>
      </c>
      <c r="B603">
        <v>26</v>
      </c>
      <c r="C603" s="150" t="s">
        <v>1178</v>
      </c>
      <c r="D603" s="150">
        <v>9</v>
      </c>
      <c r="E603" s="150" t="s">
        <v>683</v>
      </c>
      <c r="F603" s="150">
        <v>114</v>
      </c>
      <c r="G603" s="150" t="s">
        <v>833</v>
      </c>
      <c r="H603" s="150">
        <v>0</v>
      </c>
      <c r="I603" s="150">
        <v>0</v>
      </c>
      <c r="J603" s="150">
        <v>1</v>
      </c>
      <c r="K603" s="150">
        <v>17196</v>
      </c>
      <c r="L603" s="150">
        <v>10903</v>
      </c>
      <c r="M603" s="150">
        <v>2789.7400000000002</v>
      </c>
      <c r="N603" s="150">
        <v>0</v>
      </c>
      <c r="O603" s="150">
        <v>1542599</v>
      </c>
      <c r="P603" s="150">
        <v>1602877</v>
      </c>
      <c r="Q603" s="150">
        <v>1766531.74</v>
      </c>
      <c r="R603" s="150">
        <v>1766531.74</v>
      </c>
    </row>
    <row r="604" spans="1:18" x14ac:dyDescent="0.25">
      <c r="A604" t="str">
        <f t="shared" si="9"/>
        <v>33-9-114</v>
      </c>
      <c r="B604">
        <v>33</v>
      </c>
      <c r="C604" s="150" t="s">
        <v>1185</v>
      </c>
      <c r="D604" s="150">
        <v>9</v>
      </c>
      <c r="E604" s="150" t="s">
        <v>683</v>
      </c>
      <c r="F604" s="150">
        <v>114</v>
      </c>
      <c r="G604" s="150" t="s">
        <v>833</v>
      </c>
      <c r="H604" s="150">
        <v>0</v>
      </c>
      <c r="I604" s="150">
        <v>0</v>
      </c>
      <c r="J604" s="150">
        <v>1</v>
      </c>
      <c r="K604" s="150">
        <v>17196</v>
      </c>
      <c r="L604" s="150">
        <v>10903</v>
      </c>
      <c r="M604" s="150">
        <v>2789.7400000000002</v>
      </c>
      <c r="N604" s="150">
        <v>0</v>
      </c>
      <c r="O604" s="150">
        <v>1542599</v>
      </c>
      <c r="P604" s="150">
        <v>1602877</v>
      </c>
      <c r="Q604" s="150">
        <v>1766531.74</v>
      </c>
      <c r="R604" s="150">
        <v>1766531.74</v>
      </c>
    </row>
    <row r="605" spans="1:18" x14ac:dyDescent="0.25">
      <c r="A605" t="str">
        <f t="shared" si="9"/>
        <v>26-11-92</v>
      </c>
      <c r="B605">
        <v>26</v>
      </c>
      <c r="C605" s="150" t="s">
        <v>1178</v>
      </c>
      <c r="D605" s="150">
        <v>11</v>
      </c>
      <c r="E605" s="150" t="s">
        <v>1204</v>
      </c>
      <c r="F605" s="150">
        <v>92</v>
      </c>
      <c r="G605" s="150" t="s">
        <v>994</v>
      </c>
      <c r="H605" s="150">
        <v>0</v>
      </c>
      <c r="I605" s="150">
        <v>96804292</v>
      </c>
      <c r="J605" s="150" t="s">
        <v>1203</v>
      </c>
      <c r="K605" s="150">
        <v>0</v>
      </c>
      <c r="L605" s="150">
        <v>0</v>
      </c>
      <c r="M605" s="150">
        <v>0</v>
      </c>
      <c r="N605" s="150">
        <v>0</v>
      </c>
      <c r="O605" s="150">
        <v>677282</v>
      </c>
      <c r="P605" s="150">
        <v>552826</v>
      </c>
      <c r="Q605" s="150">
        <v>935000</v>
      </c>
    </row>
    <row r="606" spans="1:18" x14ac:dyDescent="0.25">
      <c r="A606" t="str">
        <f t="shared" si="9"/>
        <v>26-2-26</v>
      </c>
      <c r="B606">
        <v>26</v>
      </c>
      <c r="C606" s="150" t="s">
        <v>1178</v>
      </c>
      <c r="D606" s="150">
        <v>2</v>
      </c>
      <c r="E606" s="150" t="s">
        <v>110</v>
      </c>
      <c r="F606" s="150">
        <v>26</v>
      </c>
      <c r="G606" s="150" t="s">
        <v>480</v>
      </c>
      <c r="H606" s="150">
        <v>228830</v>
      </c>
      <c r="I606" s="150">
        <v>96804292</v>
      </c>
      <c r="J606" s="150" t="s">
        <v>1203</v>
      </c>
      <c r="K606" s="150">
        <v>148557</v>
      </c>
      <c r="L606" s="150">
        <v>66213</v>
      </c>
      <c r="M606" s="150">
        <v>18735.060000000001</v>
      </c>
      <c r="N606" s="150">
        <v>0</v>
      </c>
      <c r="O606" s="150">
        <f>7320553+O605</f>
        <v>7997835</v>
      </c>
      <c r="P606" s="150">
        <f>7688186+P605</f>
        <v>8241012</v>
      </c>
      <c r="Q606" s="150">
        <v>7772817.0599999996</v>
      </c>
      <c r="R606" s="150">
        <v>8707817.0600000005</v>
      </c>
    </row>
    <row r="607" spans="1:18" x14ac:dyDescent="0.25">
      <c r="A607" t="str">
        <f t="shared" si="9"/>
        <v>26-4-96</v>
      </c>
      <c r="B607">
        <v>26</v>
      </c>
      <c r="C607" s="150" t="s">
        <v>1178</v>
      </c>
      <c r="D607" s="150">
        <v>4</v>
      </c>
      <c r="E607" s="150" t="s">
        <v>146</v>
      </c>
      <c r="F607" s="150">
        <v>96</v>
      </c>
      <c r="G607" s="150" t="s">
        <v>984</v>
      </c>
      <c r="H607" s="150">
        <v>0</v>
      </c>
      <c r="I607" s="150">
        <v>50401417</v>
      </c>
      <c r="J607" s="150">
        <v>1</v>
      </c>
      <c r="K607" s="150">
        <v>38534</v>
      </c>
      <c r="L607" s="150">
        <v>42758</v>
      </c>
      <c r="M607" s="150">
        <v>18352.27</v>
      </c>
      <c r="N607" s="150">
        <v>0</v>
      </c>
      <c r="O607" s="150">
        <v>36349</v>
      </c>
      <c r="P607" s="150">
        <v>38577</v>
      </c>
      <c r="Q607" s="150">
        <v>40893</v>
      </c>
      <c r="R607" s="150">
        <v>40893</v>
      </c>
    </row>
    <row r="608" spans="1:18" x14ac:dyDescent="0.25">
      <c r="A608" t="str">
        <f t="shared" si="9"/>
        <v>33-4-96</v>
      </c>
      <c r="B608">
        <v>33</v>
      </c>
      <c r="C608" s="150" t="s">
        <v>1185</v>
      </c>
      <c r="D608" s="150">
        <v>4</v>
      </c>
      <c r="E608" s="150" t="s">
        <v>146</v>
      </c>
      <c r="F608" s="150">
        <v>96</v>
      </c>
      <c r="G608" s="150" t="s">
        <v>984</v>
      </c>
      <c r="H608" s="150">
        <v>0</v>
      </c>
      <c r="I608" s="150">
        <v>590290</v>
      </c>
      <c r="J608" s="150">
        <v>1</v>
      </c>
      <c r="K608" s="150">
        <v>38534</v>
      </c>
      <c r="L608" s="150">
        <v>42758</v>
      </c>
      <c r="M608" s="150">
        <v>18352.27</v>
      </c>
      <c r="N608" s="150">
        <v>0</v>
      </c>
      <c r="O608" s="150">
        <v>36349</v>
      </c>
      <c r="P608" s="150">
        <v>38577</v>
      </c>
      <c r="Q608" s="150">
        <v>40893</v>
      </c>
      <c r="R608" s="150">
        <v>40893</v>
      </c>
    </row>
    <row r="609" spans="1:18" x14ac:dyDescent="0.25">
      <c r="A609" t="str">
        <f t="shared" si="9"/>
        <v>27-9-39</v>
      </c>
      <c r="B609">
        <v>27</v>
      </c>
      <c r="C609" s="150" t="s">
        <v>1179</v>
      </c>
      <c r="D609" s="150">
        <v>9</v>
      </c>
      <c r="E609" s="150" t="s">
        <v>683</v>
      </c>
      <c r="F609" s="150">
        <v>39</v>
      </c>
      <c r="G609" s="150" t="s">
        <v>1001</v>
      </c>
      <c r="H609" s="150">
        <v>377</v>
      </c>
      <c r="I609" s="150">
        <v>1399000</v>
      </c>
      <c r="J609" s="150" t="s">
        <v>1203</v>
      </c>
      <c r="K609" s="150">
        <v>15684</v>
      </c>
      <c r="L609" s="150">
        <v>4197</v>
      </c>
      <c r="M609" s="150">
        <v>1694.92</v>
      </c>
      <c r="N609" s="150">
        <v>0</v>
      </c>
      <c r="O609" s="150">
        <v>449074</v>
      </c>
      <c r="P609" s="150">
        <v>485000</v>
      </c>
      <c r="Q609" s="150">
        <v>505891.92</v>
      </c>
      <c r="R609" s="150">
        <v>505891.92</v>
      </c>
    </row>
    <row r="610" spans="1:18" x14ac:dyDescent="0.25">
      <c r="A610" t="str">
        <f t="shared" si="9"/>
        <v>27-11-32</v>
      </c>
      <c r="B610">
        <v>27</v>
      </c>
      <c r="C610" s="150" t="s">
        <v>1179</v>
      </c>
      <c r="D610" s="150">
        <v>11</v>
      </c>
      <c r="E610" s="150" t="s">
        <v>1204</v>
      </c>
      <c r="F610" s="150">
        <v>32</v>
      </c>
      <c r="G610" s="150" t="s">
        <v>1004</v>
      </c>
      <c r="H610" s="150">
        <v>0</v>
      </c>
      <c r="I610" s="150">
        <v>64289023</v>
      </c>
      <c r="J610" s="150" t="s">
        <v>1203</v>
      </c>
      <c r="K610" s="150">
        <v>39037</v>
      </c>
      <c r="L610" s="150">
        <v>18820</v>
      </c>
      <c r="M610" s="150">
        <v>9028.67</v>
      </c>
      <c r="N610" s="150">
        <v>0</v>
      </c>
      <c r="O610" s="150">
        <v>1979482</v>
      </c>
      <c r="P610" s="150">
        <v>2237327</v>
      </c>
      <c r="Q610" s="150">
        <v>2336218.67</v>
      </c>
      <c r="R610" s="150">
        <v>2336218.67</v>
      </c>
    </row>
    <row r="611" spans="1:18" x14ac:dyDescent="0.25">
      <c r="A611" t="str">
        <f t="shared" si="9"/>
        <v>27-2-27</v>
      </c>
      <c r="B611">
        <v>27</v>
      </c>
      <c r="C611" s="150" t="s">
        <v>1179</v>
      </c>
      <c r="D611" s="150">
        <v>2</v>
      </c>
      <c r="E611" s="150" t="s">
        <v>110</v>
      </c>
      <c r="F611" s="150">
        <v>27</v>
      </c>
      <c r="G611" s="150" t="s">
        <v>488</v>
      </c>
      <c r="H611" s="150">
        <v>449242</v>
      </c>
      <c r="I611" s="150">
        <v>129701380</v>
      </c>
      <c r="J611" s="150" t="s">
        <v>1203</v>
      </c>
      <c r="K611" s="150">
        <v>208574</v>
      </c>
      <c r="L611" s="150">
        <v>92655</v>
      </c>
      <c r="M611" s="150">
        <v>37969.020000000004</v>
      </c>
      <c r="N611" s="150">
        <v>0</v>
      </c>
      <c r="O611" s="150">
        <v>7776679</v>
      </c>
      <c r="P611" s="150">
        <v>8632837</v>
      </c>
      <c r="Q611" s="150">
        <v>9007128.0199999996</v>
      </c>
      <c r="R611" s="150">
        <v>9007128.0199999996</v>
      </c>
    </row>
    <row r="612" spans="1:18" x14ac:dyDescent="0.25">
      <c r="A612" t="str">
        <f t="shared" si="9"/>
        <v>27-7-205</v>
      </c>
      <c r="B612">
        <v>27</v>
      </c>
      <c r="C612" s="150" t="s">
        <v>1179</v>
      </c>
      <c r="D612" s="150">
        <v>7</v>
      </c>
      <c r="E612" s="150" t="s">
        <v>681</v>
      </c>
      <c r="F612" s="150">
        <v>205</v>
      </c>
      <c r="G612" s="150" t="s">
        <v>1000</v>
      </c>
      <c r="H612" s="150">
        <v>19687</v>
      </c>
      <c r="I612" s="150">
        <v>57221710</v>
      </c>
      <c r="J612" s="150" t="s">
        <v>1203</v>
      </c>
      <c r="K612" s="150">
        <v>0</v>
      </c>
      <c r="L612" s="150">
        <v>0</v>
      </c>
      <c r="M612" s="150">
        <v>1982.91</v>
      </c>
      <c r="N612" s="150">
        <v>0</v>
      </c>
      <c r="O612" s="150">
        <v>480440</v>
      </c>
      <c r="P612" s="150">
        <v>485244</v>
      </c>
      <c r="Q612" s="150">
        <v>499999.91</v>
      </c>
      <c r="R612" s="150">
        <v>499999.91</v>
      </c>
    </row>
    <row r="613" spans="1:18" x14ac:dyDescent="0.25">
      <c r="A613" t="str">
        <f t="shared" si="9"/>
        <v>27-17-13</v>
      </c>
      <c r="B613">
        <v>27</v>
      </c>
      <c r="C613" s="150" t="s">
        <v>1179</v>
      </c>
      <c r="D613" s="150">
        <v>17</v>
      </c>
      <c r="E613" s="150" t="s">
        <v>688</v>
      </c>
      <c r="F613" s="150">
        <v>13</v>
      </c>
      <c r="G613" s="150" t="s">
        <v>1006</v>
      </c>
      <c r="H613" s="150">
        <v>0</v>
      </c>
      <c r="I613" s="150">
        <v>63522720</v>
      </c>
      <c r="J613" s="150" t="s">
        <v>1203</v>
      </c>
      <c r="K613" s="150">
        <v>15744</v>
      </c>
      <c r="L613" s="150">
        <v>8456</v>
      </c>
      <c r="M613" s="150">
        <v>3538.79</v>
      </c>
      <c r="N613" s="150">
        <v>0</v>
      </c>
      <c r="O613" s="150">
        <v>776736</v>
      </c>
      <c r="P613" s="150">
        <v>877943</v>
      </c>
      <c r="Q613" s="150">
        <v>916757.79</v>
      </c>
      <c r="R613" s="150">
        <v>916757.79</v>
      </c>
    </row>
    <row r="614" spans="1:18" x14ac:dyDescent="0.25">
      <c r="A614" t="str">
        <f t="shared" si="9"/>
        <v>24-4-100</v>
      </c>
      <c r="B614">
        <v>24</v>
      </c>
      <c r="C614" s="150" t="s">
        <v>1176</v>
      </c>
      <c r="D614" s="150">
        <v>4</v>
      </c>
      <c r="E614" s="150" t="s">
        <v>146</v>
      </c>
      <c r="F614" s="150">
        <v>100</v>
      </c>
      <c r="G614" s="150" t="s">
        <v>970</v>
      </c>
      <c r="H614" s="150">
        <v>0</v>
      </c>
      <c r="I614" s="150">
        <v>6547236</v>
      </c>
      <c r="J614" s="150">
        <v>1</v>
      </c>
      <c r="K614" s="150">
        <v>52714</v>
      </c>
      <c r="L614" s="150">
        <v>47907</v>
      </c>
      <c r="M614" s="150">
        <v>28159.3</v>
      </c>
      <c r="N614" s="150">
        <v>0</v>
      </c>
      <c r="O614" s="150">
        <v>98105</v>
      </c>
      <c r="P614" s="150">
        <v>100621</v>
      </c>
      <c r="Q614" s="150">
        <v>105226</v>
      </c>
      <c r="R614" s="150">
        <v>105226</v>
      </c>
    </row>
    <row r="615" spans="1:18" x14ac:dyDescent="0.25">
      <c r="A615" t="str">
        <f t="shared" si="9"/>
        <v>27-4-100</v>
      </c>
      <c r="B615">
        <v>27</v>
      </c>
      <c r="C615" s="150" t="s">
        <v>1179</v>
      </c>
      <c r="D615" s="150">
        <v>4</v>
      </c>
      <c r="E615" s="150" t="s">
        <v>146</v>
      </c>
      <c r="F615" s="150">
        <v>100</v>
      </c>
      <c r="G615" s="150" t="s">
        <v>970</v>
      </c>
      <c r="H615" s="150">
        <v>0</v>
      </c>
      <c r="I615" s="150">
        <v>63385601</v>
      </c>
      <c r="J615" s="150">
        <v>1</v>
      </c>
      <c r="K615" s="150">
        <v>52714</v>
      </c>
      <c r="L615" s="150">
        <v>47907</v>
      </c>
      <c r="M615" s="150">
        <v>28159.3</v>
      </c>
      <c r="N615" s="150">
        <v>0</v>
      </c>
      <c r="O615" s="150">
        <v>98105</v>
      </c>
      <c r="P615" s="150">
        <v>100621</v>
      </c>
      <c r="Q615" s="150">
        <v>105226</v>
      </c>
      <c r="R615" s="150">
        <v>105226</v>
      </c>
    </row>
    <row r="616" spans="1:18" x14ac:dyDescent="0.25">
      <c r="A616" t="str">
        <f t="shared" si="9"/>
        <v>32-4-100</v>
      </c>
      <c r="B616">
        <v>32</v>
      </c>
      <c r="C616" s="150" t="s">
        <v>1184</v>
      </c>
      <c r="D616" s="150">
        <v>4</v>
      </c>
      <c r="E616" s="150" t="s">
        <v>146</v>
      </c>
      <c r="F616" s="150">
        <v>100</v>
      </c>
      <c r="G616" s="150" t="s">
        <v>970</v>
      </c>
      <c r="H616" s="150">
        <v>0</v>
      </c>
      <c r="I616" s="150">
        <v>501112</v>
      </c>
      <c r="J616" s="150">
        <v>1</v>
      </c>
      <c r="K616" s="150">
        <v>52714</v>
      </c>
      <c r="L616" s="150">
        <v>47907</v>
      </c>
      <c r="M616" s="150">
        <v>28159.3</v>
      </c>
      <c r="N616" s="150">
        <v>0</v>
      </c>
      <c r="O616" s="150">
        <v>98105</v>
      </c>
      <c r="P616" s="150">
        <v>100621</v>
      </c>
      <c r="Q616" s="150">
        <v>105226</v>
      </c>
      <c r="R616" s="150">
        <v>105226</v>
      </c>
    </row>
    <row r="617" spans="1:18" x14ac:dyDescent="0.25">
      <c r="A617" t="str">
        <f t="shared" si="9"/>
        <v>1-7-67</v>
      </c>
      <c r="B617">
        <v>1</v>
      </c>
      <c r="C617" s="150" t="s">
        <v>1155</v>
      </c>
      <c r="D617" s="150">
        <v>7</v>
      </c>
      <c r="E617" s="150" t="s">
        <v>681</v>
      </c>
      <c r="F617" s="150">
        <v>67</v>
      </c>
      <c r="G617" s="150" t="s">
        <v>169</v>
      </c>
      <c r="H617" s="150">
        <v>1546</v>
      </c>
      <c r="I617" s="150">
        <v>90167673</v>
      </c>
      <c r="J617" s="150" t="s">
        <v>1203</v>
      </c>
      <c r="K617" s="150">
        <v>1</v>
      </c>
      <c r="L617" s="150">
        <v>326</v>
      </c>
      <c r="M617" s="150">
        <v>63.379999999999995</v>
      </c>
      <c r="N617" s="150">
        <v>0</v>
      </c>
      <c r="O617" s="150">
        <v>38708</v>
      </c>
      <c r="P617" s="150">
        <v>40563</v>
      </c>
      <c r="Q617" s="150">
        <v>390.38</v>
      </c>
      <c r="R617" s="150">
        <v>40563</v>
      </c>
    </row>
    <row r="618" spans="1:18" x14ac:dyDescent="0.25">
      <c r="A618" t="str">
        <f t="shared" si="9"/>
        <v>18-20-12</v>
      </c>
      <c r="B618">
        <v>18</v>
      </c>
      <c r="C618" s="150" t="s">
        <v>1170</v>
      </c>
      <c r="D618" s="150">
        <v>20</v>
      </c>
      <c r="E618" s="150" t="s">
        <v>238</v>
      </c>
      <c r="F618" s="150">
        <v>12</v>
      </c>
      <c r="G618" s="150" t="s">
        <v>916</v>
      </c>
      <c r="H618" s="150">
        <v>105</v>
      </c>
      <c r="I618" s="150">
        <v>44193</v>
      </c>
      <c r="J618" s="150" t="s">
        <v>1203</v>
      </c>
      <c r="K618" s="150">
        <v>0</v>
      </c>
      <c r="L618" s="150">
        <v>9</v>
      </c>
      <c r="M618" s="150">
        <v>0.2</v>
      </c>
      <c r="N618" s="150">
        <v>0</v>
      </c>
      <c r="O618" s="150">
        <v>4198</v>
      </c>
      <c r="P618" s="150">
        <v>4200</v>
      </c>
      <c r="Q618" s="150">
        <v>4200.2</v>
      </c>
      <c r="R618" s="150">
        <v>4200.2</v>
      </c>
    </row>
    <row r="619" spans="1:18" x14ac:dyDescent="0.25">
      <c r="A619" t="str">
        <f t="shared" si="9"/>
        <v>25-7-68</v>
      </c>
      <c r="B619">
        <v>25</v>
      </c>
      <c r="C619" s="150" t="s">
        <v>1177</v>
      </c>
      <c r="D619" s="150">
        <v>7</v>
      </c>
      <c r="E619" s="150" t="s">
        <v>681</v>
      </c>
      <c r="F619" s="150">
        <v>68</v>
      </c>
      <c r="G619" s="150" t="s">
        <v>463</v>
      </c>
      <c r="H619" s="150">
        <v>74</v>
      </c>
      <c r="I619" s="150">
        <v>1520037</v>
      </c>
      <c r="J619" s="150">
        <v>1</v>
      </c>
      <c r="K619" s="150">
        <v>54</v>
      </c>
      <c r="L619" s="150">
        <v>99</v>
      </c>
      <c r="M619" s="150">
        <v>18.47</v>
      </c>
      <c r="N619" s="150">
        <v>0</v>
      </c>
      <c r="O619" s="150">
        <v>8519</v>
      </c>
      <c r="P619" s="150">
        <v>8833</v>
      </c>
      <c r="Q619" s="150">
        <v>8851.4699999999993</v>
      </c>
      <c r="R619" s="150">
        <v>8851.4699999999993</v>
      </c>
    </row>
    <row r="620" spans="1:18" x14ac:dyDescent="0.25">
      <c r="A620" t="str">
        <f t="shared" si="9"/>
        <v>31-7-68</v>
      </c>
      <c r="B620">
        <v>31</v>
      </c>
      <c r="C620" s="150" t="s">
        <v>1183</v>
      </c>
      <c r="D620" s="150">
        <v>7</v>
      </c>
      <c r="E620" s="150" t="s">
        <v>681</v>
      </c>
      <c r="F620" s="150">
        <v>68</v>
      </c>
      <c r="G620" s="150" t="s">
        <v>463</v>
      </c>
      <c r="H620" s="150">
        <v>74</v>
      </c>
      <c r="I620" s="150">
        <v>1839009</v>
      </c>
      <c r="J620" s="150">
        <v>1</v>
      </c>
      <c r="K620" s="150">
        <v>54</v>
      </c>
      <c r="L620" s="150">
        <v>99</v>
      </c>
      <c r="M620" s="150">
        <v>18.47</v>
      </c>
      <c r="N620" s="150">
        <v>0</v>
      </c>
      <c r="O620" s="150">
        <v>8519</v>
      </c>
      <c r="P620" s="150">
        <v>8833</v>
      </c>
      <c r="Q620" s="150">
        <v>8851.4699999999993</v>
      </c>
      <c r="R620" s="150">
        <v>8851.4699999999993</v>
      </c>
    </row>
    <row r="621" spans="1:18" x14ac:dyDescent="0.25">
      <c r="A621" t="str">
        <f t="shared" si="9"/>
        <v>25-9-41</v>
      </c>
      <c r="B621">
        <v>25</v>
      </c>
      <c r="C621" s="150" t="s">
        <v>1177</v>
      </c>
      <c r="D621" s="150">
        <v>9</v>
      </c>
      <c r="E621" s="150" t="s">
        <v>683</v>
      </c>
      <c r="F621" s="150">
        <v>41</v>
      </c>
      <c r="G621" s="150" t="s">
        <v>473</v>
      </c>
      <c r="H621" s="150">
        <v>2891</v>
      </c>
      <c r="I621" s="150">
        <v>1779517</v>
      </c>
      <c r="J621" s="150">
        <v>1</v>
      </c>
      <c r="K621" s="150">
        <v>93</v>
      </c>
      <c r="L621" s="150">
        <v>452</v>
      </c>
      <c r="M621" s="150">
        <v>79.800000000000011</v>
      </c>
      <c r="N621" s="150">
        <v>0</v>
      </c>
      <c r="O621" s="150">
        <v>50048</v>
      </c>
      <c r="P621" s="150">
        <v>51870</v>
      </c>
      <c r="Q621" s="150">
        <v>53611.8</v>
      </c>
      <c r="R621" s="150">
        <v>53611.8</v>
      </c>
    </row>
    <row r="622" spans="1:18" x14ac:dyDescent="0.25">
      <c r="A622" t="str">
        <f t="shared" si="9"/>
        <v>31-9-41</v>
      </c>
      <c r="B622">
        <v>31</v>
      </c>
      <c r="C622" s="150" t="s">
        <v>1183</v>
      </c>
      <c r="D622" s="150">
        <v>9</v>
      </c>
      <c r="E622" s="150" t="s">
        <v>683</v>
      </c>
      <c r="F622" s="150">
        <v>41</v>
      </c>
      <c r="G622" s="150" t="s">
        <v>473</v>
      </c>
      <c r="H622" s="150">
        <v>2891</v>
      </c>
      <c r="I622" s="150">
        <v>540564</v>
      </c>
      <c r="J622" s="150">
        <v>1</v>
      </c>
      <c r="K622" s="150">
        <v>93</v>
      </c>
      <c r="L622" s="150">
        <v>452</v>
      </c>
      <c r="M622" s="150">
        <v>79.800000000000011</v>
      </c>
      <c r="N622" s="150">
        <v>0</v>
      </c>
      <c r="O622" s="150">
        <v>50048</v>
      </c>
      <c r="P622" s="150">
        <v>51870</v>
      </c>
      <c r="Q622" s="150">
        <v>53611.8</v>
      </c>
      <c r="R622" s="150">
        <v>53611.8</v>
      </c>
    </row>
    <row r="623" spans="1:18" x14ac:dyDescent="0.25">
      <c r="A623" t="str">
        <f t="shared" si="9"/>
        <v>31-11-33</v>
      </c>
      <c r="B623">
        <v>31</v>
      </c>
      <c r="C623" s="150" t="s">
        <v>1183</v>
      </c>
      <c r="D623" s="150">
        <v>11</v>
      </c>
      <c r="E623" s="150" t="s">
        <v>1204</v>
      </c>
      <c r="F623" s="150">
        <v>33</v>
      </c>
      <c r="G623" s="150" t="s">
        <v>1051</v>
      </c>
      <c r="H623" s="150">
        <v>21422</v>
      </c>
      <c r="I623" s="150">
        <v>2225428</v>
      </c>
      <c r="J623" s="150" t="s">
        <v>1203</v>
      </c>
      <c r="K623" s="150">
        <v>473</v>
      </c>
      <c r="L623" s="150">
        <v>683</v>
      </c>
      <c r="M623" s="150">
        <v>153.97000000000003</v>
      </c>
      <c r="N623" s="150">
        <v>0</v>
      </c>
      <c r="O623" s="150">
        <v>42500</v>
      </c>
      <c r="P623" s="150">
        <v>35000</v>
      </c>
      <c r="Q623" s="150">
        <v>34999.97</v>
      </c>
      <c r="R623" s="150">
        <v>42500</v>
      </c>
    </row>
    <row r="624" spans="1:18" x14ac:dyDescent="0.25">
      <c r="A624" t="str">
        <f t="shared" si="9"/>
        <v>25-4-123</v>
      </c>
      <c r="B624">
        <v>25</v>
      </c>
      <c r="C624" s="150" t="s">
        <v>1177</v>
      </c>
      <c r="D624" s="150">
        <v>4</v>
      </c>
      <c r="E624" s="150" t="s">
        <v>146</v>
      </c>
      <c r="F624" s="150">
        <v>123</v>
      </c>
      <c r="G624" s="150" t="s">
        <v>976</v>
      </c>
      <c r="H624" s="150">
        <v>0</v>
      </c>
      <c r="I624" s="150">
        <v>2148775</v>
      </c>
      <c r="J624" s="150">
        <v>1</v>
      </c>
      <c r="K624" s="150">
        <v>2308</v>
      </c>
      <c r="L624" s="150">
        <v>3869</v>
      </c>
      <c r="M624" s="150">
        <v>11.07</v>
      </c>
      <c r="N624" s="150">
        <v>0</v>
      </c>
      <c r="O624" s="150">
        <v>11681</v>
      </c>
      <c r="P624" s="150">
        <v>12126</v>
      </c>
      <c r="Q624" s="150">
        <v>12547</v>
      </c>
      <c r="R624" s="150">
        <v>12547</v>
      </c>
    </row>
    <row r="625" spans="1:18" x14ac:dyDescent="0.25">
      <c r="A625" t="str">
        <f t="shared" si="9"/>
        <v>31-4-123</v>
      </c>
      <c r="B625">
        <v>31</v>
      </c>
      <c r="C625" s="150" t="s">
        <v>1183</v>
      </c>
      <c r="D625" s="150">
        <v>4</v>
      </c>
      <c r="E625" s="150" t="s">
        <v>146</v>
      </c>
      <c r="F625" s="150">
        <v>123</v>
      </c>
      <c r="G625" s="150" t="s">
        <v>976</v>
      </c>
      <c r="H625" s="150">
        <v>0</v>
      </c>
      <c r="I625" s="150">
        <v>1590171</v>
      </c>
      <c r="J625" s="150">
        <v>1</v>
      </c>
      <c r="K625" s="150">
        <v>2308</v>
      </c>
      <c r="L625" s="150">
        <v>3869</v>
      </c>
      <c r="M625" s="150">
        <v>11.07</v>
      </c>
      <c r="N625" s="150">
        <v>0</v>
      </c>
      <c r="O625" s="150">
        <v>11681</v>
      </c>
      <c r="P625" s="150">
        <v>12126</v>
      </c>
      <c r="Q625" s="150">
        <v>12547</v>
      </c>
      <c r="R625" s="150">
        <v>12547</v>
      </c>
    </row>
    <row r="626" spans="1:18" x14ac:dyDescent="0.25">
      <c r="A626" t="str">
        <f t="shared" si="9"/>
        <v>28-4-159</v>
      </c>
      <c r="B626">
        <v>28</v>
      </c>
      <c r="C626" s="150" t="s">
        <v>1180</v>
      </c>
      <c r="D626" s="150">
        <v>4</v>
      </c>
      <c r="E626" s="150" t="s">
        <v>146</v>
      </c>
      <c r="F626" s="150">
        <v>159</v>
      </c>
      <c r="G626" s="150" t="s">
        <v>1009</v>
      </c>
      <c r="H626" s="150">
        <v>0</v>
      </c>
      <c r="I626" s="150">
        <v>24209515</v>
      </c>
      <c r="J626" s="150">
        <v>1</v>
      </c>
      <c r="K626" s="150">
        <v>1760</v>
      </c>
      <c r="L626" s="150">
        <v>59701</v>
      </c>
      <c r="M626" s="150">
        <v>10609.68</v>
      </c>
      <c r="N626" s="150">
        <v>0</v>
      </c>
      <c r="O626" s="150">
        <v>48148</v>
      </c>
      <c r="P626" s="150">
        <v>49802</v>
      </c>
      <c r="Q626" s="150">
        <v>51703</v>
      </c>
      <c r="R626" s="150">
        <v>51703</v>
      </c>
    </row>
    <row r="627" spans="1:18" x14ac:dyDescent="0.25">
      <c r="A627" t="str">
        <f t="shared" si="9"/>
        <v>40-4-159</v>
      </c>
      <c r="B627">
        <v>40</v>
      </c>
      <c r="C627" s="150" t="s">
        <v>1190</v>
      </c>
      <c r="D627" s="150">
        <v>4</v>
      </c>
      <c r="E627" s="150" t="s">
        <v>146</v>
      </c>
      <c r="F627" s="150">
        <v>159</v>
      </c>
      <c r="G627" s="150" t="s">
        <v>1009</v>
      </c>
      <c r="H627" s="150">
        <v>0</v>
      </c>
      <c r="I627" s="150">
        <v>39174666</v>
      </c>
      <c r="J627" s="150">
        <v>1</v>
      </c>
      <c r="K627" s="150">
        <v>1760</v>
      </c>
      <c r="L627" s="150">
        <v>59701</v>
      </c>
      <c r="M627" s="150">
        <v>10609.68</v>
      </c>
      <c r="N627" s="150">
        <v>0</v>
      </c>
      <c r="O627" s="150">
        <v>48148</v>
      </c>
      <c r="P627" s="150">
        <v>49802</v>
      </c>
      <c r="Q627" s="150">
        <v>51703</v>
      </c>
      <c r="R627" s="150">
        <v>51703</v>
      </c>
    </row>
    <row r="628" spans="1:18" x14ac:dyDescent="0.25">
      <c r="A628" t="str">
        <f t="shared" si="9"/>
        <v>18-4-113</v>
      </c>
      <c r="B628">
        <v>18</v>
      </c>
      <c r="C628" s="150" t="s">
        <v>1170</v>
      </c>
      <c r="D628" s="150">
        <v>4</v>
      </c>
      <c r="E628" s="150" t="s">
        <v>146</v>
      </c>
      <c r="F628" s="150">
        <v>113</v>
      </c>
      <c r="G628" s="150" t="s">
        <v>892</v>
      </c>
      <c r="H628" s="150">
        <v>0</v>
      </c>
      <c r="I628" s="150">
        <v>179575</v>
      </c>
      <c r="J628" s="150">
        <v>1</v>
      </c>
      <c r="K628" s="150">
        <v>21284</v>
      </c>
      <c r="L628" s="150">
        <v>15381</v>
      </c>
      <c r="M628" s="150">
        <v>2561.88</v>
      </c>
      <c r="N628" s="150">
        <v>0</v>
      </c>
      <c r="O628" s="150">
        <v>26884</v>
      </c>
      <c r="P628" s="150">
        <v>27903</v>
      </c>
      <c r="Q628" s="150">
        <v>29164</v>
      </c>
      <c r="R628" s="150">
        <v>29164</v>
      </c>
    </row>
    <row r="629" spans="1:18" x14ac:dyDescent="0.25">
      <c r="A629" t="str">
        <f t="shared" si="9"/>
        <v>29-4-113</v>
      </c>
      <c r="B629">
        <v>29</v>
      </c>
      <c r="C629" s="150" t="s">
        <v>1181</v>
      </c>
      <c r="D629" s="150">
        <v>4</v>
      </c>
      <c r="E629" s="150" t="s">
        <v>146</v>
      </c>
      <c r="F629" s="150">
        <v>113</v>
      </c>
      <c r="G629" s="150" t="s">
        <v>892</v>
      </c>
      <c r="H629" s="150">
        <v>0</v>
      </c>
      <c r="I629" s="150">
        <v>4673419</v>
      </c>
      <c r="J629" s="150">
        <v>1</v>
      </c>
      <c r="K629" s="150">
        <v>21284</v>
      </c>
      <c r="L629" s="150">
        <v>15381</v>
      </c>
      <c r="M629" s="150">
        <v>2561.88</v>
      </c>
      <c r="N629" s="150">
        <v>0</v>
      </c>
      <c r="O629" s="150">
        <v>26884</v>
      </c>
      <c r="P629" s="150">
        <v>27903</v>
      </c>
      <c r="Q629" s="150">
        <v>29164</v>
      </c>
      <c r="R629" s="150">
        <v>29164</v>
      </c>
    </row>
    <row r="630" spans="1:18" x14ac:dyDescent="0.25">
      <c r="A630" t="str">
        <f t="shared" si="9"/>
        <v>35-4-113</v>
      </c>
      <c r="B630">
        <v>35</v>
      </c>
      <c r="C630" s="150" t="s">
        <v>1195</v>
      </c>
      <c r="D630" s="150">
        <v>4</v>
      </c>
      <c r="E630" s="150" t="s">
        <v>146</v>
      </c>
      <c r="F630" s="150">
        <v>113</v>
      </c>
      <c r="G630" s="150" t="s">
        <v>892</v>
      </c>
      <c r="H630" s="150">
        <v>0</v>
      </c>
      <c r="I630" s="150">
        <v>1311836</v>
      </c>
      <c r="J630" s="150">
        <v>1</v>
      </c>
      <c r="K630" s="150">
        <v>21284</v>
      </c>
      <c r="L630" s="150">
        <v>15381</v>
      </c>
      <c r="M630" s="150">
        <v>2561.88</v>
      </c>
      <c r="N630" s="150">
        <v>0</v>
      </c>
      <c r="O630" s="150">
        <v>26884</v>
      </c>
      <c r="P630" s="150">
        <v>27903</v>
      </c>
      <c r="Q630" s="150">
        <v>29164</v>
      </c>
      <c r="R630" s="150">
        <v>29164</v>
      </c>
    </row>
    <row r="631" spans="1:18" x14ac:dyDescent="0.25">
      <c r="A631" t="str">
        <f t="shared" si="9"/>
        <v>7-7-70</v>
      </c>
      <c r="B631">
        <v>7</v>
      </c>
      <c r="C631" s="150" t="s">
        <v>1199</v>
      </c>
      <c r="D631" s="150">
        <v>7</v>
      </c>
      <c r="E631" s="150" t="s">
        <v>681</v>
      </c>
      <c r="F631" s="150">
        <v>70</v>
      </c>
      <c r="G631" s="150" t="s">
        <v>249</v>
      </c>
      <c r="H631" s="150">
        <v>9</v>
      </c>
      <c r="I631" s="150">
        <v>10760131</v>
      </c>
      <c r="J631" s="150" t="s">
        <v>1203</v>
      </c>
      <c r="K631" s="150">
        <v>0</v>
      </c>
      <c r="L631" s="150">
        <v>107</v>
      </c>
      <c r="M631" s="150">
        <v>18.760000000000002</v>
      </c>
      <c r="N631" s="150">
        <v>0</v>
      </c>
      <c r="O631" s="150">
        <v>69734</v>
      </c>
      <c r="P631" s="150">
        <v>72145</v>
      </c>
      <c r="Q631" s="150">
        <v>74736.87999999999</v>
      </c>
      <c r="R631" s="150">
        <v>74736.759999999995</v>
      </c>
    </row>
    <row r="632" spans="1:18" x14ac:dyDescent="0.25">
      <c r="A632" t="str">
        <f t="shared" si="9"/>
        <v>25-7-71</v>
      </c>
      <c r="B632">
        <v>25</v>
      </c>
      <c r="C632" s="150" t="s">
        <v>1177</v>
      </c>
      <c r="D632" s="150">
        <v>7</v>
      </c>
      <c r="E632" s="150" t="s">
        <v>681</v>
      </c>
      <c r="F632" s="150">
        <v>71</v>
      </c>
      <c r="G632" s="150" t="s">
        <v>464</v>
      </c>
      <c r="H632" s="150">
        <v>0</v>
      </c>
      <c r="I632" s="150">
        <v>160169</v>
      </c>
      <c r="J632" s="150" t="s">
        <v>1203</v>
      </c>
      <c r="K632" s="150">
        <v>83</v>
      </c>
      <c r="L632" s="150">
        <v>44</v>
      </c>
      <c r="M632" s="150">
        <v>3.9499999999999997</v>
      </c>
      <c r="N632" s="150">
        <v>0</v>
      </c>
      <c r="O632" s="150">
        <v>1873</v>
      </c>
      <c r="P632" s="150">
        <v>1929</v>
      </c>
      <c r="Q632" s="150">
        <v>1988.95</v>
      </c>
      <c r="R632" s="150">
        <v>1988.95</v>
      </c>
    </row>
    <row r="633" spans="1:18" x14ac:dyDescent="0.25">
      <c r="A633" t="str">
        <f t="shared" si="9"/>
        <v>25-11-34</v>
      </c>
      <c r="B633">
        <v>25</v>
      </c>
      <c r="C633" s="150" t="s">
        <v>1177</v>
      </c>
      <c r="D633" s="150">
        <v>11</v>
      </c>
      <c r="E633" s="150" t="s">
        <v>1204</v>
      </c>
      <c r="F633" s="150">
        <v>34</v>
      </c>
      <c r="G633" s="150" t="s">
        <v>979</v>
      </c>
      <c r="H633" s="150">
        <v>900</v>
      </c>
      <c r="I633" s="150">
        <v>810045</v>
      </c>
      <c r="J633" s="150" t="s">
        <v>1203</v>
      </c>
      <c r="K633" s="150">
        <v>782</v>
      </c>
      <c r="L633" s="150">
        <v>449</v>
      </c>
      <c r="M633" s="150">
        <v>34.940000000000005</v>
      </c>
      <c r="N633" s="150">
        <v>0</v>
      </c>
      <c r="O633" s="150">
        <v>12253</v>
      </c>
      <c r="P633" s="150">
        <v>12253</v>
      </c>
      <c r="Q633" s="150">
        <v>16313.94</v>
      </c>
      <c r="R633" s="150">
        <v>16313.94</v>
      </c>
    </row>
    <row r="634" spans="1:18" x14ac:dyDescent="0.25">
      <c r="A634" t="str">
        <f t="shared" si="9"/>
        <v>28-19-10</v>
      </c>
      <c r="B634">
        <v>28</v>
      </c>
      <c r="C634" s="150" t="s">
        <v>1180</v>
      </c>
      <c r="D634" s="150">
        <v>19</v>
      </c>
      <c r="E634" s="150" t="s">
        <v>1205</v>
      </c>
      <c r="F634" s="150">
        <v>10</v>
      </c>
      <c r="G634" s="150" t="s">
        <v>1018</v>
      </c>
      <c r="H634" s="150">
        <v>1262</v>
      </c>
      <c r="I634" s="150">
        <v>352132</v>
      </c>
      <c r="J634" s="150" t="s">
        <v>1203</v>
      </c>
      <c r="K634" s="150">
        <v>0</v>
      </c>
      <c r="L634" s="150">
        <v>17</v>
      </c>
      <c r="M634" s="150">
        <v>0.37</v>
      </c>
      <c r="N634" s="150">
        <v>0</v>
      </c>
      <c r="O634" s="150">
        <v>46548</v>
      </c>
      <c r="P634" s="150">
        <v>47667</v>
      </c>
      <c r="Q634" s="150">
        <v>49097.37</v>
      </c>
      <c r="R634" s="150">
        <v>49097.37</v>
      </c>
    </row>
    <row r="635" spans="1:18" x14ac:dyDescent="0.25">
      <c r="A635" t="str">
        <f t="shared" si="9"/>
        <v>25-11-35</v>
      </c>
      <c r="B635">
        <v>25</v>
      </c>
      <c r="C635" s="150" t="s">
        <v>1177</v>
      </c>
      <c r="D635" s="150">
        <v>11</v>
      </c>
      <c r="E635" s="150" t="s">
        <v>1204</v>
      </c>
      <c r="F635" s="150">
        <v>35</v>
      </c>
      <c r="G635" s="150" t="s">
        <v>980</v>
      </c>
      <c r="H635" s="150">
        <v>330</v>
      </c>
      <c r="I635" s="150">
        <v>2581113</v>
      </c>
      <c r="J635" s="150" t="s">
        <v>1203</v>
      </c>
      <c r="K635" s="150">
        <v>33</v>
      </c>
      <c r="L635" s="150">
        <v>91</v>
      </c>
      <c r="M635" s="150">
        <v>3.62</v>
      </c>
      <c r="N635" s="150">
        <v>0</v>
      </c>
      <c r="O635" s="150">
        <v>9043</v>
      </c>
      <c r="P635" s="150">
        <v>9376</v>
      </c>
      <c r="Q635" s="150">
        <v>9721.6200000000008</v>
      </c>
      <c r="R635" s="150">
        <v>9721.6200000000008</v>
      </c>
    </row>
    <row r="636" spans="1:18" x14ac:dyDescent="0.25">
      <c r="A636" t="str">
        <f t="shared" si="9"/>
        <v>32-11-36</v>
      </c>
      <c r="B636">
        <v>32</v>
      </c>
      <c r="C636" s="150" t="s">
        <v>1184</v>
      </c>
      <c r="D636" s="150">
        <v>11</v>
      </c>
      <c r="E636" s="150" t="s">
        <v>1204</v>
      </c>
      <c r="F636" s="150">
        <v>36</v>
      </c>
      <c r="G636" s="150" t="s">
        <v>564</v>
      </c>
      <c r="H636" s="150">
        <v>1133</v>
      </c>
      <c r="I636" s="150">
        <v>37637350</v>
      </c>
      <c r="J636" s="150" t="s">
        <v>1203</v>
      </c>
      <c r="K636" s="150">
        <v>2046</v>
      </c>
      <c r="L636" s="150">
        <v>1156</v>
      </c>
      <c r="M636" s="150">
        <v>455.77</v>
      </c>
      <c r="N636" s="150">
        <v>0</v>
      </c>
      <c r="O636" s="150">
        <v>67248</v>
      </c>
      <c r="P636" s="150">
        <v>67996</v>
      </c>
      <c r="Q636" s="150">
        <v>72304.77</v>
      </c>
      <c r="R636" s="150">
        <v>72304.77</v>
      </c>
    </row>
    <row r="637" spans="1:18" x14ac:dyDescent="0.25">
      <c r="A637" t="str">
        <f t="shared" si="9"/>
        <v>42-4-169</v>
      </c>
      <c r="B637">
        <v>42</v>
      </c>
      <c r="C637" s="150" t="s">
        <v>1194</v>
      </c>
      <c r="D637" s="150">
        <v>4</v>
      </c>
      <c r="E637" s="150" t="s">
        <v>146</v>
      </c>
      <c r="F637" s="150">
        <v>169</v>
      </c>
      <c r="G637" s="150" t="s">
        <v>1125</v>
      </c>
      <c r="H637" s="150">
        <v>0</v>
      </c>
      <c r="I637" s="150">
        <v>15025256</v>
      </c>
      <c r="J637" s="150" t="s">
        <v>1203</v>
      </c>
      <c r="K637" s="150">
        <v>14727</v>
      </c>
      <c r="L637" s="150">
        <v>11855</v>
      </c>
      <c r="M637" s="150">
        <v>3375.96</v>
      </c>
      <c r="N637" s="150">
        <v>0</v>
      </c>
      <c r="O637" s="150">
        <v>71914</v>
      </c>
      <c r="P637" s="150">
        <v>76582</v>
      </c>
      <c r="Q637" s="150">
        <v>82102</v>
      </c>
      <c r="R637" s="150">
        <v>82102</v>
      </c>
    </row>
    <row r="638" spans="1:18" x14ac:dyDescent="0.25">
      <c r="A638" t="str">
        <f t="shared" si="9"/>
        <v>20-9-104</v>
      </c>
      <c r="B638">
        <v>20</v>
      </c>
      <c r="C638" s="150" t="s">
        <v>1172</v>
      </c>
      <c r="D638" s="150">
        <v>9</v>
      </c>
      <c r="E638" s="150" t="s">
        <v>683</v>
      </c>
      <c r="F638" s="150">
        <v>104</v>
      </c>
      <c r="G638" s="150" t="s">
        <v>933</v>
      </c>
      <c r="H638" s="150">
        <v>0</v>
      </c>
      <c r="I638" s="150">
        <v>0</v>
      </c>
      <c r="J638" s="150" t="s">
        <v>1203</v>
      </c>
      <c r="K638" s="150">
        <v>6655</v>
      </c>
      <c r="L638" s="150">
        <v>514</v>
      </c>
      <c r="M638" s="150">
        <v>0.24</v>
      </c>
      <c r="N638" s="150">
        <v>0</v>
      </c>
      <c r="O638" s="150">
        <v>80447</v>
      </c>
      <c r="P638" s="150">
        <v>83383</v>
      </c>
      <c r="Q638" s="150">
        <v>86708.24</v>
      </c>
      <c r="R638" s="150">
        <v>86708.24</v>
      </c>
    </row>
    <row r="639" spans="1:18" x14ac:dyDescent="0.25">
      <c r="A639" t="str">
        <f t="shared" si="9"/>
        <v>28-19-11</v>
      </c>
      <c r="B639">
        <v>28</v>
      </c>
      <c r="C639" s="150" t="s">
        <v>1180</v>
      </c>
      <c r="D639" s="150">
        <v>19</v>
      </c>
      <c r="E639" s="150" t="s">
        <v>1205</v>
      </c>
      <c r="F639" s="150">
        <v>11</v>
      </c>
      <c r="G639" s="150" t="s">
        <v>521</v>
      </c>
      <c r="H639" s="150">
        <v>252</v>
      </c>
      <c r="I639" s="150">
        <v>448932</v>
      </c>
      <c r="J639" s="150">
        <v>1</v>
      </c>
      <c r="K639" s="150">
        <v>0</v>
      </c>
      <c r="L639" s="150">
        <v>304</v>
      </c>
      <c r="M639" s="150">
        <v>31.61</v>
      </c>
      <c r="N639" s="150">
        <v>0</v>
      </c>
      <c r="O639" s="150">
        <v>34445</v>
      </c>
      <c r="P639" s="150">
        <v>35600</v>
      </c>
      <c r="Q639" s="150">
        <v>36773.61</v>
      </c>
      <c r="R639" s="150">
        <v>36773.61</v>
      </c>
    </row>
    <row r="640" spans="1:18" x14ac:dyDescent="0.25">
      <c r="A640" t="str">
        <f t="shared" si="9"/>
        <v>40-19-11</v>
      </c>
      <c r="B640">
        <v>40</v>
      </c>
      <c r="C640" s="150" t="s">
        <v>1190</v>
      </c>
      <c r="D640" s="150">
        <v>19</v>
      </c>
      <c r="E640" s="150" t="s">
        <v>1205</v>
      </c>
      <c r="F640" s="150">
        <v>11</v>
      </c>
      <c r="G640" s="150" t="s">
        <v>521</v>
      </c>
      <c r="H640" s="150">
        <v>252</v>
      </c>
      <c r="I640" s="150">
        <v>5283547</v>
      </c>
      <c r="J640" s="150">
        <v>1</v>
      </c>
      <c r="K640" s="150">
        <v>0</v>
      </c>
      <c r="L640" s="150">
        <v>304</v>
      </c>
      <c r="M640" s="150">
        <v>31.61</v>
      </c>
      <c r="N640" s="150">
        <v>0</v>
      </c>
      <c r="O640" s="150">
        <v>34445</v>
      </c>
      <c r="P640" s="150">
        <v>35600</v>
      </c>
      <c r="Q640" s="150">
        <v>36773.61</v>
      </c>
      <c r="R640" s="150">
        <v>36773.61</v>
      </c>
    </row>
    <row r="641" spans="1:18" x14ac:dyDescent="0.25">
      <c r="A641" t="str">
        <f t="shared" si="9"/>
        <v>40-21-4</v>
      </c>
      <c r="B641">
        <v>40</v>
      </c>
      <c r="C641" s="150" t="s">
        <v>1190</v>
      </c>
      <c r="D641" s="150">
        <v>21</v>
      </c>
      <c r="E641" s="150" t="s">
        <v>690</v>
      </c>
      <c r="F641" s="150">
        <v>4</v>
      </c>
      <c r="G641" s="150" t="s">
        <v>1115</v>
      </c>
      <c r="H641" s="150">
        <v>0</v>
      </c>
      <c r="I641" s="150">
        <v>1826263</v>
      </c>
      <c r="J641" s="150" t="s">
        <v>1203</v>
      </c>
      <c r="K641" s="150">
        <v>0</v>
      </c>
      <c r="L641" s="150">
        <v>126</v>
      </c>
      <c r="M641" s="150">
        <v>8.2899999999999991</v>
      </c>
      <c r="N641" s="150">
        <v>0</v>
      </c>
      <c r="O641" s="150">
        <v>7756</v>
      </c>
      <c r="P641" s="150">
        <v>7990</v>
      </c>
      <c r="Q641" s="150">
        <v>8262.2900000000009</v>
      </c>
      <c r="R641" s="150">
        <v>8262.2900000000009</v>
      </c>
    </row>
    <row r="642" spans="1:18" x14ac:dyDescent="0.25">
      <c r="A642" t="str">
        <f t="shared" si="9"/>
        <v>28-5-6</v>
      </c>
      <c r="B642">
        <v>28</v>
      </c>
      <c r="C642" s="150" t="s">
        <v>1180</v>
      </c>
      <c r="D642" s="150">
        <v>5</v>
      </c>
      <c r="E642" s="150" t="s">
        <v>286</v>
      </c>
      <c r="F642" s="150">
        <v>6</v>
      </c>
      <c r="G642" s="150" t="s">
        <v>1010</v>
      </c>
      <c r="H642" s="150">
        <v>180647</v>
      </c>
      <c r="I642" s="150">
        <v>669681973</v>
      </c>
      <c r="J642" s="150" t="s">
        <v>1203</v>
      </c>
      <c r="K642" s="150">
        <v>1237</v>
      </c>
      <c r="L642" s="150">
        <v>19546</v>
      </c>
      <c r="M642" s="150">
        <v>3145.98</v>
      </c>
      <c r="N642" s="150">
        <v>0</v>
      </c>
      <c r="O642" s="150">
        <v>3102421</v>
      </c>
      <c r="P642" s="150">
        <v>3288131</v>
      </c>
      <c r="Q642" s="150">
        <v>3478700.98</v>
      </c>
      <c r="R642" s="150">
        <v>3478700.98</v>
      </c>
    </row>
    <row r="643" spans="1:18" x14ac:dyDescent="0.25">
      <c r="A643" t="str">
        <f t="shared" si="9"/>
        <v>28-2-28</v>
      </c>
      <c r="B643">
        <v>28</v>
      </c>
      <c r="C643" s="150" t="s">
        <v>1180</v>
      </c>
      <c r="D643" s="150">
        <v>2</v>
      </c>
      <c r="E643" s="150" t="s">
        <v>110</v>
      </c>
      <c r="F643" s="150">
        <v>28</v>
      </c>
      <c r="G643" s="150" t="s">
        <v>495</v>
      </c>
      <c r="H643" s="150">
        <v>11441505</v>
      </c>
      <c r="I643" s="150">
        <v>669681973</v>
      </c>
      <c r="J643" s="150" t="s">
        <v>1203</v>
      </c>
      <c r="K643" s="150">
        <v>38602</v>
      </c>
      <c r="L643" s="150">
        <v>374838</v>
      </c>
      <c r="M643" s="150">
        <v>54104.02</v>
      </c>
      <c r="N643" s="150">
        <v>0</v>
      </c>
      <c r="O643" s="150">
        <v>49984020</v>
      </c>
      <c r="P643" s="150">
        <v>56604936</v>
      </c>
      <c r="Q643" s="150">
        <v>59885548.020000003</v>
      </c>
      <c r="R643" s="150">
        <v>59885548.020000003</v>
      </c>
    </row>
    <row r="644" spans="1:18" x14ac:dyDescent="0.25">
      <c r="A644" t="str">
        <f t="shared" si="9"/>
        <v>28-9-172</v>
      </c>
      <c r="B644">
        <v>28</v>
      </c>
      <c r="C644" s="150" t="s">
        <v>1180</v>
      </c>
      <c r="D644" s="150">
        <v>9</v>
      </c>
      <c r="E644" s="150" t="s">
        <v>683</v>
      </c>
      <c r="F644" s="150">
        <v>172</v>
      </c>
      <c r="G644" s="150" t="s">
        <v>1013</v>
      </c>
      <c r="H644" s="150">
        <v>239352</v>
      </c>
      <c r="I644" s="150">
        <v>75717702</v>
      </c>
      <c r="J644" s="150" t="s">
        <v>1203</v>
      </c>
      <c r="K644" s="150">
        <v>3567</v>
      </c>
      <c r="L644" s="150">
        <v>58934</v>
      </c>
      <c r="M644" s="150">
        <v>10120.470000000001</v>
      </c>
      <c r="N644" s="150">
        <v>0</v>
      </c>
      <c r="O644" s="150">
        <v>10431830</v>
      </c>
      <c r="P644" s="150">
        <v>11018504</v>
      </c>
      <c r="Q644" s="150">
        <v>11965545.470000001</v>
      </c>
      <c r="R644" s="150">
        <v>11965545.470000001</v>
      </c>
    </row>
    <row r="645" spans="1:18" x14ac:dyDescent="0.25">
      <c r="A645" t="str">
        <f t="shared" si="9"/>
        <v>28-12-3</v>
      </c>
      <c r="B645">
        <v>28</v>
      </c>
      <c r="C645" s="150" t="s">
        <v>1180</v>
      </c>
      <c r="D645" s="150">
        <v>12</v>
      </c>
      <c r="E645" s="150" t="s">
        <v>151</v>
      </c>
      <c r="F645" s="150">
        <v>3</v>
      </c>
      <c r="G645" s="150" t="s">
        <v>1280</v>
      </c>
      <c r="H645" s="150">
        <v>61391</v>
      </c>
      <c r="I645" s="150">
        <v>669681973</v>
      </c>
      <c r="J645" s="150"/>
      <c r="K645" s="150">
        <v>0</v>
      </c>
      <c r="L645" s="150">
        <v>0</v>
      </c>
      <c r="M645" s="150">
        <v>0</v>
      </c>
      <c r="N645" s="150">
        <v>0</v>
      </c>
      <c r="O645" s="150">
        <v>0</v>
      </c>
      <c r="P645" s="150">
        <v>0</v>
      </c>
      <c r="Q645" s="150">
        <v>0</v>
      </c>
      <c r="R645" s="150">
        <v>0</v>
      </c>
    </row>
    <row r="646" spans="1:18" x14ac:dyDescent="0.25">
      <c r="A646" t="str">
        <f t="shared" ref="A646:A709" si="10">B646&amp;"-"&amp;D646&amp;"-"&amp;F646</f>
        <v>9-19-41</v>
      </c>
      <c r="B646">
        <v>9</v>
      </c>
      <c r="C646" s="150" t="s">
        <v>1161</v>
      </c>
      <c r="D646" s="150">
        <v>19</v>
      </c>
      <c r="E646" s="150" t="s">
        <v>1205</v>
      </c>
      <c r="F646" s="150">
        <v>41</v>
      </c>
      <c r="G646" s="150" t="s">
        <v>822</v>
      </c>
      <c r="H646" s="150">
        <v>576</v>
      </c>
      <c r="I646" s="150">
        <v>18458324</v>
      </c>
      <c r="J646" s="150" t="s">
        <v>1203</v>
      </c>
      <c r="K646" s="150">
        <v>0</v>
      </c>
      <c r="L646" s="150">
        <v>0</v>
      </c>
      <c r="M646" s="150">
        <v>30.38</v>
      </c>
      <c r="N646" s="150">
        <v>0</v>
      </c>
      <c r="O646" s="150">
        <v>4370</v>
      </c>
      <c r="P646" s="150">
        <v>4502</v>
      </c>
      <c r="Q646" s="150">
        <v>4634.5600000000004</v>
      </c>
      <c r="R646" s="150">
        <v>4634.38</v>
      </c>
    </row>
    <row r="647" spans="1:18" x14ac:dyDescent="0.25">
      <c r="A647" t="str">
        <f t="shared" si="10"/>
        <v>5-4-108</v>
      </c>
      <c r="B647">
        <v>5</v>
      </c>
      <c r="C647" s="150" t="s">
        <v>1158</v>
      </c>
      <c r="D647" s="150">
        <v>4</v>
      </c>
      <c r="E647" s="150" t="s">
        <v>146</v>
      </c>
      <c r="F647" s="150">
        <v>108</v>
      </c>
      <c r="G647" s="150" t="s">
        <v>762</v>
      </c>
      <c r="H647" s="150">
        <v>0</v>
      </c>
      <c r="I647" s="150">
        <v>145171</v>
      </c>
      <c r="J647" s="150">
        <v>1</v>
      </c>
      <c r="K647" s="150">
        <v>0</v>
      </c>
      <c r="L647" s="150">
        <v>4126</v>
      </c>
      <c r="M647" s="150">
        <v>108.9</v>
      </c>
      <c r="N647" s="150">
        <v>0</v>
      </c>
      <c r="O647" s="150">
        <v>19690</v>
      </c>
      <c r="P647" s="150">
        <v>19690</v>
      </c>
      <c r="Q647" s="150">
        <v>19690</v>
      </c>
      <c r="R647" s="150">
        <v>19690</v>
      </c>
    </row>
    <row r="648" spans="1:18" x14ac:dyDescent="0.25">
      <c r="A648" t="str">
        <f t="shared" si="10"/>
        <v>28-4-108</v>
      </c>
      <c r="B648">
        <v>28</v>
      </c>
      <c r="C648" s="150" t="s">
        <v>1180</v>
      </c>
      <c r="D648" s="150">
        <v>4</v>
      </c>
      <c r="E648" s="150" t="s">
        <v>146</v>
      </c>
      <c r="F648" s="150">
        <v>108</v>
      </c>
      <c r="G648" s="150" t="s">
        <v>762</v>
      </c>
      <c r="H648" s="150">
        <v>0</v>
      </c>
      <c r="I648" s="150">
        <v>25138068</v>
      </c>
      <c r="J648" s="150">
        <v>1</v>
      </c>
      <c r="K648" s="150">
        <v>0</v>
      </c>
      <c r="L648" s="150">
        <v>4126</v>
      </c>
      <c r="M648" s="150">
        <v>108.9</v>
      </c>
      <c r="N648" s="150">
        <v>0</v>
      </c>
      <c r="O648" s="150">
        <v>19690</v>
      </c>
      <c r="P648" s="150">
        <v>19690</v>
      </c>
      <c r="Q648" s="150">
        <v>19690</v>
      </c>
      <c r="R648" s="150">
        <v>19690</v>
      </c>
    </row>
    <row r="649" spans="1:18" x14ac:dyDescent="0.25">
      <c r="A649" t="str">
        <f t="shared" si="10"/>
        <v>28-21-5</v>
      </c>
      <c r="B649">
        <v>28</v>
      </c>
      <c r="C649" s="150" t="s">
        <v>1180</v>
      </c>
      <c r="D649" s="150">
        <v>21</v>
      </c>
      <c r="E649" s="150" t="s">
        <v>690</v>
      </c>
      <c r="F649" s="150">
        <v>5</v>
      </c>
      <c r="G649" s="150" t="s">
        <v>523</v>
      </c>
      <c r="H649" s="150">
        <v>12397</v>
      </c>
      <c r="I649" s="150">
        <v>3603763</v>
      </c>
      <c r="J649" s="150" t="s">
        <v>1203</v>
      </c>
      <c r="K649" s="150">
        <v>1</v>
      </c>
      <c r="L649" s="150">
        <v>452</v>
      </c>
      <c r="M649" s="150">
        <v>6.31</v>
      </c>
      <c r="N649" s="150">
        <v>0</v>
      </c>
      <c r="O649" s="150">
        <v>147098</v>
      </c>
      <c r="P649" s="150">
        <v>155039</v>
      </c>
      <c r="Q649" s="150">
        <v>163647.31</v>
      </c>
      <c r="R649" s="150">
        <v>163647.31</v>
      </c>
    </row>
    <row r="650" spans="1:18" x14ac:dyDescent="0.25">
      <c r="A650" t="str">
        <f t="shared" si="10"/>
        <v>1-7-72</v>
      </c>
      <c r="B650">
        <v>1</v>
      </c>
      <c r="C650" s="150" t="s">
        <v>1155</v>
      </c>
      <c r="D650" s="150">
        <v>7</v>
      </c>
      <c r="E650" s="150" t="s">
        <v>681</v>
      </c>
      <c r="F650" s="150">
        <v>72</v>
      </c>
      <c r="G650" s="150" t="s">
        <v>170</v>
      </c>
      <c r="H650" s="150">
        <v>0</v>
      </c>
      <c r="I650" s="150">
        <v>78610672</v>
      </c>
      <c r="J650" s="150">
        <v>1</v>
      </c>
      <c r="K650" s="150">
        <v>504</v>
      </c>
      <c r="L650" s="150">
        <v>971</v>
      </c>
      <c r="M650" s="150">
        <v>189.06</v>
      </c>
      <c r="N650" s="150">
        <v>2942</v>
      </c>
      <c r="O650" s="150">
        <v>235555</v>
      </c>
      <c r="P650" s="150">
        <v>247590</v>
      </c>
      <c r="Q650" s="150">
        <v>257638.06</v>
      </c>
      <c r="R650" s="150">
        <v>257638.06</v>
      </c>
    </row>
    <row r="651" spans="1:18" x14ac:dyDescent="0.25">
      <c r="A651" t="str">
        <f t="shared" si="10"/>
        <v>14-7-72</v>
      </c>
      <c r="B651">
        <v>14</v>
      </c>
      <c r="C651" s="150" t="s">
        <v>1166</v>
      </c>
      <c r="D651" s="150">
        <v>7</v>
      </c>
      <c r="E651" s="150" t="s">
        <v>681</v>
      </c>
      <c r="F651" s="150">
        <v>72</v>
      </c>
      <c r="G651" s="150" t="s">
        <v>170</v>
      </c>
      <c r="H651" s="150">
        <v>0</v>
      </c>
      <c r="I651" s="150">
        <v>11491161</v>
      </c>
      <c r="J651" s="150">
        <v>1</v>
      </c>
      <c r="K651" s="150">
        <v>504</v>
      </c>
      <c r="L651" s="150">
        <v>971</v>
      </c>
      <c r="M651" s="150">
        <v>189.06</v>
      </c>
      <c r="N651" s="150">
        <v>2942</v>
      </c>
      <c r="O651" s="150">
        <v>235555</v>
      </c>
      <c r="P651" s="150">
        <v>247590</v>
      </c>
      <c r="Q651" s="150">
        <v>257638.06</v>
      </c>
      <c r="R651" s="150">
        <v>257638.06</v>
      </c>
    </row>
    <row r="652" spans="1:18" x14ac:dyDescent="0.25">
      <c r="A652" t="str">
        <f t="shared" si="10"/>
        <v>1-9-43</v>
      </c>
      <c r="B652">
        <v>1</v>
      </c>
      <c r="C652" s="150" t="s">
        <v>1155</v>
      </c>
      <c r="D652" s="150">
        <v>9</v>
      </c>
      <c r="E652" s="150" t="s">
        <v>683</v>
      </c>
      <c r="F652" s="150">
        <v>43</v>
      </c>
      <c r="G652" s="150" t="s">
        <v>706</v>
      </c>
      <c r="H652" s="150">
        <v>0</v>
      </c>
      <c r="I652" s="150">
        <v>1971856</v>
      </c>
      <c r="J652" s="150">
        <v>1</v>
      </c>
      <c r="K652" s="150">
        <v>7772</v>
      </c>
      <c r="L652" s="150">
        <v>9035</v>
      </c>
      <c r="M652" s="150">
        <v>1344.41</v>
      </c>
      <c r="N652" s="150">
        <v>19964</v>
      </c>
      <c r="O652" s="150">
        <v>2511954</v>
      </c>
      <c r="P652" s="150">
        <v>2715503</v>
      </c>
      <c r="Q652" s="150">
        <v>3660867.41</v>
      </c>
      <c r="R652" s="150">
        <v>3660867.41</v>
      </c>
    </row>
    <row r="653" spans="1:18" x14ac:dyDescent="0.25">
      <c r="A653" t="str">
        <f t="shared" si="10"/>
        <v>14-9-43</v>
      </c>
      <c r="B653">
        <v>14</v>
      </c>
      <c r="C653" s="150" t="s">
        <v>1166</v>
      </c>
      <c r="D653" s="150">
        <v>9</v>
      </c>
      <c r="E653" s="150" t="s">
        <v>683</v>
      </c>
      <c r="F653" s="150">
        <v>43</v>
      </c>
      <c r="G653" s="150" t="s">
        <v>706</v>
      </c>
      <c r="H653" s="150">
        <v>0</v>
      </c>
      <c r="I653" s="150">
        <v>0</v>
      </c>
      <c r="J653" s="150">
        <v>1</v>
      </c>
      <c r="K653" s="150">
        <v>7772</v>
      </c>
      <c r="L653" s="150">
        <v>9035</v>
      </c>
      <c r="M653" s="150">
        <v>1344.41</v>
      </c>
      <c r="N653" s="150">
        <v>19964</v>
      </c>
      <c r="O653" s="150">
        <v>2511954</v>
      </c>
      <c r="P653" s="150">
        <v>2715503</v>
      </c>
      <c r="Q653" s="150">
        <v>3660867.41</v>
      </c>
      <c r="R653" s="150">
        <v>3660867.41</v>
      </c>
    </row>
    <row r="654" spans="1:18" x14ac:dyDescent="0.25">
      <c r="A654" t="str">
        <f t="shared" si="10"/>
        <v>1-14-21</v>
      </c>
      <c r="B654">
        <v>1</v>
      </c>
      <c r="C654" s="150" t="s">
        <v>1155</v>
      </c>
      <c r="D654" s="150">
        <v>14</v>
      </c>
      <c r="E654" s="150" t="s">
        <v>665</v>
      </c>
      <c r="F654" s="150">
        <v>21</v>
      </c>
      <c r="G654" s="150" t="s">
        <v>176</v>
      </c>
      <c r="H654" s="150">
        <v>10786</v>
      </c>
      <c r="I654" s="150">
        <v>94867589</v>
      </c>
      <c r="J654" s="150">
        <v>1</v>
      </c>
      <c r="K654" s="150">
        <v>4497</v>
      </c>
      <c r="L654" s="150">
        <v>4826</v>
      </c>
      <c r="M654" s="150">
        <v>896.24</v>
      </c>
      <c r="N654" s="150">
        <v>8147</v>
      </c>
      <c r="O654" s="150">
        <v>1178514</v>
      </c>
      <c r="P654" s="150">
        <v>1273809</v>
      </c>
      <c r="Q654" s="150">
        <v>1360562.24</v>
      </c>
      <c r="R654" s="150">
        <v>1360562.24</v>
      </c>
    </row>
    <row r="655" spans="1:18" x14ac:dyDescent="0.25">
      <c r="A655" t="str">
        <f t="shared" si="10"/>
        <v>14-14-21</v>
      </c>
      <c r="B655">
        <v>14</v>
      </c>
      <c r="C655" s="150" t="s">
        <v>1166</v>
      </c>
      <c r="D655" s="150">
        <v>14</v>
      </c>
      <c r="E655" s="150" t="s">
        <v>665</v>
      </c>
      <c r="F655" s="150">
        <v>21</v>
      </c>
      <c r="G655" s="150" t="s">
        <v>176</v>
      </c>
      <c r="H655" s="150">
        <v>10786</v>
      </c>
      <c r="I655" s="150">
        <v>4206796</v>
      </c>
      <c r="J655" s="150">
        <v>1</v>
      </c>
      <c r="K655" s="150">
        <v>4497</v>
      </c>
      <c r="L655" s="150">
        <v>4826</v>
      </c>
      <c r="M655" s="150">
        <v>896.24</v>
      </c>
      <c r="N655" s="150">
        <v>8147</v>
      </c>
      <c r="O655" s="150">
        <v>1178514</v>
      </c>
      <c r="P655" s="150">
        <v>1273809</v>
      </c>
      <c r="Q655" s="150">
        <v>1360562.24</v>
      </c>
      <c r="R655" s="150">
        <v>1360562.24</v>
      </c>
    </row>
    <row r="656" spans="1:18" x14ac:dyDescent="0.25">
      <c r="A656" t="str">
        <f t="shared" si="10"/>
        <v>1-4-5</v>
      </c>
      <c r="B656">
        <v>1</v>
      </c>
      <c r="C656" s="150" t="s">
        <v>1155</v>
      </c>
      <c r="D656" s="150">
        <v>4</v>
      </c>
      <c r="E656" s="150" t="s">
        <v>146</v>
      </c>
      <c r="F656" s="150">
        <v>5</v>
      </c>
      <c r="G656" s="150" t="s">
        <v>701</v>
      </c>
      <c r="H656" s="150">
        <v>0</v>
      </c>
      <c r="I656" s="150">
        <v>94835408</v>
      </c>
      <c r="J656" s="150">
        <v>1</v>
      </c>
      <c r="K656" s="150">
        <v>2069</v>
      </c>
      <c r="L656" s="150">
        <v>50390</v>
      </c>
      <c r="M656" s="150">
        <v>8431.2800000000007</v>
      </c>
      <c r="N656" s="150">
        <v>71930</v>
      </c>
      <c r="O656" s="150">
        <v>162040</v>
      </c>
      <c r="P656" s="150">
        <v>194487</v>
      </c>
      <c r="Q656" s="150">
        <v>258483</v>
      </c>
      <c r="R656" s="150">
        <v>258483</v>
      </c>
    </row>
    <row r="657" spans="1:18" x14ac:dyDescent="0.25">
      <c r="A657" t="str">
        <f t="shared" si="10"/>
        <v>14-4-5</v>
      </c>
      <c r="B657">
        <v>14</v>
      </c>
      <c r="C657" s="150" t="s">
        <v>1166</v>
      </c>
      <c r="D657" s="150">
        <v>4</v>
      </c>
      <c r="E657" s="150" t="s">
        <v>146</v>
      </c>
      <c r="F657" s="150">
        <v>5</v>
      </c>
      <c r="G657" s="150" t="s">
        <v>701</v>
      </c>
      <c r="H657" s="150">
        <v>0</v>
      </c>
      <c r="I657" s="150">
        <v>4206796</v>
      </c>
      <c r="J657" s="150">
        <v>1</v>
      </c>
      <c r="K657" s="150">
        <v>2069</v>
      </c>
      <c r="L657" s="150">
        <v>50390</v>
      </c>
      <c r="M657" s="150">
        <v>8431.2800000000007</v>
      </c>
      <c r="N657" s="150">
        <v>71930</v>
      </c>
      <c r="O657" s="150">
        <v>162040</v>
      </c>
      <c r="P657" s="150">
        <v>194487</v>
      </c>
      <c r="Q657" s="150">
        <v>258483</v>
      </c>
      <c r="R657" s="150">
        <v>258483</v>
      </c>
    </row>
    <row r="658" spans="1:18" x14ac:dyDescent="0.25">
      <c r="A658" t="str">
        <f t="shared" si="10"/>
        <v>15-7-74</v>
      </c>
      <c r="B658">
        <v>15</v>
      </c>
      <c r="C658" s="150" t="s">
        <v>1167</v>
      </c>
      <c r="D658" s="150">
        <v>7</v>
      </c>
      <c r="E658" s="150" t="s">
        <v>681</v>
      </c>
      <c r="F658" s="150">
        <v>74</v>
      </c>
      <c r="G658" s="150" t="s">
        <v>348</v>
      </c>
      <c r="H658" s="150">
        <v>0</v>
      </c>
      <c r="I658" s="150">
        <v>933716</v>
      </c>
      <c r="J658" s="150" t="s">
        <v>1203</v>
      </c>
      <c r="K658" s="150">
        <v>119</v>
      </c>
      <c r="L658" s="150">
        <v>1</v>
      </c>
      <c r="M658" s="150">
        <v>1.82</v>
      </c>
      <c r="N658" s="150">
        <v>0</v>
      </c>
      <c r="O658" s="150">
        <v>4366</v>
      </c>
      <c r="P658" s="150">
        <v>4591</v>
      </c>
      <c r="Q658" s="150">
        <v>4371.82</v>
      </c>
      <c r="R658" s="150">
        <v>4591</v>
      </c>
    </row>
    <row r="659" spans="1:18" x14ac:dyDescent="0.25">
      <c r="A659" t="str">
        <f t="shared" si="10"/>
        <v>9-4-198</v>
      </c>
      <c r="B659">
        <v>9</v>
      </c>
      <c r="C659" s="150" t="s">
        <v>1161</v>
      </c>
      <c r="D659" s="150">
        <v>4</v>
      </c>
      <c r="E659" s="150" t="s">
        <v>146</v>
      </c>
      <c r="F659" s="150">
        <v>198</v>
      </c>
      <c r="G659" s="150" t="s">
        <v>806</v>
      </c>
      <c r="H659" s="150">
        <v>0</v>
      </c>
      <c r="I659" s="150">
        <v>378833392</v>
      </c>
      <c r="J659" s="150" t="s">
        <v>1203</v>
      </c>
      <c r="K659" s="150">
        <v>73</v>
      </c>
      <c r="L659" s="150">
        <v>93704</v>
      </c>
      <c r="M659" s="150">
        <v>19912.97</v>
      </c>
      <c r="N659" s="150">
        <v>0</v>
      </c>
      <c r="O659" s="150">
        <v>370869</v>
      </c>
      <c r="P659" s="150">
        <v>381995</v>
      </c>
      <c r="Q659" s="150">
        <v>393455</v>
      </c>
      <c r="R659" s="150">
        <v>393455</v>
      </c>
    </row>
    <row r="660" spans="1:18" x14ac:dyDescent="0.25">
      <c r="A660" t="str">
        <f t="shared" si="10"/>
        <v>9-4-106</v>
      </c>
      <c r="B660">
        <v>9</v>
      </c>
      <c r="C660" s="150" t="s">
        <v>1161</v>
      </c>
      <c r="D660" s="150">
        <v>4</v>
      </c>
      <c r="E660" s="150" t="s">
        <v>146</v>
      </c>
      <c r="F660" s="150">
        <v>106</v>
      </c>
      <c r="G660" s="150" t="s">
        <v>805</v>
      </c>
      <c r="H660" s="150">
        <v>0</v>
      </c>
      <c r="I660" s="150">
        <v>1367046</v>
      </c>
      <c r="J660" s="150">
        <v>1</v>
      </c>
      <c r="K660" s="150">
        <v>3437</v>
      </c>
      <c r="L660" s="150">
        <v>60540</v>
      </c>
      <c r="M660" s="150">
        <v>11883.890000000001</v>
      </c>
      <c r="N660" s="150">
        <v>0</v>
      </c>
      <c r="O660" s="150">
        <v>158577</v>
      </c>
      <c r="P660" s="150">
        <v>168901</v>
      </c>
      <c r="Q660" s="150">
        <v>178582</v>
      </c>
      <c r="R660" s="150">
        <v>178582</v>
      </c>
    </row>
    <row r="661" spans="1:18" x14ac:dyDescent="0.25">
      <c r="A661" t="str">
        <f t="shared" si="10"/>
        <v>28-4-106</v>
      </c>
      <c r="B661">
        <v>28</v>
      </c>
      <c r="C661" s="150" t="s">
        <v>1180</v>
      </c>
      <c r="D661" s="150">
        <v>4</v>
      </c>
      <c r="E661" s="150" t="s">
        <v>146</v>
      </c>
      <c r="F661" s="150">
        <v>106</v>
      </c>
      <c r="G661" s="150" t="s">
        <v>805</v>
      </c>
      <c r="H661" s="150">
        <v>0</v>
      </c>
      <c r="I661" s="150">
        <v>390671680</v>
      </c>
      <c r="J661" s="150">
        <v>1</v>
      </c>
      <c r="K661" s="150">
        <v>3437</v>
      </c>
      <c r="L661" s="150">
        <v>60540</v>
      </c>
      <c r="M661" s="150">
        <v>11883.890000000001</v>
      </c>
      <c r="N661" s="150">
        <v>0</v>
      </c>
      <c r="O661" s="150">
        <v>158577</v>
      </c>
      <c r="P661" s="150">
        <v>168901</v>
      </c>
      <c r="Q661" s="150">
        <v>178582</v>
      </c>
      <c r="R661" s="150">
        <v>178582</v>
      </c>
    </row>
    <row r="662" spans="1:18" x14ac:dyDescent="0.25">
      <c r="A662" t="str">
        <f t="shared" si="10"/>
        <v>28-11-29</v>
      </c>
      <c r="B662">
        <v>28</v>
      </c>
      <c r="C662" s="150" t="s">
        <v>1180</v>
      </c>
      <c r="D662" s="150">
        <v>11</v>
      </c>
      <c r="E662" s="150" t="s">
        <v>1204</v>
      </c>
      <c r="F662" s="150">
        <v>29</v>
      </c>
      <c r="G662" s="150" t="s">
        <v>517</v>
      </c>
      <c r="H662" s="150">
        <v>1685056</v>
      </c>
      <c r="I662" s="150">
        <v>228291423</v>
      </c>
      <c r="J662" s="150" t="s">
        <v>1203</v>
      </c>
      <c r="K662" s="150">
        <v>852</v>
      </c>
      <c r="L662" s="150">
        <v>31188</v>
      </c>
      <c r="M662" s="150">
        <v>5527.51</v>
      </c>
      <c r="N662" s="150">
        <v>0</v>
      </c>
      <c r="O662" s="150">
        <v>4897335</v>
      </c>
      <c r="P662" s="150">
        <v>5016088</v>
      </c>
      <c r="Q662" s="150">
        <v>5125722.51</v>
      </c>
      <c r="R662" s="150">
        <v>5125722.51</v>
      </c>
    </row>
    <row r="663" spans="1:18" x14ac:dyDescent="0.25">
      <c r="A663" t="str">
        <f t="shared" si="10"/>
        <v>4-7-195</v>
      </c>
      <c r="B663">
        <v>4</v>
      </c>
      <c r="C663" s="150" t="s">
        <v>1196</v>
      </c>
      <c r="D663" s="150">
        <v>7</v>
      </c>
      <c r="E663" s="150" t="s">
        <v>681</v>
      </c>
      <c r="F663" s="150">
        <v>195</v>
      </c>
      <c r="G663" s="150" t="s">
        <v>209</v>
      </c>
      <c r="H663" s="150">
        <v>16</v>
      </c>
      <c r="I663" s="150">
        <v>276440</v>
      </c>
      <c r="J663" s="150" t="s">
        <v>1203</v>
      </c>
      <c r="K663" s="150">
        <v>92</v>
      </c>
      <c r="L663" s="150">
        <v>0</v>
      </c>
      <c r="M663" s="150">
        <v>0.47</v>
      </c>
      <c r="N663" s="150">
        <v>0</v>
      </c>
      <c r="O663" s="150">
        <v>3553</v>
      </c>
      <c r="P663" s="150">
        <v>3875</v>
      </c>
      <c r="Q663" s="150">
        <v>4195.47</v>
      </c>
      <c r="R663" s="150">
        <v>4195.47</v>
      </c>
    </row>
    <row r="664" spans="1:18" x14ac:dyDescent="0.25">
      <c r="A664" t="str">
        <f t="shared" si="10"/>
        <v>35-4-139</v>
      </c>
      <c r="B664">
        <v>35</v>
      </c>
      <c r="C664" s="150" t="s">
        <v>1195</v>
      </c>
      <c r="D664" s="150">
        <v>4</v>
      </c>
      <c r="E664" s="150" t="s">
        <v>146</v>
      </c>
      <c r="F664" s="150">
        <v>139</v>
      </c>
      <c r="G664" s="150" t="s">
        <v>1071</v>
      </c>
      <c r="H664" s="150">
        <v>0</v>
      </c>
      <c r="I664" s="150">
        <v>13018772</v>
      </c>
      <c r="J664" s="150" t="s">
        <v>1203</v>
      </c>
      <c r="K664" s="150">
        <v>2160</v>
      </c>
      <c r="L664" s="150">
        <v>2606</v>
      </c>
      <c r="M664" s="150">
        <v>741.66</v>
      </c>
      <c r="N664" s="150">
        <v>0</v>
      </c>
      <c r="O664" s="150">
        <v>46099</v>
      </c>
      <c r="P664" s="150">
        <v>46151</v>
      </c>
      <c r="Q664" s="150">
        <v>47808</v>
      </c>
      <c r="R664" s="150">
        <v>47808</v>
      </c>
    </row>
    <row r="665" spans="1:18" x14ac:dyDescent="0.25">
      <c r="A665" t="str">
        <f t="shared" si="10"/>
        <v>29-2-29</v>
      </c>
      <c r="B665">
        <v>29</v>
      </c>
      <c r="C665" s="150" t="s">
        <v>1181</v>
      </c>
      <c r="D665" s="150">
        <v>2</v>
      </c>
      <c r="E665" s="150" t="s">
        <v>110</v>
      </c>
      <c r="F665" s="150">
        <v>29</v>
      </c>
      <c r="G665" s="150" t="s">
        <v>524</v>
      </c>
      <c r="H665" s="150">
        <v>0</v>
      </c>
      <c r="I665" s="150">
        <v>54559196</v>
      </c>
      <c r="J665" s="150" t="s">
        <v>1203</v>
      </c>
      <c r="K665" s="150">
        <v>128111</v>
      </c>
      <c r="L665" s="150">
        <v>118432</v>
      </c>
      <c r="M665" s="150">
        <v>24980.94</v>
      </c>
      <c r="N665" s="150">
        <v>0</v>
      </c>
      <c r="O665" s="150">
        <v>11117028</v>
      </c>
      <c r="P665" s="150">
        <v>11794863</v>
      </c>
      <c r="Q665" s="150">
        <v>12302154.189999999</v>
      </c>
      <c r="R665" s="150">
        <v>12302153.939999999</v>
      </c>
    </row>
    <row r="666" spans="1:18" x14ac:dyDescent="0.25">
      <c r="A666" t="str">
        <f t="shared" si="10"/>
        <v>29-14-22</v>
      </c>
      <c r="B666">
        <v>29</v>
      </c>
      <c r="C666" s="150" t="s">
        <v>1181</v>
      </c>
      <c r="D666" s="150">
        <v>14</v>
      </c>
      <c r="E666" s="150" t="s">
        <v>665</v>
      </c>
      <c r="F666" s="150">
        <v>22</v>
      </c>
      <c r="G666" s="150" t="s">
        <v>1036</v>
      </c>
      <c r="H666" s="150">
        <v>184</v>
      </c>
      <c r="I666" s="150">
        <v>54559196</v>
      </c>
      <c r="J666" s="150" t="s">
        <v>1203</v>
      </c>
      <c r="K666" s="150">
        <v>16431</v>
      </c>
      <c r="L666" s="150">
        <v>15156</v>
      </c>
      <c r="M666" s="150">
        <v>3388.49</v>
      </c>
      <c r="N666" s="150">
        <v>0</v>
      </c>
      <c r="O666" s="150">
        <v>1563233</v>
      </c>
      <c r="P666" s="150">
        <v>1626755</v>
      </c>
      <c r="Q666" s="150">
        <v>1698778.28</v>
      </c>
      <c r="R666" s="150">
        <v>1698778.49</v>
      </c>
    </row>
    <row r="667" spans="1:18" x14ac:dyDescent="0.25">
      <c r="A667" t="str">
        <f t="shared" si="10"/>
        <v>3-7-75</v>
      </c>
      <c r="B667">
        <v>3</v>
      </c>
      <c r="C667" s="150" t="s">
        <v>1157</v>
      </c>
      <c r="D667" s="150">
        <v>7</v>
      </c>
      <c r="E667" s="150" t="s">
        <v>681</v>
      </c>
      <c r="F667" s="150">
        <v>75</v>
      </c>
      <c r="G667" s="150" t="s">
        <v>193</v>
      </c>
      <c r="H667" s="150">
        <v>2806</v>
      </c>
      <c r="I667" s="150">
        <v>58144559</v>
      </c>
      <c r="J667" s="150">
        <v>1</v>
      </c>
      <c r="K667" s="150">
        <v>96</v>
      </c>
      <c r="L667" s="150">
        <v>115</v>
      </c>
      <c r="M667" s="150">
        <v>49.35</v>
      </c>
      <c r="N667" s="150">
        <v>0</v>
      </c>
      <c r="O667" s="150">
        <v>19022</v>
      </c>
      <c r="P667" s="150">
        <v>19661</v>
      </c>
      <c r="Q667" s="150">
        <v>20447.349999999999</v>
      </c>
      <c r="R667" s="150">
        <v>20447.349999999999</v>
      </c>
    </row>
    <row r="668" spans="1:18" x14ac:dyDescent="0.25">
      <c r="A668" t="str">
        <f t="shared" si="10"/>
        <v>15-7-75</v>
      </c>
      <c r="B668">
        <v>15</v>
      </c>
      <c r="C668" s="150" t="s">
        <v>1167</v>
      </c>
      <c r="D668" s="150">
        <v>7</v>
      </c>
      <c r="E668" s="150" t="s">
        <v>681</v>
      </c>
      <c r="F668" s="150">
        <v>75</v>
      </c>
      <c r="G668" s="150" t="s">
        <v>193</v>
      </c>
      <c r="H668" s="150">
        <v>2806</v>
      </c>
      <c r="I668" s="150">
        <v>0</v>
      </c>
      <c r="J668" s="150">
        <v>1</v>
      </c>
      <c r="K668" s="150">
        <v>96</v>
      </c>
      <c r="L668" s="150">
        <v>115</v>
      </c>
      <c r="M668" s="150">
        <v>49.35</v>
      </c>
      <c r="N668" s="150">
        <v>0</v>
      </c>
      <c r="O668" s="150">
        <v>19022</v>
      </c>
      <c r="P668" s="150">
        <v>19661</v>
      </c>
      <c r="Q668" s="150">
        <v>20447.349999999999</v>
      </c>
      <c r="R668" s="150">
        <v>20447.349999999999</v>
      </c>
    </row>
    <row r="669" spans="1:18" x14ac:dyDescent="0.25">
      <c r="A669" t="str">
        <f t="shared" si="10"/>
        <v>3-9-136</v>
      </c>
      <c r="B669">
        <v>3</v>
      </c>
      <c r="C669" s="150" t="s">
        <v>1157</v>
      </c>
      <c r="D669" s="150">
        <v>9</v>
      </c>
      <c r="E669" s="150" t="s">
        <v>683</v>
      </c>
      <c r="F669" s="150">
        <v>136</v>
      </c>
      <c r="G669" s="150" t="s">
        <v>745</v>
      </c>
      <c r="H669" s="150">
        <v>87507</v>
      </c>
      <c r="I669" s="150">
        <v>243000</v>
      </c>
      <c r="J669" s="150" t="s">
        <v>1203</v>
      </c>
      <c r="K669" s="150">
        <v>0</v>
      </c>
      <c r="L669" s="150">
        <v>0</v>
      </c>
      <c r="M669" s="150">
        <v>0</v>
      </c>
      <c r="N669" s="150">
        <v>0</v>
      </c>
      <c r="O669" s="150">
        <v>48759</v>
      </c>
      <c r="P669" s="150">
        <v>50222</v>
      </c>
      <c r="Q669" s="150">
        <v>52874</v>
      </c>
      <c r="R669" s="150">
        <v>52874</v>
      </c>
    </row>
    <row r="670" spans="1:18" x14ac:dyDescent="0.25">
      <c r="A670" t="str">
        <f t="shared" si="10"/>
        <v>30-2-30</v>
      </c>
      <c r="B670">
        <v>30</v>
      </c>
      <c r="C670" s="150" t="s">
        <v>1182</v>
      </c>
      <c r="D670" s="150">
        <v>2</v>
      </c>
      <c r="E670" s="150" t="s">
        <v>110</v>
      </c>
      <c r="F670" s="150">
        <v>30</v>
      </c>
      <c r="G670" s="150" t="s">
        <v>543</v>
      </c>
      <c r="H670" s="150">
        <v>0</v>
      </c>
      <c r="I670" s="150">
        <v>38204584</v>
      </c>
      <c r="J670" s="150" t="s">
        <v>1203</v>
      </c>
      <c r="K670" s="150">
        <v>22605</v>
      </c>
      <c r="L670" s="150">
        <v>29088</v>
      </c>
      <c r="M670" s="150">
        <v>4409.83</v>
      </c>
      <c r="N670" s="150">
        <v>0</v>
      </c>
      <c r="O670" s="150">
        <v>2725452</v>
      </c>
      <c r="P670" s="150">
        <v>2875977</v>
      </c>
      <c r="Q670" s="150">
        <v>2992448.83</v>
      </c>
      <c r="R670" s="150">
        <v>2992448.83</v>
      </c>
    </row>
    <row r="671" spans="1:18" x14ac:dyDescent="0.25">
      <c r="A671" t="str">
        <f t="shared" si="10"/>
        <v>30-9-127</v>
      </c>
      <c r="B671">
        <v>30</v>
      </c>
      <c r="C671" s="150" t="s">
        <v>1182</v>
      </c>
      <c r="D671" s="150">
        <v>9</v>
      </c>
      <c r="E671" s="150" t="s">
        <v>683</v>
      </c>
      <c r="F671" s="150">
        <v>127</v>
      </c>
      <c r="G671" s="150" t="s">
        <v>1041</v>
      </c>
      <c r="H671" s="150">
        <v>2330</v>
      </c>
      <c r="I671" s="150">
        <v>178000</v>
      </c>
      <c r="J671" s="150" t="s">
        <v>1203</v>
      </c>
      <c r="K671" s="150">
        <v>2683</v>
      </c>
      <c r="L671" s="150">
        <v>3952</v>
      </c>
      <c r="M671" s="150">
        <v>524.52</v>
      </c>
      <c r="N671" s="150">
        <v>0</v>
      </c>
      <c r="O671" s="150">
        <v>354070</v>
      </c>
      <c r="P671" s="150">
        <v>368368</v>
      </c>
      <c r="Q671" s="150">
        <v>383184.52</v>
      </c>
      <c r="R671" s="150">
        <v>383184.52</v>
      </c>
    </row>
    <row r="672" spans="1:18" x14ac:dyDescent="0.25">
      <c r="A672" t="str">
        <f t="shared" si="10"/>
        <v>30-14-58</v>
      </c>
      <c r="B672">
        <v>30</v>
      </c>
      <c r="C672" s="150" t="s">
        <v>1182</v>
      </c>
      <c r="D672" s="150">
        <v>14</v>
      </c>
      <c r="E672" s="150" t="s">
        <v>665</v>
      </c>
      <c r="F672" s="150">
        <v>58</v>
      </c>
      <c r="G672" s="150" t="s">
        <v>1043</v>
      </c>
      <c r="H672" s="150">
        <v>32805</v>
      </c>
      <c r="I672" s="150">
        <v>38204584</v>
      </c>
      <c r="J672" s="150" t="s">
        <v>1203</v>
      </c>
      <c r="K672" s="150">
        <v>2773</v>
      </c>
      <c r="L672" s="150">
        <v>1773</v>
      </c>
      <c r="M672" s="150">
        <v>350.73</v>
      </c>
      <c r="N672" s="150">
        <v>0</v>
      </c>
      <c r="O672" s="150">
        <v>235085</v>
      </c>
      <c r="P672" s="150">
        <v>238346</v>
      </c>
      <c r="Q672" s="150">
        <v>257834.72999999998</v>
      </c>
      <c r="R672" s="150">
        <v>257834.72999999998</v>
      </c>
    </row>
    <row r="673" spans="1:18" x14ac:dyDescent="0.25">
      <c r="A673" t="str">
        <f t="shared" si="10"/>
        <v>31-2-31</v>
      </c>
      <c r="B673">
        <v>31</v>
      </c>
      <c r="C673" s="150" t="s">
        <v>1183</v>
      </c>
      <c r="D673" s="150">
        <v>2</v>
      </c>
      <c r="E673" s="150" t="s">
        <v>110</v>
      </c>
      <c r="F673" s="150">
        <v>31</v>
      </c>
      <c r="G673" s="150" t="s">
        <v>549</v>
      </c>
      <c r="H673" s="150">
        <v>186000</v>
      </c>
      <c r="I673" s="150">
        <v>10299029</v>
      </c>
      <c r="J673" s="150" t="s">
        <v>1203</v>
      </c>
      <c r="K673" s="150">
        <v>71143</v>
      </c>
      <c r="L673" s="150">
        <v>20102</v>
      </c>
      <c r="M673" s="150">
        <v>6661.07</v>
      </c>
      <c r="N673" s="150">
        <v>0</v>
      </c>
      <c r="O673" s="150">
        <v>1784228</v>
      </c>
      <c r="P673" s="150">
        <v>1959181</v>
      </c>
      <c r="Q673" s="150">
        <v>2020142.07</v>
      </c>
      <c r="R673" s="150">
        <v>2020142.07</v>
      </c>
    </row>
    <row r="674" spans="1:18" x14ac:dyDescent="0.25">
      <c r="A674" t="str">
        <f t="shared" si="10"/>
        <v>35-4-138</v>
      </c>
      <c r="B674">
        <v>35</v>
      </c>
      <c r="C674" s="150" t="s">
        <v>1195</v>
      </c>
      <c r="D674" s="150">
        <v>4</v>
      </c>
      <c r="E674" s="150" t="s">
        <v>146</v>
      </c>
      <c r="F674" s="150">
        <v>138</v>
      </c>
      <c r="G674" s="150" t="s">
        <v>1070</v>
      </c>
      <c r="H674" s="150">
        <v>0</v>
      </c>
      <c r="I674" s="150">
        <v>71424838</v>
      </c>
      <c r="J674" s="150" t="s">
        <v>1203</v>
      </c>
      <c r="K674" s="150">
        <v>15169</v>
      </c>
      <c r="L674" s="150">
        <v>207812</v>
      </c>
      <c r="M674" s="150">
        <v>106798.08</v>
      </c>
      <c r="N674" s="150">
        <v>0</v>
      </c>
      <c r="O674" s="150">
        <v>88302</v>
      </c>
      <c r="P674" s="150">
        <v>91553</v>
      </c>
      <c r="Q674" s="150">
        <v>95291</v>
      </c>
      <c r="R674" s="150">
        <v>95291</v>
      </c>
    </row>
    <row r="675" spans="1:18" x14ac:dyDescent="0.25">
      <c r="A675" t="str">
        <f t="shared" si="10"/>
        <v>26-7-77</v>
      </c>
      <c r="B675">
        <v>26</v>
      </c>
      <c r="C675" s="150" t="s">
        <v>1178</v>
      </c>
      <c r="D675" s="150">
        <v>7</v>
      </c>
      <c r="E675" s="150" t="s">
        <v>681</v>
      </c>
      <c r="F675" s="150">
        <v>77</v>
      </c>
      <c r="G675" s="150" t="s">
        <v>987</v>
      </c>
      <c r="H675" s="150">
        <v>16</v>
      </c>
      <c r="I675" s="150">
        <v>2031580</v>
      </c>
      <c r="J675" s="150" t="s">
        <v>1203</v>
      </c>
      <c r="K675" s="150">
        <v>393</v>
      </c>
      <c r="L675" s="150">
        <v>63</v>
      </c>
      <c r="M675" s="150">
        <v>34.82</v>
      </c>
      <c r="N675" s="150">
        <v>0</v>
      </c>
      <c r="O675" s="150">
        <v>10481</v>
      </c>
      <c r="P675" s="150">
        <v>11027</v>
      </c>
      <c r="Q675" s="150">
        <v>11469.82</v>
      </c>
      <c r="R675" s="150">
        <v>11469.82</v>
      </c>
    </row>
    <row r="676" spans="1:18" x14ac:dyDescent="0.25">
      <c r="A676" t="str">
        <f t="shared" si="10"/>
        <v>4-7-78</v>
      </c>
      <c r="B676">
        <v>4</v>
      </c>
      <c r="C676" s="150" t="s">
        <v>1196</v>
      </c>
      <c r="D676" s="150">
        <v>7</v>
      </c>
      <c r="E676" s="150" t="s">
        <v>681</v>
      </c>
      <c r="F676" s="150">
        <v>78</v>
      </c>
      <c r="G676" s="150" t="s">
        <v>210</v>
      </c>
      <c r="H676" s="150">
        <v>500</v>
      </c>
      <c r="I676" s="150">
        <v>2038588</v>
      </c>
      <c r="J676" s="150" t="s">
        <v>1203</v>
      </c>
      <c r="K676" s="150">
        <v>123</v>
      </c>
      <c r="L676" s="150">
        <v>28</v>
      </c>
      <c r="M676" s="150">
        <v>1.92</v>
      </c>
      <c r="N676" s="150">
        <v>0</v>
      </c>
      <c r="O676" s="150">
        <v>6459</v>
      </c>
      <c r="P676" s="150">
        <v>6683</v>
      </c>
      <c r="Q676" s="150">
        <v>6998.92</v>
      </c>
      <c r="R676" s="150">
        <v>6998.92</v>
      </c>
    </row>
    <row r="677" spans="1:18" x14ac:dyDescent="0.25">
      <c r="A677" t="str">
        <f t="shared" si="10"/>
        <v>27-5-21</v>
      </c>
      <c r="B677">
        <v>27</v>
      </c>
      <c r="C677" s="150" t="s">
        <v>1179</v>
      </c>
      <c r="D677" s="150">
        <v>5</v>
      </c>
      <c r="E677" s="150" t="s">
        <v>286</v>
      </c>
      <c r="F677" s="150">
        <v>21</v>
      </c>
      <c r="G677" s="150" t="s">
        <v>492</v>
      </c>
      <c r="H677" s="150">
        <v>51573</v>
      </c>
      <c r="I677" s="150">
        <v>129701380</v>
      </c>
      <c r="J677" s="150" t="s">
        <v>1203</v>
      </c>
      <c r="K677" s="150">
        <v>0</v>
      </c>
      <c r="L677" s="150">
        <v>6591</v>
      </c>
      <c r="M677" s="150">
        <v>2673.29</v>
      </c>
      <c r="N677" s="150">
        <v>0</v>
      </c>
      <c r="O677" s="150">
        <v>588462</v>
      </c>
      <c r="P677" s="150">
        <v>649993</v>
      </c>
      <c r="Q677" s="150">
        <v>678175.29</v>
      </c>
      <c r="R677" s="150">
        <v>678175.29</v>
      </c>
    </row>
    <row r="678" spans="1:18" x14ac:dyDescent="0.25">
      <c r="A678" t="str">
        <f t="shared" si="10"/>
        <v>10-7-79</v>
      </c>
      <c r="B678">
        <v>10</v>
      </c>
      <c r="C678" s="150" t="s">
        <v>1162</v>
      </c>
      <c r="D678" s="150">
        <v>7</v>
      </c>
      <c r="E678" s="150" t="s">
        <v>681</v>
      </c>
      <c r="F678" s="150">
        <v>79</v>
      </c>
      <c r="G678" s="150" t="s">
        <v>830</v>
      </c>
      <c r="H678" s="150">
        <v>517</v>
      </c>
      <c r="I678" s="150">
        <v>17066828</v>
      </c>
      <c r="J678" s="150" t="s">
        <v>1203</v>
      </c>
      <c r="K678" s="150">
        <v>0</v>
      </c>
      <c r="L678" s="150">
        <v>192</v>
      </c>
      <c r="M678" s="150">
        <v>48.199999999999996</v>
      </c>
      <c r="N678" s="150">
        <v>0</v>
      </c>
      <c r="O678" s="150">
        <v>14627</v>
      </c>
      <c r="P678" s="150">
        <v>15379</v>
      </c>
      <c r="Q678" s="150">
        <v>16157.2</v>
      </c>
      <c r="R678" s="150">
        <v>16157.2</v>
      </c>
    </row>
    <row r="679" spans="1:18" x14ac:dyDescent="0.25">
      <c r="A679" t="str">
        <f t="shared" si="10"/>
        <v>32-7-80</v>
      </c>
      <c r="B679">
        <v>32</v>
      </c>
      <c r="C679" s="150" t="s">
        <v>1184</v>
      </c>
      <c r="D679" s="150">
        <v>7</v>
      </c>
      <c r="E679" s="150" t="s">
        <v>681</v>
      </c>
      <c r="F679" s="150">
        <v>80</v>
      </c>
      <c r="G679" s="150" t="s">
        <v>1056</v>
      </c>
      <c r="H679" s="150">
        <v>0</v>
      </c>
      <c r="I679" s="150">
        <v>71007758</v>
      </c>
      <c r="J679" s="150" t="s">
        <v>1203</v>
      </c>
      <c r="K679" s="150">
        <v>1947</v>
      </c>
      <c r="L679" s="150">
        <v>1307</v>
      </c>
      <c r="M679" s="150">
        <v>457.76</v>
      </c>
      <c r="N679" s="150">
        <v>0</v>
      </c>
      <c r="O679" s="150">
        <v>76058</v>
      </c>
      <c r="P679" s="150">
        <v>79312</v>
      </c>
      <c r="Q679" s="150">
        <v>82330.459999999992</v>
      </c>
      <c r="R679" s="150">
        <v>82330.759999999995</v>
      </c>
    </row>
    <row r="680" spans="1:18" x14ac:dyDescent="0.25">
      <c r="A680" t="str">
        <f t="shared" si="10"/>
        <v>32-17-11</v>
      </c>
      <c r="B680">
        <v>32</v>
      </c>
      <c r="C680" s="150" t="s">
        <v>1184</v>
      </c>
      <c r="D680" s="150">
        <v>17</v>
      </c>
      <c r="E680" s="150" t="s">
        <v>688</v>
      </c>
      <c r="F680" s="150">
        <v>11</v>
      </c>
      <c r="G680" s="150" t="s">
        <v>1060</v>
      </c>
      <c r="H680" s="150">
        <v>0</v>
      </c>
      <c r="I680" s="150">
        <v>153615917</v>
      </c>
      <c r="J680" s="150" t="s">
        <v>1203</v>
      </c>
      <c r="K680" s="150">
        <v>5090</v>
      </c>
      <c r="L680" s="150">
        <v>2826</v>
      </c>
      <c r="M680" s="150">
        <v>1066.6999999999998</v>
      </c>
      <c r="N680" s="150">
        <v>0</v>
      </c>
      <c r="O680" s="150">
        <v>184843</v>
      </c>
      <c r="P680" s="150">
        <v>191775</v>
      </c>
      <c r="Q680" s="150">
        <v>198977.44</v>
      </c>
      <c r="R680" s="150">
        <v>198977.7</v>
      </c>
    </row>
    <row r="681" spans="1:18" x14ac:dyDescent="0.25">
      <c r="A681" t="str">
        <f t="shared" si="10"/>
        <v>32-2-32</v>
      </c>
      <c r="B681">
        <v>32</v>
      </c>
      <c r="C681" s="150" t="s">
        <v>1184</v>
      </c>
      <c r="D681" s="150">
        <v>2</v>
      </c>
      <c r="E681" s="150" t="s">
        <v>110</v>
      </c>
      <c r="F681" s="150">
        <v>32</v>
      </c>
      <c r="G681" s="150" t="s">
        <v>556</v>
      </c>
      <c r="H681" s="150">
        <v>0</v>
      </c>
      <c r="I681" s="150">
        <v>153615917</v>
      </c>
      <c r="J681" s="150" t="s">
        <v>1203</v>
      </c>
      <c r="K681" s="150">
        <v>44772</v>
      </c>
      <c r="L681" s="150">
        <v>22473</v>
      </c>
      <c r="M681" s="150">
        <v>9163.0499999999993</v>
      </c>
      <c r="N681" s="150">
        <v>0</v>
      </c>
      <c r="O681" s="150">
        <v>1505993</v>
      </c>
      <c r="P681" s="150">
        <v>1551033</v>
      </c>
      <c r="Q681" s="150">
        <v>1658858.93</v>
      </c>
      <c r="R681" s="150">
        <v>1658859.05</v>
      </c>
    </row>
    <row r="682" spans="1:18" x14ac:dyDescent="0.25">
      <c r="A682" t="str">
        <f t="shared" si="10"/>
        <v>32-5-27</v>
      </c>
      <c r="B682">
        <v>32</v>
      </c>
      <c r="C682" s="150" t="s">
        <v>1184</v>
      </c>
      <c r="D682" s="150">
        <v>5</v>
      </c>
      <c r="E682" s="150" t="s">
        <v>286</v>
      </c>
      <c r="F682" s="150">
        <v>27</v>
      </c>
      <c r="G682" s="150" t="s">
        <v>560</v>
      </c>
      <c r="H682" s="150">
        <v>0</v>
      </c>
      <c r="I682" s="150">
        <v>153615917</v>
      </c>
      <c r="J682" s="150" t="s">
        <v>1203</v>
      </c>
      <c r="K682" s="150">
        <v>0</v>
      </c>
      <c r="L682" s="150">
        <v>2446</v>
      </c>
      <c r="M682" s="150">
        <v>1060.3499999999999</v>
      </c>
      <c r="N682" s="150">
        <v>0</v>
      </c>
      <c r="O682" s="150">
        <v>175205</v>
      </c>
      <c r="P682" s="150">
        <v>178440</v>
      </c>
      <c r="Q682" s="150">
        <v>188659.81</v>
      </c>
      <c r="R682" s="150">
        <v>188659.35</v>
      </c>
    </row>
    <row r="683" spans="1:18" x14ac:dyDescent="0.25">
      <c r="A683" t="str">
        <f t="shared" si="10"/>
        <v>26-7-81</v>
      </c>
      <c r="B683">
        <v>26</v>
      </c>
      <c r="C683" s="150" t="s">
        <v>1178</v>
      </c>
      <c r="D683" s="150">
        <v>7</v>
      </c>
      <c r="E683" s="150" t="s">
        <v>681</v>
      </c>
      <c r="F683" s="150">
        <v>81</v>
      </c>
      <c r="G683" s="150" t="s">
        <v>988</v>
      </c>
      <c r="H683" s="150">
        <v>1933</v>
      </c>
      <c r="I683" s="150">
        <v>5748085</v>
      </c>
      <c r="J683" s="150" t="s">
        <v>1203</v>
      </c>
      <c r="K683" s="150">
        <v>533</v>
      </c>
      <c r="L683" s="150">
        <v>223</v>
      </c>
      <c r="M683" s="150">
        <v>52.529999999999994</v>
      </c>
      <c r="N683" s="150">
        <v>0</v>
      </c>
      <c r="O683" s="150">
        <v>32806</v>
      </c>
      <c r="P683" s="150">
        <v>34287</v>
      </c>
      <c r="Q683" s="150">
        <v>35782.53</v>
      </c>
      <c r="R683" s="150">
        <v>35782.53</v>
      </c>
    </row>
    <row r="684" spans="1:18" x14ac:dyDescent="0.25">
      <c r="A684" t="str">
        <f t="shared" si="10"/>
        <v>12-22-3</v>
      </c>
      <c r="B684">
        <v>12</v>
      </c>
      <c r="C684" s="150" t="s">
        <v>1164</v>
      </c>
      <c r="D684" s="150">
        <v>22</v>
      </c>
      <c r="E684" s="150" t="s">
        <v>691</v>
      </c>
      <c r="F684" s="150">
        <v>3</v>
      </c>
      <c r="G684" s="150" t="s">
        <v>301</v>
      </c>
      <c r="H684" s="150">
        <v>191</v>
      </c>
      <c r="I684" s="150">
        <v>0</v>
      </c>
      <c r="J684" s="150" t="s">
        <v>1203</v>
      </c>
      <c r="K684" s="150">
        <v>0</v>
      </c>
      <c r="L684" s="150">
        <v>0</v>
      </c>
      <c r="M684" s="150">
        <v>0</v>
      </c>
      <c r="N684" s="150">
        <v>0</v>
      </c>
      <c r="O684" s="150">
        <v>5000</v>
      </c>
      <c r="P684" s="150">
        <v>5000</v>
      </c>
      <c r="Q684" s="150">
        <v>5000</v>
      </c>
      <c r="R684" s="150">
        <v>5000</v>
      </c>
    </row>
    <row r="685" spans="1:18" x14ac:dyDescent="0.25">
      <c r="A685" t="str">
        <f t="shared" si="10"/>
        <v>7-14-24</v>
      </c>
      <c r="B685">
        <v>7</v>
      </c>
      <c r="C685" s="150" t="s">
        <v>1199</v>
      </c>
      <c r="D685" s="150">
        <v>14</v>
      </c>
      <c r="E685" s="150" t="s">
        <v>665</v>
      </c>
      <c r="F685" s="150">
        <v>24</v>
      </c>
      <c r="G685" s="150" t="s">
        <v>793</v>
      </c>
      <c r="H685" s="150">
        <v>0</v>
      </c>
      <c r="I685" s="150">
        <v>51837114</v>
      </c>
      <c r="J685" s="150" t="s">
        <v>1203</v>
      </c>
      <c r="K685" s="150">
        <v>900</v>
      </c>
      <c r="L685" s="150">
        <v>644</v>
      </c>
      <c r="M685" s="150">
        <v>117.32</v>
      </c>
      <c r="N685" s="150">
        <v>0</v>
      </c>
      <c r="O685" s="150">
        <v>34195</v>
      </c>
      <c r="P685" s="150">
        <v>34544</v>
      </c>
      <c r="Q685" s="150">
        <v>35971.32</v>
      </c>
      <c r="R685" s="150">
        <v>35971.32</v>
      </c>
    </row>
    <row r="686" spans="1:18" x14ac:dyDescent="0.25">
      <c r="A686" t="str">
        <f t="shared" si="10"/>
        <v>14-14-52</v>
      </c>
      <c r="B686">
        <v>14</v>
      </c>
      <c r="C686" s="150" t="s">
        <v>1166</v>
      </c>
      <c r="D686" s="150">
        <v>14</v>
      </c>
      <c r="E686" s="150" t="s">
        <v>665</v>
      </c>
      <c r="F686" s="150">
        <v>52</v>
      </c>
      <c r="G686" s="150" t="s">
        <v>337</v>
      </c>
      <c r="H686" s="150">
        <v>0</v>
      </c>
      <c r="I686" s="150">
        <v>5171073</v>
      </c>
      <c r="J686" s="150">
        <v>1</v>
      </c>
      <c r="K686" s="150">
        <v>2064</v>
      </c>
      <c r="L686" s="150">
        <v>1355</v>
      </c>
      <c r="M686" s="150">
        <v>258</v>
      </c>
      <c r="N686" s="150">
        <v>0</v>
      </c>
      <c r="O686" s="150">
        <v>95280</v>
      </c>
      <c r="P686" s="150">
        <v>100317</v>
      </c>
      <c r="Q686" s="150">
        <v>106783</v>
      </c>
      <c r="R686" s="150">
        <v>106783</v>
      </c>
    </row>
    <row r="687" spans="1:18" x14ac:dyDescent="0.25">
      <c r="A687" t="str">
        <f t="shared" si="10"/>
        <v>37-14-52</v>
      </c>
      <c r="B687">
        <v>37</v>
      </c>
      <c r="C687" s="150" t="s">
        <v>1188</v>
      </c>
      <c r="D687" s="150">
        <v>14</v>
      </c>
      <c r="E687" s="150" t="s">
        <v>665</v>
      </c>
      <c r="F687" s="150">
        <v>52</v>
      </c>
      <c r="G687" s="150" t="s">
        <v>337</v>
      </c>
      <c r="H687" s="150">
        <v>0</v>
      </c>
      <c r="I687" s="150">
        <v>5383525</v>
      </c>
      <c r="J687" s="150">
        <v>1</v>
      </c>
      <c r="K687" s="150">
        <v>2064</v>
      </c>
      <c r="L687" s="150">
        <v>1355</v>
      </c>
      <c r="M687" s="150">
        <v>258</v>
      </c>
      <c r="N687" s="150">
        <v>0</v>
      </c>
      <c r="O687" s="150">
        <v>95280</v>
      </c>
      <c r="P687" s="150">
        <v>100317</v>
      </c>
      <c r="Q687" s="150">
        <v>106783</v>
      </c>
      <c r="R687" s="150">
        <v>106783</v>
      </c>
    </row>
    <row r="688" spans="1:18" x14ac:dyDescent="0.25">
      <c r="A688" t="str">
        <f t="shared" si="10"/>
        <v>12-14-6</v>
      </c>
      <c r="B688">
        <v>12</v>
      </c>
      <c r="C688" s="150" t="s">
        <v>1164</v>
      </c>
      <c r="D688" s="150">
        <v>14</v>
      </c>
      <c r="E688" s="150" t="s">
        <v>665</v>
      </c>
      <c r="F688" s="150">
        <v>6</v>
      </c>
      <c r="G688" s="150" t="s">
        <v>850</v>
      </c>
      <c r="H688" s="150">
        <v>0</v>
      </c>
      <c r="I688" s="150">
        <v>19806811</v>
      </c>
      <c r="J688" s="150" t="s">
        <v>1203</v>
      </c>
      <c r="K688" s="150">
        <v>5664</v>
      </c>
      <c r="L688" s="150">
        <v>3632</v>
      </c>
      <c r="M688" s="150">
        <v>777.04</v>
      </c>
      <c r="N688" s="150">
        <v>0</v>
      </c>
      <c r="O688" s="150">
        <v>125831</v>
      </c>
      <c r="P688" s="150">
        <v>129606</v>
      </c>
      <c r="Q688" s="150">
        <v>134105.04</v>
      </c>
      <c r="R688" s="150">
        <v>134105.04</v>
      </c>
    </row>
    <row r="689" spans="1:18" x14ac:dyDescent="0.25">
      <c r="A689" t="str">
        <f t="shared" si="10"/>
        <v>12-9-46</v>
      </c>
      <c r="B689">
        <v>12</v>
      </c>
      <c r="C689" s="150" t="s">
        <v>1164</v>
      </c>
      <c r="D689" s="150">
        <v>9</v>
      </c>
      <c r="E689" s="150" t="s">
        <v>683</v>
      </c>
      <c r="F689" s="150">
        <v>46</v>
      </c>
      <c r="G689" s="150" t="s">
        <v>849</v>
      </c>
      <c r="H689" s="150">
        <v>1811</v>
      </c>
      <c r="I689" s="150">
        <v>0</v>
      </c>
      <c r="J689" s="150" t="s">
        <v>1203</v>
      </c>
      <c r="K689" s="150">
        <v>2902</v>
      </c>
      <c r="L689" s="150">
        <v>444</v>
      </c>
      <c r="M689" s="150">
        <v>0</v>
      </c>
      <c r="N689" s="150">
        <v>0</v>
      </c>
      <c r="O689" s="150">
        <v>20835</v>
      </c>
      <c r="P689" s="150">
        <v>32486</v>
      </c>
      <c r="Q689" s="150">
        <v>32486</v>
      </c>
      <c r="R689" s="150">
        <v>32486</v>
      </c>
    </row>
    <row r="690" spans="1:18" x14ac:dyDescent="0.25">
      <c r="A690" t="str">
        <f t="shared" si="10"/>
        <v>12-12-4</v>
      </c>
      <c r="B690">
        <v>12</v>
      </c>
      <c r="C690" s="150" t="s">
        <v>1164</v>
      </c>
      <c r="D690" s="150">
        <v>12</v>
      </c>
      <c r="E690" s="150" t="s">
        <v>151</v>
      </c>
      <c r="F690" s="150">
        <v>4</v>
      </c>
      <c r="G690" s="150" t="s">
        <v>300</v>
      </c>
      <c r="H690" s="150">
        <v>0</v>
      </c>
      <c r="I690" s="150">
        <v>19806811</v>
      </c>
      <c r="J690" s="150">
        <v>1</v>
      </c>
      <c r="K690" s="150">
        <v>20546</v>
      </c>
      <c r="L690" s="150">
        <v>9344</v>
      </c>
      <c r="M690" s="150">
        <v>3397.1200000000003</v>
      </c>
      <c r="N690" s="150">
        <v>0</v>
      </c>
      <c r="O690" s="150">
        <v>345154</v>
      </c>
      <c r="P690" s="150">
        <v>359736</v>
      </c>
      <c r="Q690" s="150">
        <v>374138.12</v>
      </c>
      <c r="R690" s="150">
        <v>374138.12</v>
      </c>
    </row>
    <row r="691" spans="1:18" x14ac:dyDescent="0.25">
      <c r="A691" t="str">
        <f t="shared" si="10"/>
        <v>19-12-4</v>
      </c>
      <c r="B691">
        <v>19</v>
      </c>
      <c r="C691" s="150" t="s">
        <v>1171</v>
      </c>
      <c r="D691" s="150">
        <v>12</v>
      </c>
      <c r="E691" s="150" t="s">
        <v>151</v>
      </c>
      <c r="F691" s="150">
        <v>4</v>
      </c>
      <c r="G691" s="150" t="s">
        <v>300</v>
      </c>
      <c r="H691" s="150">
        <v>0</v>
      </c>
      <c r="I691" s="150">
        <v>8056861</v>
      </c>
      <c r="J691" s="150">
        <v>1</v>
      </c>
      <c r="K691" s="150">
        <v>20546</v>
      </c>
      <c r="L691" s="150">
        <v>9344</v>
      </c>
      <c r="M691" s="150">
        <v>3397.1200000000003</v>
      </c>
      <c r="N691" s="150">
        <v>0</v>
      </c>
      <c r="O691" s="150">
        <v>345154</v>
      </c>
      <c r="P691" s="150">
        <v>359736</v>
      </c>
      <c r="Q691" s="150">
        <v>374138.12</v>
      </c>
      <c r="R691" s="150">
        <v>374138.12</v>
      </c>
    </row>
    <row r="692" spans="1:18" x14ac:dyDescent="0.25">
      <c r="A692" t="str">
        <f t="shared" si="10"/>
        <v>19-11-38</v>
      </c>
      <c r="B692">
        <v>19</v>
      </c>
      <c r="C692" s="150" t="s">
        <v>1171</v>
      </c>
      <c r="D692" s="150">
        <v>11</v>
      </c>
      <c r="E692" s="150" t="s">
        <v>1204</v>
      </c>
      <c r="F692" s="150">
        <v>38</v>
      </c>
      <c r="G692" s="150" t="s">
        <v>922</v>
      </c>
      <c r="H692" s="150">
        <v>1119</v>
      </c>
      <c r="I692" s="150">
        <v>7339293</v>
      </c>
      <c r="J692" s="150" t="s">
        <v>1203</v>
      </c>
      <c r="K692" s="150">
        <v>2106</v>
      </c>
      <c r="L692" s="150">
        <v>646</v>
      </c>
      <c r="M692" s="150">
        <v>318.3</v>
      </c>
      <c r="N692" s="150">
        <v>0</v>
      </c>
      <c r="O692" s="150">
        <v>131499</v>
      </c>
      <c r="P692" s="150">
        <v>138039</v>
      </c>
      <c r="Q692" s="150">
        <v>144191.29999999999</v>
      </c>
      <c r="R692" s="150">
        <v>144191.29999999999</v>
      </c>
    </row>
    <row r="693" spans="1:18" x14ac:dyDescent="0.25">
      <c r="A693" t="str">
        <f t="shared" si="10"/>
        <v>14-7-82</v>
      </c>
      <c r="B693">
        <v>14</v>
      </c>
      <c r="C693" s="150" t="s">
        <v>1166</v>
      </c>
      <c r="D693" s="150">
        <v>7</v>
      </c>
      <c r="E693" s="150" t="s">
        <v>681</v>
      </c>
      <c r="F693" s="150">
        <v>82</v>
      </c>
      <c r="G693" s="150" t="s">
        <v>317</v>
      </c>
      <c r="H693" s="150">
        <v>0</v>
      </c>
      <c r="I693" s="150">
        <v>19696968</v>
      </c>
      <c r="J693" s="150" t="s">
        <v>1203</v>
      </c>
      <c r="K693" s="150">
        <v>1339</v>
      </c>
      <c r="L693" s="150">
        <v>253</v>
      </c>
      <c r="M693" s="150">
        <v>57.97</v>
      </c>
      <c r="N693" s="150">
        <v>0</v>
      </c>
      <c r="O693" s="150">
        <v>26877</v>
      </c>
      <c r="P693" s="150">
        <v>28004</v>
      </c>
      <c r="Q693" s="150">
        <v>30090.97</v>
      </c>
      <c r="R693" s="150">
        <v>30090.97</v>
      </c>
    </row>
    <row r="694" spans="1:18" x14ac:dyDescent="0.25">
      <c r="A694" t="str">
        <f t="shared" si="10"/>
        <v>15-7-83</v>
      </c>
      <c r="B694">
        <v>15</v>
      </c>
      <c r="C694" s="150" t="s">
        <v>1167</v>
      </c>
      <c r="D694" s="150">
        <v>7</v>
      </c>
      <c r="E694" s="150" t="s">
        <v>681</v>
      </c>
      <c r="F694" s="150">
        <v>83</v>
      </c>
      <c r="G694" s="150" t="s">
        <v>349</v>
      </c>
      <c r="H694" s="150">
        <v>0</v>
      </c>
      <c r="I694" s="150">
        <v>10093857</v>
      </c>
      <c r="J694" s="150" t="s">
        <v>1203</v>
      </c>
      <c r="K694" s="150">
        <v>101</v>
      </c>
      <c r="L694" s="150">
        <v>43</v>
      </c>
      <c r="M694" s="150">
        <v>19.32</v>
      </c>
      <c r="N694" s="150">
        <v>0</v>
      </c>
      <c r="O694" s="150">
        <v>4179</v>
      </c>
      <c r="P694" s="150">
        <v>4304</v>
      </c>
      <c r="Q694" s="150">
        <v>4433.32</v>
      </c>
      <c r="R694" s="150">
        <v>4433.32</v>
      </c>
    </row>
    <row r="695" spans="1:18" x14ac:dyDescent="0.25">
      <c r="A695" t="str">
        <f t="shared" si="10"/>
        <v>19-15-9</v>
      </c>
      <c r="B695">
        <v>19</v>
      </c>
      <c r="C695" s="150" t="s">
        <v>1171</v>
      </c>
      <c r="D695" s="150">
        <v>15</v>
      </c>
      <c r="E695" s="150" t="s">
        <v>237</v>
      </c>
      <c r="F695" s="150">
        <v>9</v>
      </c>
      <c r="G695" s="150" t="s">
        <v>926</v>
      </c>
      <c r="H695" s="150">
        <v>1869</v>
      </c>
      <c r="I695" s="150">
        <v>1971237</v>
      </c>
      <c r="J695" s="150" t="s">
        <v>1203</v>
      </c>
      <c r="K695" s="150">
        <v>0</v>
      </c>
      <c r="L695" s="150">
        <v>243</v>
      </c>
      <c r="M695" s="150">
        <v>89.28</v>
      </c>
      <c r="N695" s="150">
        <v>0</v>
      </c>
      <c r="O695" s="150">
        <v>24895</v>
      </c>
      <c r="P695" s="150">
        <v>24895</v>
      </c>
      <c r="Q695" s="150">
        <v>25643.279999999999</v>
      </c>
      <c r="R695" s="150">
        <v>25643.279999999999</v>
      </c>
    </row>
    <row r="696" spans="1:18" x14ac:dyDescent="0.25">
      <c r="A696" t="str">
        <f t="shared" si="10"/>
        <v>19-14-25</v>
      </c>
      <c r="B696">
        <v>19</v>
      </c>
      <c r="C696" s="150" t="s">
        <v>1171</v>
      </c>
      <c r="D696" s="150">
        <v>14</v>
      </c>
      <c r="E696" s="150" t="s">
        <v>665</v>
      </c>
      <c r="F696" s="150">
        <v>25</v>
      </c>
      <c r="G696" s="150" t="s">
        <v>924</v>
      </c>
      <c r="H696" s="150">
        <v>0</v>
      </c>
      <c r="I696" s="150">
        <v>5859695</v>
      </c>
      <c r="J696" s="150" t="s">
        <v>1203</v>
      </c>
      <c r="K696" s="150">
        <v>995</v>
      </c>
      <c r="L696" s="150">
        <v>376</v>
      </c>
      <c r="M696" s="150">
        <v>146.5</v>
      </c>
      <c r="N696" s="150">
        <v>0</v>
      </c>
      <c r="O696" s="150">
        <v>48527</v>
      </c>
      <c r="P696" s="150">
        <v>50817</v>
      </c>
      <c r="Q696" s="150">
        <v>53084.5</v>
      </c>
      <c r="R696" s="150">
        <v>53084.5</v>
      </c>
    </row>
    <row r="697" spans="1:18" x14ac:dyDescent="0.25">
      <c r="A697" t="str">
        <f t="shared" si="10"/>
        <v>12-4-70</v>
      </c>
      <c r="B697">
        <v>12</v>
      </c>
      <c r="C697" s="150" t="s">
        <v>1164</v>
      </c>
      <c r="D697" s="150">
        <v>4</v>
      </c>
      <c r="E697" s="150" t="s">
        <v>146</v>
      </c>
      <c r="F697" s="150">
        <v>70</v>
      </c>
      <c r="G697" s="150" t="s">
        <v>847</v>
      </c>
      <c r="H697" s="150">
        <v>0</v>
      </c>
      <c r="I697" s="150">
        <v>38297</v>
      </c>
      <c r="J697" s="150">
        <v>1</v>
      </c>
      <c r="K697" s="150">
        <v>2793</v>
      </c>
      <c r="L697" s="150">
        <v>2459</v>
      </c>
      <c r="M697" s="150">
        <v>520.94999999999993</v>
      </c>
      <c r="N697" s="150">
        <v>0</v>
      </c>
      <c r="O697" s="150">
        <v>10338</v>
      </c>
      <c r="P697" s="150">
        <v>15872</v>
      </c>
      <c r="Q697" s="150">
        <v>16580</v>
      </c>
      <c r="R697" s="150">
        <v>16580</v>
      </c>
    </row>
    <row r="698" spans="1:18" x14ac:dyDescent="0.25">
      <c r="A698" t="str">
        <f t="shared" si="10"/>
        <v>19-4-70</v>
      </c>
      <c r="B698">
        <v>19</v>
      </c>
      <c r="C698" s="150" t="s">
        <v>1171</v>
      </c>
      <c r="D698" s="150">
        <v>4</v>
      </c>
      <c r="E698" s="150" t="s">
        <v>146</v>
      </c>
      <c r="F698" s="150">
        <v>70</v>
      </c>
      <c r="G698" s="150" t="s">
        <v>847</v>
      </c>
      <c r="H698" s="150">
        <v>0</v>
      </c>
      <c r="I698" s="150">
        <v>7189523</v>
      </c>
      <c r="J698" s="150">
        <v>1</v>
      </c>
      <c r="K698" s="150">
        <v>2793</v>
      </c>
      <c r="L698" s="150">
        <v>2459</v>
      </c>
      <c r="M698" s="150">
        <v>520.94999999999993</v>
      </c>
      <c r="N698" s="150">
        <v>0</v>
      </c>
      <c r="O698" s="150">
        <v>10338</v>
      </c>
      <c r="P698" s="150">
        <v>15872</v>
      </c>
      <c r="Q698" s="150">
        <v>16580</v>
      </c>
      <c r="R698" s="150">
        <v>16580</v>
      </c>
    </row>
    <row r="699" spans="1:18" x14ac:dyDescent="0.25">
      <c r="A699" t="str">
        <f t="shared" si="10"/>
        <v>33-5-18</v>
      </c>
      <c r="B699">
        <v>33</v>
      </c>
      <c r="C699" s="150" t="s">
        <v>1185</v>
      </c>
      <c r="D699" s="150">
        <v>5</v>
      </c>
      <c r="E699" s="150" t="s">
        <v>286</v>
      </c>
      <c r="F699" s="150">
        <v>18</v>
      </c>
      <c r="G699" s="150" t="s">
        <v>571</v>
      </c>
      <c r="H699" s="150">
        <v>0</v>
      </c>
      <c r="I699" s="150">
        <v>45050781</v>
      </c>
      <c r="J699" s="150" t="s">
        <v>1203</v>
      </c>
      <c r="K699" s="150">
        <v>9828</v>
      </c>
      <c r="L699" s="150">
        <v>7359</v>
      </c>
      <c r="M699" s="150">
        <v>2711.35</v>
      </c>
      <c r="N699" s="150">
        <v>0</v>
      </c>
      <c r="O699" s="150">
        <v>953566</v>
      </c>
      <c r="P699" s="150">
        <v>1010713</v>
      </c>
      <c r="Q699" s="150">
        <v>1063183.3500000001</v>
      </c>
      <c r="R699" s="150">
        <v>1063183.3500000001</v>
      </c>
    </row>
    <row r="700" spans="1:18" x14ac:dyDescent="0.25">
      <c r="A700" t="str">
        <f t="shared" si="10"/>
        <v>33-15-4</v>
      </c>
      <c r="B700">
        <v>33</v>
      </c>
      <c r="C700" s="150" t="s">
        <v>1185</v>
      </c>
      <c r="D700" s="150">
        <v>15</v>
      </c>
      <c r="E700" s="150" t="s">
        <v>237</v>
      </c>
      <c r="F700" s="150">
        <v>4</v>
      </c>
      <c r="G700" s="150" t="s">
        <v>1065</v>
      </c>
      <c r="H700" s="150">
        <v>733795</v>
      </c>
      <c r="I700" s="150">
        <v>45050781</v>
      </c>
      <c r="J700" s="150" t="s">
        <v>1203</v>
      </c>
      <c r="K700" s="150">
        <v>882</v>
      </c>
      <c r="L700" s="150">
        <v>5113</v>
      </c>
      <c r="M700" s="150">
        <v>1966.73</v>
      </c>
      <c r="N700" s="150">
        <v>0</v>
      </c>
      <c r="O700" s="150">
        <v>378976</v>
      </c>
      <c r="P700" s="150">
        <v>726675</v>
      </c>
      <c r="Q700" s="150">
        <v>764398.73</v>
      </c>
      <c r="R700" s="150">
        <v>764398.73</v>
      </c>
    </row>
    <row r="701" spans="1:18" x14ac:dyDescent="0.25">
      <c r="A701" t="str">
        <f t="shared" si="10"/>
        <v>33-9-47</v>
      </c>
      <c r="B701">
        <v>33</v>
      </c>
      <c r="C701" s="150" t="s">
        <v>1185</v>
      </c>
      <c r="D701" s="150">
        <v>9</v>
      </c>
      <c r="E701" s="150" t="s">
        <v>683</v>
      </c>
      <c r="F701" s="150">
        <v>47</v>
      </c>
      <c r="G701" s="150" t="s">
        <v>1062</v>
      </c>
      <c r="H701" s="150">
        <v>0</v>
      </c>
      <c r="I701" s="150">
        <v>0</v>
      </c>
      <c r="J701" s="150" t="s">
        <v>1203</v>
      </c>
      <c r="K701" s="150">
        <v>25052</v>
      </c>
      <c r="L701" s="150">
        <v>5463</v>
      </c>
      <c r="M701" s="150">
        <v>1477.65</v>
      </c>
      <c r="N701" s="150">
        <v>0</v>
      </c>
      <c r="O701" s="150">
        <v>931180</v>
      </c>
      <c r="P701" s="150">
        <v>990638</v>
      </c>
      <c r="Q701" s="150">
        <v>1044630.65</v>
      </c>
      <c r="R701" s="150">
        <v>1044630.65</v>
      </c>
    </row>
    <row r="702" spans="1:18" x14ac:dyDescent="0.25">
      <c r="A702" t="str">
        <f t="shared" si="10"/>
        <v>33-11-95</v>
      </c>
      <c r="B702">
        <v>33</v>
      </c>
      <c r="C702" s="150" t="s">
        <v>1185</v>
      </c>
      <c r="D702" s="150">
        <v>11</v>
      </c>
      <c r="E702" s="150" t="s">
        <v>1204</v>
      </c>
      <c r="F702" s="150">
        <v>95</v>
      </c>
      <c r="G702" s="150" t="s">
        <v>1063</v>
      </c>
      <c r="H702" s="150">
        <v>0</v>
      </c>
      <c r="I702" s="150">
        <v>45050781</v>
      </c>
      <c r="J702" s="150" t="s">
        <v>1203</v>
      </c>
      <c r="K702" s="150">
        <v>0</v>
      </c>
      <c r="L702" s="150">
        <v>0</v>
      </c>
      <c r="M702" s="150">
        <v>0</v>
      </c>
      <c r="N702" s="150">
        <v>0</v>
      </c>
      <c r="O702" s="150">
        <v>1897755</v>
      </c>
      <c r="P702" s="150">
        <v>1348553</v>
      </c>
      <c r="Q702" s="150">
        <v>1516543</v>
      </c>
    </row>
    <row r="703" spans="1:18" x14ac:dyDescent="0.25">
      <c r="A703" t="str">
        <f t="shared" si="10"/>
        <v>33-2-33</v>
      </c>
      <c r="B703">
        <v>33</v>
      </c>
      <c r="C703" s="150" t="s">
        <v>1185</v>
      </c>
      <c r="D703" s="150">
        <v>2</v>
      </c>
      <c r="E703" s="150" t="s">
        <v>110</v>
      </c>
      <c r="F703" s="150">
        <v>33</v>
      </c>
      <c r="G703" s="150" t="s">
        <v>568</v>
      </c>
      <c r="H703" s="150">
        <v>0</v>
      </c>
      <c r="I703" s="150">
        <v>45050781</v>
      </c>
      <c r="J703" s="150" t="s">
        <v>1203</v>
      </c>
      <c r="K703" s="150">
        <v>168291</v>
      </c>
      <c r="L703" s="150">
        <v>114412</v>
      </c>
      <c r="M703" s="150">
        <v>40154.300000000003</v>
      </c>
      <c r="N703" s="150">
        <v>0</v>
      </c>
      <c r="O703" s="150">
        <f>12015944+O702</f>
        <v>13913699</v>
      </c>
      <c r="P703" s="150">
        <f>13647730+P702</f>
        <v>14996283</v>
      </c>
      <c r="Q703" s="150">
        <v>14258258.300000001</v>
      </c>
      <c r="R703" s="150">
        <v>15774801.300000001</v>
      </c>
    </row>
    <row r="704" spans="1:18" x14ac:dyDescent="0.25">
      <c r="A704" t="str">
        <f t="shared" si="10"/>
        <v>33-14-26</v>
      </c>
      <c r="B704">
        <v>33</v>
      </c>
      <c r="C704" s="150" t="s">
        <v>1185</v>
      </c>
      <c r="D704" s="150">
        <v>14</v>
      </c>
      <c r="E704" s="150" t="s">
        <v>665</v>
      </c>
      <c r="F704" s="150">
        <v>26</v>
      </c>
      <c r="G704" s="150" t="s">
        <v>1064</v>
      </c>
      <c r="H704" s="150">
        <v>36960</v>
      </c>
      <c r="I704" s="150">
        <v>30764908</v>
      </c>
      <c r="J704" s="150" t="s">
        <v>1203</v>
      </c>
      <c r="K704" s="150">
        <v>9330</v>
      </c>
      <c r="L704" s="150">
        <v>14374</v>
      </c>
      <c r="M704" s="150">
        <v>4088.77</v>
      </c>
      <c r="N704" s="150">
        <v>0</v>
      </c>
      <c r="O704" s="150">
        <v>1186908</v>
      </c>
      <c r="P704" s="150">
        <v>1072908</v>
      </c>
      <c r="Q704" s="150">
        <v>1248501.77</v>
      </c>
      <c r="R704" s="150">
        <v>1248501.77</v>
      </c>
    </row>
    <row r="705" spans="1:18" x14ac:dyDescent="0.25">
      <c r="A705" t="str">
        <f t="shared" si="10"/>
        <v>33-4-132</v>
      </c>
      <c r="B705">
        <v>33</v>
      </c>
      <c r="C705" s="150" t="s">
        <v>1185</v>
      </c>
      <c r="D705" s="150">
        <v>4</v>
      </c>
      <c r="E705" s="150" t="s">
        <v>146</v>
      </c>
      <c r="F705" s="150">
        <v>132</v>
      </c>
      <c r="G705" s="150" t="s">
        <v>1061</v>
      </c>
      <c r="H705" s="150">
        <v>0</v>
      </c>
      <c r="I705" s="150">
        <v>30618861</v>
      </c>
      <c r="J705" s="150" t="s">
        <v>1203</v>
      </c>
      <c r="K705" s="150">
        <v>12848</v>
      </c>
      <c r="L705" s="150">
        <v>76973</v>
      </c>
      <c r="M705" s="150">
        <v>31612.760000000002</v>
      </c>
      <c r="N705" s="150">
        <v>0</v>
      </c>
      <c r="O705" s="150">
        <v>230290</v>
      </c>
      <c r="P705" s="150">
        <v>244014</v>
      </c>
      <c r="Q705" s="150">
        <v>256556</v>
      </c>
      <c r="R705" s="150">
        <v>256556</v>
      </c>
    </row>
    <row r="706" spans="1:18" x14ac:dyDescent="0.25">
      <c r="A706" t="str">
        <f t="shared" si="10"/>
        <v>21-7-86</v>
      </c>
      <c r="B706">
        <v>21</v>
      </c>
      <c r="C706" s="150" t="s">
        <v>1173</v>
      </c>
      <c r="D706" s="150">
        <v>7</v>
      </c>
      <c r="E706" s="150" t="s">
        <v>681</v>
      </c>
      <c r="F706" s="150">
        <v>86</v>
      </c>
      <c r="G706" s="150" t="s">
        <v>413</v>
      </c>
      <c r="H706" s="150">
        <v>115</v>
      </c>
      <c r="I706" s="150">
        <v>1005123</v>
      </c>
      <c r="J706" s="150" t="s">
        <v>1203</v>
      </c>
      <c r="K706" s="150">
        <v>93</v>
      </c>
      <c r="L706" s="150">
        <v>22</v>
      </c>
      <c r="M706" s="150">
        <v>1.82</v>
      </c>
      <c r="N706" s="150">
        <v>0</v>
      </c>
      <c r="O706" s="150">
        <v>10947</v>
      </c>
      <c r="P706" s="150">
        <v>11390</v>
      </c>
      <c r="Q706" s="150">
        <v>11950.82</v>
      </c>
      <c r="R706" s="150">
        <v>11950.82</v>
      </c>
    </row>
    <row r="707" spans="1:18" x14ac:dyDescent="0.25">
      <c r="A707" t="str">
        <f t="shared" si="10"/>
        <v>3-7-87</v>
      </c>
      <c r="B707">
        <v>3</v>
      </c>
      <c r="C707" s="150" t="s">
        <v>1157</v>
      </c>
      <c r="D707" s="150">
        <v>7</v>
      </c>
      <c r="E707" s="150" t="s">
        <v>681</v>
      </c>
      <c r="F707" s="150">
        <v>87</v>
      </c>
      <c r="G707" s="150" t="s">
        <v>194</v>
      </c>
      <c r="H707" s="150">
        <v>4993</v>
      </c>
      <c r="I707" s="150">
        <v>88977781</v>
      </c>
      <c r="J707" s="150" t="s">
        <v>1203</v>
      </c>
      <c r="K707" s="150">
        <v>915</v>
      </c>
      <c r="L707" s="150">
        <v>230</v>
      </c>
      <c r="M707" s="150">
        <v>130.53</v>
      </c>
      <c r="N707" s="150">
        <v>0</v>
      </c>
      <c r="O707" s="150">
        <v>25620</v>
      </c>
      <c r="P707" s="150">
        <v>26389</v>
      </c>
      <c r="Q707" s="150">
        <v>27404.53</v>
      </c>
      <c r="R707" s="150">
        <v>27404.53</v>
      </c>
    </row>
    <row r="708" spans="1:18" x14ac:dyDescent="0.25">
      <c r="A708" t="str">
        <f t="shared" si="10"/>
        <v>3-4-10</v>
      </c>
      <c r="B708">
        <v>3</v>
      </c>
      <c r="C708" s="150" t="s">
        <v>1157</v>
      </c>
      <c r="D708" s="150">
        <v>4</v>
      </c>
      <c r="E708" s="150" t="s">
        <v>146</v>
      </c>
      <c r="F708" s="150">
        <v>10</v>
      </c>
      <c r="G708" s="150" t="s">
        <v>734</v>
      </c>
      <c r="H708" s="150">
        <v>0</v>
      </c>
      <c r="I708" s="150">
        <v>345892267</v>
      </c>
      <c r="J708" s="150">
        <v>1</v>
      </c>
      <c r="K708" s="150">
        <v>12094</v>
      </c>
      <c r="L708" s="150">
        <v>9579</v>
      </c>
      <c r="M708" s="150">
        <v>6136.59</v>
      </c>
      <c r="N708" s="150">
        <v>0</v>
      </c>
      <c r="O708" s="150">
        <v>34000</v>
      </c>
      <c r="P708" s="150">
        <v>34000</v>
      </c>
      <c r="Q708" s="150">
        <v>34000</v>
      </c>
      <c r="R708" s="150">
        <v>34000</v>
      </c>
    </row>
    <row r="709" spans="1:18" x14ac:dyDescent="0.25">
      <c r="A709" t="str">
        <f t="shared" si="10"/>
        <v>15-4-10</v>
      </c>
      <c r="B709">
        <v>15</v>
      </c>
      <c r="C709" s="150" t="s">
        <v>1167</v>
      </c>
      <c r="D709" s="150">
        <v>4</v>
      </c>
      <c r="E709" s="150" t="s">
        <v>146</v>
      </c>
      <c r="F709" s="150">
        <v>10</v>
      </c>
      <c r="G709" s="150" t="s">
        <v>734</v>
      </c>
      <c r="H709" s="150">
        <v>0</v>
      </c>
      <c r="I709" s="150">
        <v>0</v>
      </c>
      <c r="J709" s="150">
        <v>1</v>
      </c>
      <c r="K709" s="150">
        <v>12094</v>
      </c>
      <c r="L709" s="150">
        <v>9579</v>
      </c>
      <c r="M709" s="150">
        <v>6136.59</v>
      </c>
      <c r="N709" s="150">
        <v>0</v>
      </c>
      <c r="O709" s="150">
        <v>34000</v>
      </c>
      <c r="P709" s="150">
        <v>34000</v>
      </c>
      <c r="Q709" s="150">
        <v>34000</v>
      </c>
      <c r="R709" s="150">
        <v>34000</v>
      </c>
    </row>
    <row r="710" spans="1:18" x14ac:dyDescent="0.25">
      <c r="A710" t="str">
        <f t="shared" ref="A710:A773" si="11">B710&amp;"-"&amp;D710&amp;"-"&amp;F710</f>
        <v>37-5-31</v>
      </c>
      <c r="B710">
        <v>37</v>
      </c>
      <c r="C710" s="150" t="s">
        <v>1188</v>
      </c>
      <c r="D710" s="150">
        <v>5</v>
      </c>
      <c r="E710" s="150" t="s">
        <v>286</v>
      </c>
      <c r="F710" s="150">
        <v>31</v>
      </c>
      <c r="G710" s="150" t="s">
        <v>604</v>
      </c>
      <c r="H710" s="150">
        <v>0</v>
      </c>
      <c r="I710" s="150">
        <v>29493065</v>
      </c>
      <c r="J710" s="150" t="s">
        <v>1203</v>
      </c>
      <c r="K710" s="150">
        <v>0</v>
      </c>
      <c r="L710" s="150">
        <v>0</v>
      </c>
      <c r="M710" s="150">
        <v>262.29000000000002</v>
      </c>
      <c r="N710" s="150">
        <v>0</v>
      </c>
      <c r="O710" s="150">
        <v>133984</v>
      </c>
      <c r="P710" s="150">
        <v>139339</v>
      </c>
      <c r="Q710" s="150">
        <v>150802.29</v>
      </c>
      <c r="R710" s="150">
        <v>150802.29</v>
      </c>
    </row>
    <row r="711" spans="1:18" x14ac:dyDescent="0.25">
      <c r="A711" t="str">
        <f t="shared" si="11"/>
        <v>14-9-49</v>
      </c>
      <c r="B711">
        <v>14</v>
      </c>
      <c r="C711" s="150" t="s">
        <v>1166</v>
      </c>
      <c r="D711" s="150">
        <v>9</v>
      </c>
      <c r="E711" s="150" t="s">
        <v>683</v>
      </c>
      <c r="F711" s="150">
        <v>49</v>
      </c>
      <c r="G711" s="150" t="s">
        <v>325</v>
      </c>
      <c r="H711" s="150">
        <v>7</v>
      </c>
      <c r="I711" s="150">
        <v>0</v>
      </c>
      <c r="J711" s="150">
        <v>1</v>
      </c>
      <c r="K711" s="150">
        <v>16525</v>
      </c>
      <c r="L711" s="150">
        <v>714</v>
      </c>
      <c r="M711" s="150">
        <v>807.55</v>
      </c>
      <c r="N711" s="150">
        <v>0</v>
      </c>
      <c r="O711" s="150">
        <v>524262</v>
      </c>
      <c r="P711" s="150">
        <v>548056</v>
      </c>
      <c r="Q711" s="150">
        <v>575691.55000000005</v>
      </c>
      <c r="R711" s="150">
        <v>575691.55000000005</v>
      </c>
    </row>
    <row r="712" spans="1:18" x14ac:dyDescent="0.25">
      <c r="A712" t="str">
        <f t="shared" si="11"/>
        <v>37-9-49</v>
      </c>
      <c r="B712">
        <v>37</v>
      </c>
      <c r="C712" s="150" t="s">
        <v>1188</v>
      </c>
      <c r="D712" s="150">
        <v>9</v>
      </c>
      <c r="E712" s="150" t="s">
        <v>683</v>
      </c>
      <c r="F712" s="150">
        <v>49</v>
      </c>
      <c r="G712" s="150" t="s">
        <v>325</v>
      </c>
      <c r="H712" s="150">
        <v>7</v>
      </c>
      <c r="I712" s="150">
        <v>0</v>
      </c>
      <c r="J712" s="150">
        <v>1</v>
      </c>
      <c r="K712" s="150">
        <v>16525</v>
      </c>
      <c r="L712" s="150">
        <v>714</v>
      </c>
      <c r="M712" s="150">
        <v>807.55</v>
      </c>
      <c r="N712" s="150">
        <v>0</v>
      </c>
      <c r="O712" s="150">
        <v>524262</v>
      </c>
      <c r="P712" s="150">
        <v>548056</v>
      </c>
      <c r="Q712" s="150">
        <v>575691.55000000005</v>
      </c>
      <c r="R712" s="150">
        <v>575691.55000000005</v>
      </c>
    </row>
    <row r="713" spans="1:18" x14ac:dyDescent="0.25">
      <c r="A713" t="str">
        <f t="shared" si="11"/>
        <v>14-4-144</v>
      </c>
      <c r="B713">
        <v>14</v>
      </c>
      <c r="C713" s="150" t="s">
        <v>1166</v>
      </c>
      <c r="D713" s="150">
        <v>4</v>
      </c>
      <c r="E713" s="150" t="s">
        <v>146</v>
      </c>
      <c r="F713" s="150">
        <v>144</v>
      </c>
      <c r="G713" s="150" t="s">
        <v>862</v>
      </c>
      <c r="H713" s="150">
        <v>0</v>
      </c>
      <c r="I713" s="150">
        <v>1449474</v>
      </c>
      <c r="J713" s="150">
        <v>1</v>
      </c>
      <c r="K713" s="150">
        <v>23958</v>
      </c>
      <c r="L713" s="150">
        <v>7521</v>
      </c>
      <c r="M713" s="150">
        <v>2567.29</v>
      </c>
      <c r="N713" s="150">
        <v>0</v>
      </c>
      <c r="O713" s="150">
        <v>50325</v>
      </c>
      <c r="P713" s="150">
        <v>61880</v>
      </c>
      <c r="Q713" s="150">
        <v>65789</v>
      </c>
      <c r="R713" s="150">
        <v>65789</v>
      </c>
    </row>
    <row r="714" spans="1:18" x14ac:dyDescent="0.25">
      <c r="A714" t="str">
        <f t="shared" si="11"/>
        <v>37-4-144</v>
      </c>
      <c r="B714">
        <v>37</v>
      </c>
      <c r="C714" s="150" t="s">
        <v>1188</v>
      </c>
      <c r="D714" s="150">
        <v>4</v>
      </c>
      <c r="E714" s="150" t="s">
        <v>146</v>
      </c>
      <c r="F714" s="150">
        <v>144</v>
      </c>
      <c r="G714" s="150" t="s">
        <v>862</v>
      </c>
      <c r="H714" s="150">
        <v>0</v>
      </c>
      <c r="I714" s="150">
        <v>22023288</v>
      </c>
      <c r="J714" s="150">
        <v>1</v>
      </c>
      <c r="K714" s="150">
        <v>23958</v>
      </c>
      <c r="L714" s="150">
        <v>7521</v>
      </c>
      <c r="M714" s="150">
        <v>2567.29</v>
      </c>
      <c r="N714" s="150">
        <v>0</v>
      </c>
      <c r="O714" s="150">
        <v>50325</v>
      </c>
      <c r="P714" s="150">
        <v>61880</v>
      </c>
      <c r="Q714" s="150">
        <v>65789</v>
      </c>
      <c r="R714" s="150">
        <v>65789</v>
      </c>
    </row>
    <row r="715" spans="1:18" x14ac:dyDescent="0.25">
      <c r="A715" t="str">
        <f t="shared" si="11"/>
        <v>37-7-88</v>
      </c>
      <c r="B715">
        <v>37</v>
      </c>
      <c r="C715" s="150" t="s">
        <v>1188</v>
      </c>
      <c r="D715" s="150">
        <v>7</v>
      </c>
      <c r="E715" s="150" t="s">
        <v>681</v>
      </c>
      <c r="F715" s="150">
        <v>88</v>
      </c>
      <c r="G715" s="150" t="s">
        <v>606</v>
      </c>
      <c r="H715" s="150">
        <v>5847</v>
      </c>
      <c r="I715" s="150">
        <v>27511723</v>
      </c>
      <c r="J715" s="150" t="s">
        <v>1203</v>
      </c>
      <c r="K715" s="150">
        <v>1302</v>
      </c>
      <c r="L715" s="150">
        <v>614</v>
      </c>
      <c r="M715" s="150">
        <v>242.71</v>
      </c>
      <c r="N715" s="150">
        <v>0</v>
      </c>
      <c r="O715" s="150">
        <v>93880</v>
      </c>
      <c r="P715" s="150">
        <v>97786</v>
      </c>
      <c r="Q715" s="150">
        <v>104481.71</v>
      </c>
      <c r="R715" s="150">
        <v>104481.71</v>
      </c>
    </row>
    <row r="716" spans="1:18" x14ac:dyDescent="0.25">
      <c r="A716" t="str">
        <f t="shared" si="11"/>
        <v>43-7-84</v>
      </c>
      <c r="B716">
        <v>43</v>
      </c>
      <c r="C716" s="150" t="s">
        <v>1192</v>
      </c>
      <c r="D716" s="150">
        <v>7</v>
      </c>
      <c r="E716" s="150" t="s">
        <v>681</v>
      </c>
      <c r="F716" s="150">
        <v>84</v>
      </c>
      <c r="G716" s="150" t="s">
        <v>662</v>
      </c>
      <c r="H716" s="150">
        <v>108</v>
      </c>
      <c r="I716" s="150">
        <v>17346624</v>
      </c>
      <c r="J716" s="150" t="s">
        <v>1203</v>
      </c>
      <c r="K716" s="150">
        <v>3</v>
      </c>
      <c r="L716" s="150">
        <v>105</v>
      </c>
      <c r="M716" s="150">
        <v>0</v>
      </c>
      <c r="N716" s="150">
        <v>0</v>
      </c>
      <c r="O716" s="150">
        <v>41221</v>
      </c>
      <c r="P716" s="150">
        <v>108</v>
      </c>
      <c r="Q716" s="150">
        <v>25000</v>
      </c>
      <c r="R716" s="150">
        <v>41221</v>
      </c>
    </row>
    <row r="717" spans="1:18" x14ac:dyDescent="0.25">
      <c r="A717" t="str">
        <f t="shared" si="11"/>
        <v>43-9-135</v>
      </c>
      <c r="B717">
        <v>43</v>
      </c>
      <c r="C717" s="150" t="s">
        <v>1192</v>
      </c>
      <c r="D717" s="150">
        <v>9</v>
      </c>
      <c r="E717" s="150" t="s">
        <v>683</v>
      </c>
      <c r="F717" s="150">
        <v>135</v>
      </c>
      <c r="G717" s="150" t="s">
        <v>1140</v>
      </c>
      <c r="H717" s="150">
        <v>0</v>
      </c>
      <c r="I717" s="150">
        <v>0</v>
      </c>
      <c r="J717" s="150" t="s">
        <v>1203</v>
      </c>
      <c r="K717" s="150">
        <v>0</v>
      </c>
      <c r="L717" s="150">
        <v>0</v>
      </c>
      <c r="M717" s="150">
        <v>0</v>
      </c>
      <c r="N717" s="150">
        <v>0</v>
      </c>
      <c r="O717" s="150">
        <v>1870541</v>
      </c>
      <c r="P717" s="150">
        <v>1960931</v>
      </c>
      <c r="Q717" s="150">
        <v>2068417</v>
      </c>
      <c r="R717" s="150">
        <v>2068417</v>
      </c>
    </row>
    <row r="718" spans="1:18" x14ac:dyDescent="0.25">
      <c r="A718" t="str">
        <f t="shared" si="11"/>
        <v>43-12-15</v>
      </c>
      <c r="B718">
        <v>43</v>
      </c>
      <c r="C718" s="150" t="s">
        <v>1192</v>
      </c>
      <c r="D718" s="150">
        <v>12</v>
      </c>
      <c r="E718" s="150" t="s">
        <v>151</v>
      </c>
      <c r="F718" s="150">
        <v>15</v>
      </c>
      <c r="G718" s="150" t="s">
        <v>1395</v>
      </c>
      <c r="H718" s="150">
        <v>195662</v>
      </c>
      <c r="I718" s="150">
        <v>32123116</v>
      </c>
      <c r="J718" s="150" t="s">
        <v>1203</v>
      </c>
      <c r="K718" s="150">
        <v>1237</v>
      </c>
      <c r="L718" s="150">
        <v>4651</v>
      </c>
      <c r="M718" s="150">
        <v>545.45000000000005</v>
      </c>
      <c r="N718" s="150">
        <v>0</v>
      </c>
      <c r="O718" s="150">
        <v>1305888</v>
      </c>
      <c r="P718" s="150">
        <v>1361447</v>
      </c>
      <c r="Q718" s="150">
        <v>1306433.45</v>
      </c>
      <c r="R718" s="150">
        <v>1361447</v>
      </c>
    </row>
    <row r="719" spans="1:18" x14ac:dyDescent="0.25">
      <c r="A719" t="str">
        <f t="shared" si="11"/>
        <v>2-4-177</v>
      </c>
      <c r="B719">
        <v>2</v>
      </c>
      <c r="C719" s="150" t="s">
        <v>1156</v>
      </c>
      <c r="D719" s="150">
        <v>4</v>
      </c>
      <c r="E719" s="150" t="s">
        <v>146</v>
      </c>
      <c r="F719" s="150">
        <v>177</v>
      </c>
      <c r="G719" s="150" t="s">
        <v>722</v>
      </c>
      <c r="H719" s="150">
        <v>0</v>
      </c>
      <c r="I719" s="150">
        <v>514925</v>
      </c>
      <c r="J719" s="150">
        <v>1</v>
      </c>
      <c r="K719" s="150">
        <v>0</v>
      </c>
      <c r="L719" s="150">
        <v>31457</v>
      </c>
      <c r="M719" s="150">
        <v>3350.9</v>
      </c>
      <c r="N719" s="150">
        <v>0</v>
      </c>
      <c r="O719" s="150">
        <v>64000</v>
      </c>
      <c r="P719" s="150">
        <v>64000</v>
      </c>
      <c r="Q719" s="150">
        <v>65920</v>
      </c>
      <c r="R719" s="150">
        <v>65920</v>
      </c>
    </row>
    <row r="720" spans="1:18" x14ac:dyDescent="0.25">
      <c r="A720" t="str">
        <f t="shared" si="11"/>
        <v>43-4-177</v>
      </c>
      <c r="B720">
        <v>43</v>
      </c>
      <c r="C720" s="150" t="s">
        <v>1192</v>
      </c>
      <c r="D720" s="150">
        <v>4</v>
      </c>
      <c r="E720" s="150" t="s">
        <v>146</v>
      </c>
      <c r="F720" s="150">
        <v>177</v>
      </c>
      <c r="G720" s="150" t="s">
        <v>722</v>
      </c>
      <c r="H720" s="150">
        <v>0</v>
      </c>
      <c r="I720" s="150">
        <v>36730607</v>
      </c>
      <c r="J720" s="150">
        <v>1</v>
      </c>
      <c r="K720" s="150">
        <v>0</v>
      </c>
      <c r="L720" s="150">
        <v>31457</v>
      </c>
      <c r="M720" s="150">
        <v>3350.9</v>
      </c>
      <c r="N720" s="150">
        <v>0</v>
      </c>
      <c r="O720" s="150">
        <v>64000</v>
      </c>
      <c r="P720" s="150">
        <v>64000</v>
      </c>
      <c r="Q720" s="150">
        <v>65920</v>
      </c>
      <c r="R720" s="150">
        <v>65920</v>
      </c>
    </row>
    <row r="721" spans="1:18" x14ac:dyDescent="0.25">
      <c r="A721" t="str">
        <f t="shared" si="11"/>
        <v>3-7-85</v>
      </c>
      <c r="B721">
        <v>3</v>
      </c>
      <c r="C721" s="150" t="s">
        <v>1157</v>
      </c>
      <c r="D721" s="150">
        <v>7</v>
      </c>
      <c r="E721" s="150" t="s">
        <v>681</v>
      </c>
      <c r="F721" s="150">
        <v>85</v>
      </c>
      <c r="G721" s="150" t="s">
        <v>195</v>
      </c>
      <c r="H721" s="150">
        <v>373</v>
      </c>
      <c r="I721" s="150">
        <v>71454582</v>
      </c>
      <c r="J721" s="150" t="s">
        <v>1203</v>
      </c>
      <c r="K721" s="150">
        <v>130</v>
      </c>
      <c r="L721" s="150">
        <v>243</v>
      </c>
      <c r="M721" s="150">
        <v>160.34</v>
      </c>
      <c r="N721" s="150">
        <v>0</v>
      </c>
      <c r="O721" s="150">
        <v>29363</v>
      </c>
      <c r="P721" s="150">
        <v>30377</v>
      </c>
      <c r="Q721" s="150">
        <v>30537.34</v>
      </c>
      <c r="R721" s="150">
        <v>30537.34</v>
      </c>
    </row>
    <row r="722" spans="1:18" x14ac:dyDescent="0.25">
      <c r="A722" t="str">
        <f t="shared" si="11"/>
        <v>3-9-126</v>
      </c>
      <c r="B722">
        <v>3</v>
      </c>
      <c r="C722" s="150" t="s">
        <v>1157</v>
      </c>
      <c r="D722" s="150">
        <v>9</v>
      </c>
      <c r="E722" s="150" t="s">
        <v>683</v>
      </c>
      <c r="F722" s="150">
        <v>126</v>
      </c>
      <c r="G722" s="150" t="s">
        <v>742</v>
      </c>
      <c r="H722" s="150">
        <v>11</v>
      </c>
      <c r="I722" s="150">
        <v>723000</v>
      </c>
      <c r="J722" s="150" t="s">
        <v>1203</v>
      </c>
      <c r="K722" s="150">
        <v>0</v>
      </c>
      <c r="L722" s="150">
        <v>0</v>
      </c>
      <c r="M722" s="150">
        <v>0</v>
      </c>
      <c r="N722" s="150">
        <v>0</v>
      </c>
      <c r="O722" s="150">
        <v>16919</v>
      </c>
      <c r="P722" s="150">
        <v>17568</v>
      </c>
      <c r="Q722" s="150">
        <v>18780</v>
      </c>
      <c r="R722" s="150">
        <v>18780</v>
      </c>
    </row>
    <row r="723" spans="1:18" x14ac:dyDescent="0.25">
      <c r="A723" t="str">
        <f t="shared" si="11"/>
        <v>2-9-51</v>
      </c>
      <c r="B723">
        <v>2</v>
      </c>
      <c r="C723" s="150" t="s">
        <v>1156</v>
      </c>
      <c r="D723" s="150">
        <v>9</v>
      </c>
      <c r="E723" s="150" t="s">
        <v>683</v>
      </c>
      <c r="F723" s="150">
        <v>51</v>
      </c>
      <c r="G723" s="150" t="s">
        <v>731</v>
      </c>
      <c r="H723" s="150">
        <v>1896</v>
      </c>
      <c r="I723" s="150">
        <v>0</v>
      </c>
      <c r="J723" s="150" t="s">
        <v>1203</v>
      </c>
      <c r="K723" s="150">
        <v>0</v>
      </c>
      <c r="L723" s="150">
        <v>0</v>
      </c>
      <c r="M723" s="150">
        <v>0</v>
      </c>
      <c r="N723" s="150">
        <v>0</v>
      </c>
      <c r="O723" s="150">
        <v>214363</v>
      </c>
      <c r="P723" s="150">
        <v>220794</v>
      </c>
      <c r="Q723" s="150">
        <v>227417</v>
      </c>
      <c r="R723" s="150">
        <v>227417</v>
      </c>
    </row>
    <row r="724" spans="1:18" x14ac:dyDescent="0.25">
      <c r="A724" t="str">
        <f t="shared" si="11"/>
        <v>2-5-30</v>
      </c>
      <c r="B724">
        <v>2</v>
      </c>
      <c r="C724" s="150" t="s">
        <v>1156</v>
      </c>
      <c r="D724" s="150">
        <v>5</v>
      </c>
      <c r="E724" s="150" t="s">
        <v>286</v>
      </c>
      <c r="F724" s="150">
        <v>30</v>
      </c>
      <c r="G724" s="150" t="s">
        <v>726</v>
      </c>
      <c r="H724" s="150">
        <v>0</v>
      </c>
      <c r="I724" s="150">
        <v>22604471</v>
      </c>
      <c r="J724" s="150" t="s">
        <v>1203</v>
      </c>
      <c r="K724" s="150">
        <v>0</v>
      </c>
      <c r="L724" s="150">
        <v>0</v>
      </c>
      <c r="M724" s="150">
        <v>174.29</v>
      </c>
      <c r="N724" s="150">
        <v>0</v>
      </c>
      <c r="O724" s="150">
        <v>119256</v>
      </c>
      <c r="P724" s="150">
        <v>123763</v>
      </c>
      <c r="Q724" s="150">
        <v>227099.29</v>
      </c>
      <c r="R724" s="150">
        <v>227099.29</v>
      </c>
    </row>
    <row r="725" spans="1:18" x14ac:dyDescent="0.25">
      <c r="A725" t="str">
        <f t="shared" si="11"/>
        <v>2-7-89</v>
      </c>
      <c r="B725">
        <v>2</v>
      </c>
      <c r="C725" s="150" t="s">
        <v>1156</v>
      </c>
      <c r="D725" s="150">
        <v>7</v>
      </c>
      <c r="E725" s="150" t="s">
        <v>681</v>
      </c>
      <c r="F725" s="150">
        <v>89</v>
      </c>
      <c r="G725" s="150" t="s">
        <v>729</v>
      </c>
      <c r="H725" s="150">
        <v>1146</v>
      </c>
      <c r="I725" s="150">
        <v>21314383</v>
      </c>
      <c r="J725" s="150" t="s">
        <v>1203</v>
      </c>
      <c r="K725" s="150">
        <v>33</v>
      </c>
      <c r="L725" s="150">
        <v>156</v>
      </c>
      <c r="M725" s="150">
        <v>27.65</v>
      </c>
      <c r="N725" s="150">
        <v>0</v>
      </c>
      <c r="O725" s="150">
        <v>18489</v>
      </c>
      <c r="P725" s="150">
        <v>19183</v>
      </c>
      <c r="Q725" s="150">
        <v>19851.650000000001</v>
      </c>
      <c r="R725" s="150">
        <v>19851.650000000001</v>
      </c>
    </row>
    <row r="726" spans="1:18" x14ac:dyDescent="0.25">
      <c r="A726" t="str">
        <f t="shared" si="11"/>
        <v>2-14-60</v>
      </c>
      <c r="B726">
        <v>2</v>
      </c>
      <c r="C726" s="150" t="s">
        <v>1156</v>
      </c>
      <c r="D726" s="150">
        <v>14</v>
      </c>
      <c r="E726" s="150" t="s">
        <v>665</v>
      </c>
      <c r="F726" s="150">
        <v>60</v>
      </c>
      <c r="G726" s="150" t="s">
        <v>733</v>
      </c>
      <c r="H726" s="150">
        <v>0</v>
      </c>
      <c r="I726" s="150">
        <v>23160270</v>
      </c>
      <c r="J726" s="150" t="s">
        <v>1203</v>
      </c>
      <c r="K726" s="150">
        <v>241</v>
      </c>
      <c r="L726" s="150">
        <v>995</v>
      </c>
      <c r="M726" s="150">
        <v>222.78</v>
      </c>
      <c r="N726" s="150">
        <v>0</v>
      </c>
      <c r="O726" s="150">
        <v>134201</v>
      </c>
      <c r="P726" s="150">
        <v>139339</v>
      </c>
      <c r="Q726" s="150">
        <v>144270.78</v>
      </c>
      <c r="R726" s="150">
        <v>144270.78</v>
      </c>
    </row>
    <row r="727" spans="1:18" x14ac:dyDescent="0.25">
      <c r="A727" t="str">
        <f t="shared" si="11"/>
        <v>2-4-7</v>
      </c>
      <c r="B727">
        <v>2</v>
      </c>
      <c r="C727" s="150" t="s">
        <v>1156</v>
      </c>
      <c r="D727" s="150">
        <v>4</v>
      </c>
      <c r="E727" s="150" t="s">
        <v>146</v>
      </c>
      <c r="F727" s="150">
        <v>7</v>
      </c>
      <c r="G727" s="150" t="s">
        <v>720</v>
      </c>
      <c r="H727" s="150">
        <v>0</v>
      </c>
      <c r="I727" s="150">
        <v>23160270</v>
      </c>
      <c r="J727" s="150" t="s">
        <v>1203</v>
      </c>
      <c r="K727" s="150">
        <v>0</v>
      </c>
      <c r="L727" s="150">
        <v>3286</v>
      </c>
      <c r="M727" s="150">
        <v>596.37</v>
      </c>
      <c r="N727" s="150">
        <v>0</v>
      </c>
      <c r="O727" s="150">
        <v>24610</v>
      </c>
      <c r="P727" s="150">
        <v>24578</v>
      </c>
      <c r="Q727" s="150">
        <v>27787</v>
      </c>
      <c r="R727" s="150">
        <v>27787</v>
      </c>
    </row>
    <row r="728" spans="1:18" x14ac:dyDescent="0.25">
      <c r="A728" t="str">
        <f t="shared" si="11"/>
        <v>1-7-90</v>
      </c>
      <c r="B728">
        <v>1</v>
      </c>
      <c r="C728" s="150" t="s">
        <v>1155</v>
      </c>
      <c r="D728" s="150">
        <v>7</v>
      </c>
      <c r="E728" s="150" t="s">
        <v>681</v>
      </c>
      <c r="F728" s="150">
        <v>90</v>
      </c>
      <c r="G728" s="150" t="s">
        <v>171</v>
      </c>
      <c r="H728" s="150">
        <v>890</v>
      </c>
      <c r="I728" s="150">
        <v>3236063</v>
      </c>
      <c r="J728" s="150">
        <v>1</v>
      </c>
      <c r="K728" s="150">
        <v>1082</v>
      </c>
      <c r="L728" s="150">
        <v>139</v>
      </c>
      <c r="M728" s="150">
        <v>10.16</v>
      </c>
      <c r="N728" s="150">
        <v>0</v>
      </c>
      <c r="O728" s="150">
        <v>26406</v>
      </c>
      <c r="P728" s="150">
        <v>27634</v>
      </c>
      <c r="Q728" s="150">
        <v>29018.16</v>
      </c>
      <c r="R728" s="150">
        <v>29018.16</v>
      </c>
    </row>
    <row r="729" spans="1:18" x14ac:dyDescent="0.25">
      <c r="A729" t="str">
        <f t="shared" si="11"/>
        <v>14-7-90</v>
      </c>
      <c r="B729">
        <v>14</v>
      </c>
      <c r="C729" s="150" t="s">
        <v>1166</v>
      </c>
      <c r="D729" s="150">
        <v>7</v>
      </c>
      <c r="E729" s="150" t="s">
        <v>681</v>
      </c>
      <c r="F729" s="150">
        <v>90</v>
      </c>
      <c r="G729" s="150" t="s">
        <v>171</v>
      </c>
      <c r="H729" s="150">
        <v>890</v>
      </c>
      <c r="I729" s="150">
        <v>9298203</v>
      </c>
      <c r="J729" s="150">
        <v>1</v>
      </c>
      <c r="K729" s="150">
        <v>1082</v>
      </c>
      <c r="L729" s="150">
        <v>139</v>
      </c>
      <c r="M729" s="150">
        <v>10.16</v>
      </c>
      <c r="N729" s="150">
        <v>0</v>
      </c>
      <c r="O729" s="150">
        <v>26406</v>
      </c>
      <c r="P729" s="150">
        <v>27634</v>
      </c>
      <c r="Q729" s="150">
        <v>29018.16</v>
      </c>
      <c r="R729" s="150">
        <v>29018.16</v>
      </c>
    </row>
    <row r="730" spans="1:18" x14ac:dyDescent="0.25">
      <c r="A730" t="str">
        <f t="shared" si="11"/>
        <v>1-9-52</v>
      </c>
      <c r="B730">
        <v>1</v>
      </c>
      <c r="C730" s="150" t="s">
        <v>1155</v>
      </c>
      <c r="D730" s="150">
        <v>9</v>
      </c>
      <c r="E730" s="150" t="s">
        <v>683</v>
      </c>
      <c r="F730" s="150">
        <v>52</v>
      </c>
      <c r="G730" s="150" t="s">
        <v>326</v>
      </c>
      <c r="H730" s="150">
        <v>3705</v>
      </c>
      <c r="I730" s="150">
        <v>0</v>
      </c>
      <c r="J730" s="150">
        <v>1</v>
      </c>
      <c r="K730" s="150">
        <v>10311</v>
      </c>
      <c r="L730" s="150">
        <v>998</v>
      </c>
      <c r="M730" s="150">
        <v>118.95</v>
      </c>
      <c r="N730" s="150">
        <v>0</v>
      </c>
      <c r="O730" s="150">
        <v>161703</v>
      </c>
      <c r="P730" s="150">
        <v>170436</v>
      </c>
      <c r="Q730" s="150">
        <v>170554.95</v>
      </c>
      <c r="R730" s="150">
        <v>170554.95</v>
      </c>
    </row>
    <row r="731" spans="1:18" x14ac:dyDescent="0.25">
      <c r="A731" t="str">
        <f t="shared" si="11"/>
        <v>14-9-52</v>
      </c>
      <c r="B731">
        <v>14</v>
      </c>
      <c r="C731" s="150" t="s">
        <v>1166</v>
      </c>
      <c r="D731" s="150">
        <v>9</v>
      </c>
      <c r="E731" s="150" t="s">
        <v>683</v>
      </c>
      <c r="F731" s="150">
        <v>52</v>
      </c>
      <c r="G731" s="150" t="s">
        <v>326</v>
      </c>
      <c r="H731" s="150">
        <v>3705</v>
      </c>
      <c r="I731" s="150">
        <v>1237775</v>
      </c>
      <c r="J731" s="150">
        <v>1</v>
      </c>
      <c r="K731" s="150">
        <v>10311</v>
      </c>
      <c r="L731" s="150">
        <v>998</v>
      </c>
      <c r="M731" s="150">
        <v>118.95</v>
      </c>
      <c r="N731" s="150">
        <v>0</v>
      </c>
      <c r="O731" s="150">
        <v>161703</v>
      </c>
      <c r="P731" s="150">
        <v>170436</v>
      </c>
      <c r="Q731" s="150">
        <v>170554.95</v>
      </c>
      <c r="R731" s="150">
        <v>170554.95</v>
      </c>
    </row>
    <row r="732" spans="1:18" x14ac:dyDescent="0.25">
      <c r="A732" t="str">
        <f t="shared" si="11"/>
        <v>14-8-1</v>
      </c>
      <c r="B732">
        <v>14</v>
      </c>
      <c r="C732" s="150" t="s">
        <v>1166</v>
      </c>
      <c r="D732" s="150">
        <v>8</v>
      </c>
      <c r="E732" s="150" t="s">
        <v>682</v>
      </c>
      <c r="F732" s="150">
        <v>1</v>
      </c>
      <c r="G732" s="150" t="s">
        <v>339</v>
      </c>
      <c r="H732" s="150">
        <v>621</v>
      </c>
      <c r="I732" s="150">
        <v>5426178</v>
      </c>
      <c r="J732" s="150" t="s">
        <v>1203</v>
      </c>
      <c r="K732" s="150">
        <v>480</v>
      </c>
      <c r="L732" s="150">
        <v>36</v>
      </c>
      <c r="M732" s="150">
        <v>2.21</v>
      </c>
      <c r="N732" s="150">
        <v>0</v>
      </c>
      <c r="O732" s="150">
        <v>12516</v>
      </c>
      <c r="P732" s="150">
        <v>12516</v>
      </c>
      <c r="Q732" s="150">
        <v>12518.21</v>
      </c>
      <c r="R732" s="150">
        <v>12518.21</v>
      </c>
    </row>
    <row r="733" spans="1:18" x14ac:dyDescent="0.25">
      <c r="A733" t="str">
        <f t="shared" si="11"/>
        <v>1-4-44</v>
      </c>
      <c r="B733">
        <v>1</v>
      </c>
      <c r="C733" s="150" t="s">
        <v>1155</v>
      </c>
      <c r="D733" s="150">
        <v>4</v>
      </c>
      <c r="E733" s="150" t="s">
        <v>146</v>
      </c>
      <c r="F733" s="150">
        <v>44</v>
      </c>
      <c r="G733" s="150" t="s">
        <v>702</v>
      </c>
      <c r="H733" s="150">
        <v>0</v>
      </c>
      <c r="I733" s="150">
        <v>8659833</v>
      </c>
      <c r="J733" s="150">
        <v>1</v>
      </c>
      <c r="K733" s="150">
        <v>35300</v>
      </c>
      <c r="L733" s="150">
        <v>6414</v>
      </c>
      <c r="M733" s="150">
        <v>1275.1299999999999</v>
      </c>
      <c r="N733" s="150">
        <v>0</v>
      </c>
      <c r="O733" s="150">
        <v>55629</v>
      </c>
      <c r="P733" s="150">
        <v>0</v>
      </c>
      <c r="Q733" s="150">
        <v>66185</v>
      </c>
      <c r="R733" s="150">
        <v>66185</v>
      </c>
    </row>
    <row r="734" spans="1:18" x14ac:dyDescent="0.25">
      <c r="A734" t="str">
        <f t="shared" si="11"/>
        <v>14-4-44</v>
      </c>
      <c r="B734">
        <v>14</v>
      </c>
      <c r="C734" s="150" t="s">
        <v>1166</v>
      </c>
      <c r="D734" s="150">
        <v>4</v>
      </c>
      <c r="E734" s="150" t="s">
        <v>146</v>
      </c>
      <c r="F734" s="150">
        <v>44</v>
      </c>
      <c r="G734" s="150" t="s">
        <v>702</v>
      </c>
      <c r="H734" s="150">
        <v>0</v>
      </c>
      <c r="I734" s="150">
        <v>11518866</v>
      </c>
      <c r="J734" s="150">
        <v>1</v>
      </c>
      <c r="K734" s="150">
        <v>35300</v>
      </c>
      <c r="L734" s="150">
        <v>6414</v>
      </c>
      <c r="M734" s="150">
        <v>1275.1299999999999</v>
      </c>
      <c r="N734" s="150">
        <v>0</v>
      </c>
      <c r="O734" s="150">
        <v>55629</v>
      </c>
      <c r="P734" s="150">
        <v>0</v>
      </c>
      <c r="Q734" s="150">
        <v>66185</v>
      </c>
      <c r="R734" s="150">
        <v>66185</v>
      </c>
    </row>
    <row r="735" spans="1:18" x14ac:dyDescent="0.25">
      <c r="A735" t="str">
        <f t="shared" si="11"/>
        <v>37-4-44</v>
      </c>
      <c r="B735">
        <v>37</v>
      </c>
      <c r="C735" s="150" t="s">
        <v>1188</v>
      </c>
      <c r="D735" s="150">
        <v>4</v>
      </c>
      <c r="E735" s="150" t="s">
        <v>146</v>
      </c>
      <c r="F735" s="150">
        <v>44</v>
      </c>
      <c r="G735" s="150" t="s">
        <v>702</v>
      </c>
      <c r="H735" s="150">
        <v>0</v>
      </c>
      <c r="I735" s="150">
        <v>7484420</v>
      </c>
      <c r="J735" s="150">
        <v>1</v>
      </c>
      <c r="K735" s="150">
        <v>35300</v>
      </c>
      <c r="L735" s="150">
        <v>6414</v>
      </c>
      <c r="M735" s="150">
        <v>1275.1299999999999</v>
      </c>
      <c r="N735" s="150">
        <v>0</v>
      </c>
      <c r="O735" s="150">
        <v>55629</v>
      </c>
      <c r="P735" s="150">
        <v>0</v>
      </c>
      <c r="Q735" s="150">
        <v>66185</v>
      </c>
      <c r="R735" s="150">
        <v>66185</v>
      </c>
    </row>
    <row r="736" spans="1:18" x14ac:dyDescent="0.25">
      <c r="A736" t="str">
        <f t="shared" si="11"/>
        <v>35-7-92</v>
      </c>
      <c r="B736">
        <v>35</v>
      </c>
      <c r="C736" s="150" t="s">
        <v>1195</v>
      </c>
      <c r="D736" s="150">
        <v>7</v>
      </c>
      <c r="E736" s="150" t="s">
        <v>681</v>
      </c>
      <c r="F736" s="150">
        <v>92</v>
      </c>
      <c r="G736" s="150" t="s">
        <v>590</v>
      </c>
      <c r="H736" s="150">
        <v>0</v>
      </c>
      <c r="I736" s="150">
        <v>3402</v>
      </c>
      <c r="J736" s="150" t="s">
        <v>1203</v>
      </c>
      <c r="K736" s="150">
        <v>46</v>
      </c>
      <c r="L736" s="150">
        <v>1</v>
      </c>
      <c r="M736" s="150">
        <v>0.01</v>
      </c>
      <c r="N736" s="150">
        <v>0</v>
      </c>
      <c r="O736" s="150">
        <v>2161</v>
      </c>
      <c r="P736" s="150">
        <v>2236</v>
      </c>
      <c r="Q736" s="150">
        <v>2293.0100000000002</v>
      </c>
      <c r="R736" s="150">
        <v>2293.0100000000002</v>
      </c>
    </row>
    <row r="737" spans="1:18" x14ac:dyDescent="0.25">
      <c r="A737" t="str">
        <f t="shared" si="11"/>
        <v>1-7-93</v>
      </c>
      <c r="B737">
        <v>1</v>
      </c>
      <c r="C737" s="150" t="s">
        <v>1155</v>
      </c>
      <c r="D737" s="150">
        <v>7</v>
      </c>
      <c r="E737" s="150" t="s">
        <v>681</v>
      </c>
      <c r="F737" s="150">
        <v>93</v>
      </c>
      <c r="G737" s="150" t="s">
        <v>172</v>
      </c>
      <c r="H737" s="150">
        <v>131415</v>
      </c>
      <c r="I737" s="150">
        <v>116817391</v>
      </c>
      <c r="J737" s="150" t="s">
        <v>1203</v>
      </c>
      <c r="K737" s="150">
        <v>161</v>
      </c>
      <c r="L737" s="150">
        <v>1952</v>
      </c>
      <c r="M737" s="150">
        <v>744.94</v>
      </c>
      <c r="N737" s="150">
        <v>0</v>
      </c>
      <c r="O737" s="150">
        <v>676166</v>
      </c>
      <c r="P737" s="150">
        <v>676166</v>
      </c>
      <c r="Q737" s="150">
        <v>715757.94</v>
      </c>
      <c r="R737" s="150">
        <v>715757.94</v>
      </c>
    </row>
    <row r="738" spans="1:18" x14ac:dyDescent="0.25">
      <c r="A738" t="str">
        <f t="shared" si="11"/>
        <v>1-9-56</v>
      </c>
      <c r="B738">
        <v>1</v>
      </c>
      <c r="C738" s="150" t="s">
        <v>1155</v>
      </c>
      <c r="D738" s="150">
        <v>9</v>
      </c>
      <c r="E738" s="150" t="s">
        <v>683</v>
      </c>
      <c r="F738" s="150">
        <v>56</v>
      </c>
      <c r="G738" s="150" t="s">
        <v>707</v>
      </c>
      <c r="H738" s="150">
        <v>785035</v>
      </c>
      <c r="I738" s="150">
        <v>0</v>
      </c>
      <c r="J738" s="150" t="s">
        <v>1203</v>
      </c>
      <c r="K738" s="150">
        <v>5992</v>
      </c>
      <c r="L738" s="150">
        <v>8240</v>
      </c>
      <c r="M738" s="150">
        <v>1003.67</v>
      </c>
      <c r="N738" s="150">
        <v>0</v>
      </c>
      <c r="O738" s="150">
        <v>2082372</v>
      </c>
      <c r="P738" s="150">
        <v>2170430</v>
      </c>
      <c r="Q738" s="150">
        <v>2244528.67</v>
      </c>
      <c r="R738" s="150">
        <v>2244528.67</v>
      </c>
    </row>
    <row r="739" spans="1:18" x14ac:dyDescent="0.25">
      <c r="A739" t="str">
        <f t="shared" si="11"/>
        <v>1-14-27</v>
      </c>
      <c r="B739">
        <v>1</v>
      </c>
      <c r="C739" s="150" t="s">
        <v>1155</v>
      </c>
      <c r="D739" s="150">
        <v>14</v>
      </c>
      <c r="E739" s="150" t="s">
        <v>665</v>
      </c>
      <c r="F739" s="150">
        <v>27</v>
      </c>
      <c r="G739" s="150" t="s">
        <v>177</v>
      </c>
      <c r="H739" s="150">
        <v>0</v>
      </c>
      <c r="I739" s="150">
        <v>123716371</v>
      </c>
      <c r="J739" s="150" t="s">
        <v>1203</v>
      </c>
      <c r="K739" s="150">
        <v>1940</v>
      </c>
      <c r="L739" s="150">
        <v>29979</v>
      </c>
      <c r="M739" s="150">
        <v>9059.5</v>
      </c>
      <c r="N739" s="150">
        <v>0</v>
      </c>
      <c r="O739" s="150">
        <v>6746972</v>
      </c>
      <c r="P739" s="150">
        <v>7044214</v>
      </c>
      <c r="Q739" s="150">
        <v>7774203.5</v>
      </c>
      <c r="R739" s="150">
        <v>7774203.5</v>
      </c>
    </row>
    <row r="740" spans="1:18" x14ac:dyDescent="0.25">
      <c r="A740" t="str">
        <f t="shared" si="11"/>
        <v>28-9-169</v>
      </c>
      <c r="B740">
        <v>28</v>
      </c>
      <c r="C740" s="150" t="s">
        <v>1180</v>
      </c>
      <c r="D740" s="150">
        <v>9</v>
      </c>
      <c r="E740" s="150" t="s">
        <v>683</v>
      </c>
      <c r="F740" s="150">
        <v>169</v>
      </c>
      <c r="G740" s="150" t="s">
        <v>1012</v>
      </c>
      <c r="H740" s="150">
        <v>0</v>
      </c>
      <c r="I740" s="150">
        <v>0</v>
      </c>
      <c r="J740" s="150" t="s">
        <v>1203</v>
      </c>
      <c r="K740" s="150">
        <v>189</v>
      </c>
      <c r="L740" s="150">
        <v>204</v>
      </c>
      <c r="M740" s="150">
        <v>3.31</v>
      </c>
      <c r="N740" s="150">
        <v>0</v>
      </c>
      <c r="O740" s="150">
        <v>399567</v>
      </c>
      <c r="P740" s="150">
        <v>414087</v>
      </c>
      <c r="Q740" s="150">
        <v>430510.31</v>
      </c>
      <c r="R740" s="150">
        <v>430510.31</v>
      </c>
    </row>
    <row r="741" spans="1:18" x14ac:dyDescent="0.25">
      <c r="A741" t="str">
        <f t="shared" si="11"/>
        <v>14-7-94</v>
      </c>
      <c r="B741">
        <v>14</v>
      </c>
      <c r="C741" s="150" t="s">
        <v>1166</v>
      </c>
      <c r="D741" s="150">
        <v>7</v>
      </c>
      <c r="E741" s="150" t="s">
        <v>681</v>
      </c>
      <c r="F741" s="150">
        <v>94</v>
      </c>
      <c r="G741" s="150" t="s">
        <v>318</v>
      </c>
      <c r="H741" s="150">
        <v>0</v>
      </c>
      <c r="I741" s="150">
        <v>19488397</v>
      </c>
      <c r="J741" s="150" t="s">
        <v>1203</v>
      </c>
      <c r="K741" s="150">
        <v>304</v>
      </c>
      <c r="L741" s="150">
        <v>231</v>
      </c>
      <c r="M741" s="150">
        <v>18.559999999999999</v>
      </c>
      <c r="N741" s="150">
        <v>0</v>
      </c>
      <c r="O741" s="150">
        <v>62517</v>
      </c>
      <c r="P741" s="150">
        <v>66904</v>
      </c>
      <c r="Q741" s="150">
        <v>72232.56</v>
      </c>
      <c r="R741" s="150">
        <v>72232.56</v>
      </c>
    </row>
    <row r="742" spans="1:18" x14ac:dyDescent="0.25">
      <c r="A742" t="str">
        <f t="shared" si="11"/>
        <v>14-9-57</v>
      </c>
      <c r="B742">
        <v>14</v>
      </c>
      <c r="C742" s="150" t="s">
        <v>1166</v>
      </c>
      <c r="D742" s="150">
        <v>9</v>
      </c>
      <c r="E742" s="150" t="s">
        <v>683</v>
      </c>
      <c r="F742" s="150">
        <v>57</v>
      </c>
      <c r="G742" s="150" t="s">
        <v>327</v>
      </c>
      <c r="H742" s="150">
        <v>0</v>
      </c>
      <c r="I742" s="150">
        <v>62323</v>
      </c>
      <c r="J742" s="150">
        <v>1</v>
      </c>
      <c r="K742" s="150">
        <v>7941</v>
      </c>
      <c r="L742" s="150">
        <v>11186</v>
      </c>
      <c r="M742" s="150">
        <v>501.88</v>
      </c>
      <c r="N742" s="150">
        <v>0</v>
      </c>
      <c r="O742" s="150">
        <v>2310802</v>
      </c>
      <c r="P742" s="150">
        <v>2463396</v>
      </c>
      <c r="Q742" s="150">
        <v>2638398.88</v>
      </c>
      <c r="R742" s="150">
        <v>2638398.88</v>
      </c>
    </row>
    <row r="743" spans="1:18" x14ac:dyDescent="0.25">
      <c r="A743" t="str">
        <f t="shared" si="11"/>
        <v>23-9-57</v>
      </c>
      <c r="B743">
        <v>23</v>
      </c>
      <c r="C743" s="150" t="s">
        <v>1175</v>
      </c>
      <c r="D743" s="150">
        <v>9</v>
      </c>
      <c r="E743" s="150" t="s">
        <v>683</v>
      </c>
      <c r="F743" s="150">
        <v>57</v>
      </c>
      <c r="G743" s="150" t="s">
        <v>327</v>
      </c>
      <c r="H743" s="150">
        <v>0</v>
      </c>
      <c r="I743" s="150">
        <v>23343</v>
      </c>
      <c r="J743" s="150">
        <v>1</v>
      </c>
      <c r="K743" s="150">
        <v>7941</v>
      </c>
      <c r="L743" s="150">
        <v>11186</v>
      </c>
      <c r="M743" s="150">
        <v>501.88</v>
      </c>
      <c r="N743" s="150">
        <v>0</v>
      </c>
      <c r="O743" s="150">
        <v>2310802</v>
      </c>
      <c r="P743" s="150">
        <v>2463396</v>
      </c>
      <c r="Q743" s="150">
        <v>2638398.88</v>
      </c>
      <c r="R743" s="150">
        <v>2638398.88</v>
      </c>
    </row>
    <row r="744" spans="1:18" x14ac:dyDescent="0.25">
      <c r="A744" t="str">
        <f t="shared" si="11"/>
        <v>14-17-23</v>
      </c>
      <c r="B744">
        <v>14</v>
      </c>
      <c r="C744" s="150" t="s">
        <v>1166</v>
      </c>
      <c r="D744" s="150">
        <v>17</v>
      </c>
      <c r="E744" s="150" t="s">
        <v>688</v>
      </c>
      <c r="F744" s="150">
        <v>23</v>
      </c>
      <c r="G744" s="150" t="s">
        <v>866</v>
      </c>
      <c r="H744" s="150">
        <v>0</v>
      </c>
      <c r="I744" s="150">
        <v>30786131</v>
      </c>
      <c r="J744" s="150" t="s">
        <v>1203</v>
      </c>
      <c r="K744" s="150">
        <v>0</v>
      </c>
      <c r="L744" s="150">
        <v>2766</v>
      </c>
      <c r="M744" s="150">
        <v>242.01</v>
      </c>
      <c r="N744" s="150">
        <v>0</v>
      </c>
      <c r="O744" s="150">
        <v>842310</v>
      </c>
      <c r="P744" s="150">
        <v>899701</v>
      </c>
      <c r="Q744" s="150">
        <v>967875.01</v>
      </c>
      <c r="R744" s="150">
        <v>967875.01</v>
      </c>
    </row>
    <row r="745" spans="1:18" x14ac:dyDescent="0.25">
      <c r="A745" t="str">
        <f t="shared" si="11"/>
        <v>14-4-42</v>
      </c>
      <c r="B745">
        <v>14</v>
      </c>
      <c r="C745" s="150" t="s">
        <v>1166</v>
      </c>
      <c r="D745" s="150">
        <v>4</v>
      </c>
      <c r="E745" s="150" t="s">
        <v>146</v>
      </c>
      <c r="F745" s="150">
        <v>42</v>
      </c>
      <c r="G745" s="150" t="s">
        <v>858</v>
      </c>
      <c r="H745" s="150">
        <v>0</v>
      </c>
      <c r="I745" s="150">
        <v>30786131</v>
      </c>
      <c r="J745" s="150" t="s">
        <v>1203</v>
      </c>
      <c r="K745" s="150">
        <v>12562</v>
      </c>
      <c r="L745" s="150">
        <v>25638</v>
      </c>
      <c r="M745" s="150">
        <v>1732.81</v>
      </c>
      <c r="N745" s="150">
        <v>0</v>
      </c>
      <c r="O745" s="150">
        <v>88449</v>
      </c>
      <c r="P745" s="150">
        <v>94475</v>
      </c>
      <c r="Q745" s="150">
        <v>101634</v>
      </c>
      <c r="R745" s="150">
        <v>101634</v>
      </c>
    </row>
    <row r="746" spans="1:18" x14ac:dyDescent="0.25">
      <c r="A746" t="str">
        <f t="shared" si="11"/>
        <v>44-7-95</v>
      </c>
      <c r="B746">
        <v>44</v>
      </c>
      <c r="C746" s="150" t="s">
        <v>1193</v>
      </c>
      <c r="D746" s="150">
        <v>7</v>
      </c>
      <c r="E746" s="150" t="s">
        <v>681</v>
      </c>
      <c r="F746" s="150">
        <v>95</v>
      </c>
      <c r="G746" s="150" t="s">
        <v>674</v>
      </c>
      <c r="H746" s="150">
        <v>4183</v>
      </c>
      <c r="I746" s="150">
        <v>74569299</v>
      </c>
      <c r="J746" s="150" t="s">
        <v>1203</v>
      </c>
      <c r="K746" s="150">
        <v>1206</v>
      </c>
      <c r="L746" s="150">
        <v>137</v>
      </c>
      <c r="M746" s="150">
        <v>50.13</v>
      </c>
      <c r="N746" s="150">
        <v>0</v>
      </c>
      <c r="O746" s="150">
        <v>34176</v>
      </c>
      <c r="P746" s="150">
        <v>35784</v>
      </c>
      <c r="Q746" s="150">
        <v>37008.129999999997</v>
      </c>
      <c r="R746" s="150">
        <v>37008.129999999997</v>
      </c>
    </row>
    <row r="747" spans="1:18" x14ac:dyDescent="0.25">
      <c r="A747" t="str">
        <f t="shared" si="11"/>
        <v>44-9-58</v>
      </c>
      <c r="B747">
        <v>44</v>
      </c>
      <c r="C747" s="150" t="s">
        <v>1193</v>
      </c>
      <c r="D747" s="150">
        <v>9</v>
      </c>
      <c r="E747" s="150" t="s">
        <v>683</v>
      </c>
      <c r="F747" s="150">
        <v>58</v>
      </c>
      <c r="G747" s="150" t="s">
        <v>676</v>
      </c>
      <c r="H747" s="150">
        <v>1221</v>
      </c>
      <c r="I747" s="150">
        <v>0</v>
      </c>
      <c r="J747" s="150" t="s">
        <v>1203</v>
      </c>
      <c r="K747" s="150">
        <v>2415</v>
      </c>
      <c r="L747" s="150">
        <v>284</v>
      </c>
      <c r="M747" s="150">
        <v>23.86</v>
      </c>
      <c r="N747" s="150">
        <v>0</v>
      </c>
      <c r="O747" s="150">
        <v>52647</v>
      </c>
      <c r="P747" s="150">
        <v>55739</v>
      </c>
      <c r="Q747" s="150">
        <v>57847.86</v>
      </c>
      <c r="R747" s="150">
        <v>57847.86</v>
      </c>
    </row>
    <row r="748" spans="1:18" x14ac:dyDescent="0.25">
      <c r="A748" t="str">
        <f t="shared" si="11"/>
        <v>44-14-28</v>
      </c>
      <c r="B748">
        <v>44</v>
      </c>
      <c r="C748" s="150" t="s">
        <v>1193</v>
      </c>
      <c r="D748" s="150">
        <v>14</v>
      </c>
      <c r="E748" s="150" t="s">
        <v>665</v>
      </c>
      <c r="F748" s="150">
        <v>28</v>
      </c>
      <c r="G748" s="150" t="s">
        <v>678</v>
      </c>
      <c r="H748" s="150">
        <v>0</v>
      </c>
      <c r="I748" s="150">
        <v>93861484</v>
      </c>
      <c r="J748" s="150" t="s">
        <v>1203</v>
      </c>
      <c r="K748" s="150">
        <v>904</v>
      </c>
      <c r="L748" s="150">
        <v>117</v>
      </c>
      <c r="M748" s="150">
        <v>47.76</v>
      </c>
      <c r="N748" s="150">
        <v>0</v>
      </c>
      <c r="O748" s="150">
        <v>33294</v>
      </c>
      <c r="P748" s="150">
        <v>34738</v>
      </c>
      <c r="Q748" s="150">
        <v>35899.760000000002</v>
      </c>
      <c r="R748" s="150">
        <v>35899.760000000002</v>
      </c>
    </row>
    <row r="749" spans="1:18" x14ac:dyDescent="0.25">
      <c r="A749" t="str">
        <f t="shared" si="11"/>
        <v>44-4-182</v>
      </c>
      <c r="B749">
        <v>44</v>
      </c>
      <c r="C749" s="150" t="s">
        <v>1193</v>
      </c>
      <c r="D749" s="150">
        <v>4</v>
      </c>
      <c r="E749" s="150" t="s">
        <v>146</v>
      </c>
      <c r="F749" s="150">
        <v>182</v>
      </c>
      <c r="G749" s="150" t="s">
        <v>1148</v>
      </c>
      <c r="H749" s="150">
        <v>0</v>
      </c>
      <c r="I749" s="150">
        <v>93861484</v>
      </c>
      <c r="J749" s="150" t="s">
        <v>1203</v>
      </c>
      <c r="K749" s="150">
        <v>0</v>
      </c>
      <c r="L749" s="150">
        <v>64</v>
      </c>
      <c r="M749" s="150">
        <v>366.38</v>
      </c>
      <c r="N749" s="150">
        <v>0</v>
      </c>
      <c r="O749" s="150">
        <v>8730</v>
      </c>
      <c r="P749" s="150">
        <v>8730</v>
      </c>
      <c r="Q749" s="150">
        <v>9022</v>
      </c>
      <c r="R749" s="150">
        <v>9022</v>
      </c>
    </row>
    <row r="750" spans="1:18" x14ac:dyDescent="0.25">
      <c r="A750" t="str">
        <f t="shared" si="11"/>
        <v>26-15-21</v>
      </c>
      <c r="B750">
        <v>26</v>
      </c>
      <c r="C750" s="150" t="s">
        <v>1178</v>
      </c>
      <c r="D750" s="150">
        <v>15</v>
      </c>
      <c r="E750" s="150" t="s">
        <v>237</v>
      </c>
      <c r="F750" s="150">
        <v>21</v>
      </c>
      <c r="G750" s="150" t="s">
        <v>997</v>
      </c>
      <c r="H750" s="150">
        <v>204271</v>
      </c>
      <c r="I750" s="150">
        <v>84102413</v>
      </c>
      <c r="J750" s="150" t="s">
        <v>1203</v>
      </c>
      <c r="K750" s="150">
        <v>0</v>
      </c>
      <c r="L750" s="150">
        <v>5391</v>
      </c>
      <c r="M750" s="150">
        <v>1057.4100000000001</v>
      </c>
      <c r="N750" s="150">
        <v>0</v>
      </c>
      <c r="O750" s="150">
        <v>434123</v>
      </c>
      <c r="P750" s="150">
        <v>451148</v>
      </c>
      <c r="Q750" s="150">
        <v>451148.41</v>
      </c>
      <c r="R750" s="150">
        <v>451148.41</v>
      </c>
    </row>
    <row r="751" spans="1:18" x14ac:dyDescent="0.25">
      <c r="A751" t="str">
        <f t="shared" si="11"/>
        <v>10-7-96</v>
      </c>
      <c r="B751">
        <v>10</v>
      </c>
      <c r="C751" s="150" t="s">
        <v>1162</v>
      </c>
      <c r="D751" s="150">
        <v>7</v>
      </c>
      <c r="E751" s="150" t="s">
        <v>681</v>
      </c>
      <c r="F751" s="150">
        <v>96</v>
      </c>
      <c r="G751" s="150" t="s">
        <v>290</v>
      </c>
      <c r="H751" s="150">
        <v>1301</v>
      </c>
      <c r="I751" s="150">
        <v>1652335</v>
      </c>
      <c r="J751" s="150" t="s">
        <v>1203</v>
      </c>
      <c r="K751" s="150">
        <v>275</v>
      </c>
      <c r="L751" s="150">
        <v>43</v>
      </c>
      <c r="M751" s="150">
        <v>7.84</v>
      </c>
      <c r="N751" s="150">
        <v>0</v>
      </c>
      <c r="O751" s="150">
        <v>10646</v>
      </c>
      <c r="P751" s="150">
        <v>11002</v>
      </c>
      <c r="Q751" s="150">
        <v>11452.84</v>
      </c>
      <c r="R751" s="150">
        <v>11452.84</v>
      </c>
    </row>
    <row r="752" spans="1:18" x14ac:dyDescent="0.25">
      <c r="A752" t="str">
        <f t="shared" si="11"/>
        <v>34-2-34</v>
      </c>
      <c r="B752">
        <v>34</v>
      </c>
      <c r="C752" s="150" t="s">
        <v>1186</v>
      </c>
      <c r="D752" s="150">
        <v>2</v>
      </c>
      <c r="E752" s="150" t="s">
        <v>110</v>
      </c>
      <c r="F752" s="150">
        <v>34</v>
      </c>
      <c r="G752" s="150" t="s">
        <v>578</v>
      </c>
      <c r="H752" s="150">
        <v>0</v>
      </c>
      <c r="I752" s="150">
        <v>82905725</v>
      </c>
      <c r="J752" s="150" t="s">
        <v>1203</v>
      </c>
      <c r="K752" s="150">
        <v>258789</v>
      </c>
      <c r="L752" s="150">
        <v>74251</v>
      </c>
      <c r="M752" s="150">
        <v>26474.129999999997</v>
      </c>
      <c r="N752" s="150">
        <v>0</v>
      </c>
      <c r="O752" s="150">
        <v>6752761</v>
      </c>
      <c r="P752" s="150">
        <v>7356122</v>
      </c>
      <c r="Q752" s="150">
        <v>7664187.1299999999</v>
      </c>
      <c r="R752" s="150">
        <v>7664187.1299999999</v>
      </c>
    </row>
    <row r="753" spans="1:18" x14ac:dyDescent="0.25">
      <c r="A753" t="str">
        <f t="shared" si="11"/>
        <v>7-9-59</v>
      </c>
      <c r="B753">
        <v>7</v>
      </c>
      <c r="C753" s="150" t="s">
        <v>1199</v>
      </c>
      <c r="D753" s="150">
        <v>9</v>
      </c>
      <c r="E753" s="150" t="s">
        <v>683</v>
      </c>
      <c r="F753" s="150">
        <v>59</v>
      </c>
      <c r="G753" s="150" t="s">
        <v>789</v>
      </c>
      <c r="H753" s="150">
        <v>0</v>
      </c>
      <c r="I753" s="150">
        <v>0</v>
      </c>
      <c r="J753" s="150">
        <v>1</v>
      </c>
      <c r="K753" s="150">
        <v>31144</v>
      </c>
      <c r="L753" s="150">
        <v>4197</v>
      </c>
      <c r="M753" s="150">
        <v>1851.27</v>
      </c>
      <c r="N753" s="150">
        <v>0</v>
      </c>
      <c r="O753" s="150">
        <v>757225</v>
      </c>
      <c r="P753" s="150">
        <v>789390</v>
      </c>
      <c r="Q753" s="150">
        <v>825724.27</v>
      </c>
      <c r="R753" s="150">
        <v>825724.27</v>
      </c>
    </row>
    <row r="754" spans="1:18" x14ac:dyDescent="0.25">
      <c r="A754" t="str">
        <f t="shared" si="11"/>
        <v>16-9-59</v>
      </c>
      <c r="B754">
        <v>16</v>
      </c>
      <c r="C754" s="150" t="s">
        <v>1168</v>
      </c>
      <c r="D754" s="150">
        <v>9</v>
      </c>
      <c r="E754" s="150" t="s">
        <v>683</v>
      </c>
      <c r="F754" s="150">
        <v>59</v>
      </c>
      <c r="G754" s="150" t="s">
        <v>789</v>
      </c>
      <c r="H754" s="150">
        <v>0</v>
      </c>
      <c r="I754" s="150">
        <v>0</v>
      </c>
      <c r="J754" s="150">
        <v>1</v>
      </c>
      <c r="K754" s="150">
        <v>31144</v>
      </c>
      <c r="L754" s="150">
        <v>4197</v>
      </c>
      <c r="M754" s="150">
        <v>1851.27</v>
      </c>
      <c r="N754" s="150">
        <v>0</v>
      </c>
      <c r="O754" s="150">
        <v>757225</v>
      </c>
      <c r="P754" s="150">
        <v>789390</v>
      </c>
      <c r="Q754" s="150">
        <v>825724.27</v>
      </c>
      <c r="R754" s="150">
        <v>825724.27</v>
      </c>
    </row>
    <row r="755" spans="1:18" x14ac:dyDescent="0.25">
      <c r="A755" t="str">
        <f t="shared" si="11"/>
        <v>34-9-59</v>
      </c>
      <c r="B755">
        <v>34</v>
      </c>
      <c r="C755" s="150" t="s">
        <v>1186</v>
      </c>
      <c r="D755" s="150">
        <v>9</v>
      </c>
      <c r="E755" s="150" t="s">
        <v>683</v>
      </c>
      <c r="F755" s="150">
        <v>59</v>
      </c>
      <c r="G755" s="150" t="s">
        <v>789</v>
      </c>
      <c r="H755" s="150">
        <v>0</v>
      </c>
      <c r="I755" s="150">
        <v>0</v>
      </c>
      <c r="J755" s="150">
        <v>1</v>
      </c>
      <c r="K755" s="150">
        <v>31144</v>
      </c>
      <c r="L755" s="150">
        <v>4197</v>
      </c>
      <c r="M755" s="150">
        <v>1851.27</v>
      </c>
      <c r="N755" s="150">
        <v>0</v>
      </c>
      <c r="O755" s="150">
        <v>757225</v>
      </c>
      <c r="P755" s="150">
        <v>789390</v>
      </c>
      <c r="Q755" s="150">
        <v>825724.27</v>
      </c>
      <c r="R755" s="150">
        <v>825724.27</v>
      </c>
    </row>
    <row r="756" spans="1:18" x14ac:dyDescent="0.25">
      <c r="A756" t="str">
        <f t="shared" si="11"/>
        <v>34-11-39</v>
      </c>
      <c r="B756">
        <v>34</v>
      </c>
      <c r="C756" s="150" t="s">
        <v>1186</v>
      </c>
      <c r="D756" s="150">
        <v>11</v>
      </c>
      <c r="E756" s="150" t="s">
        <v>1204</v>
      </c>
      <c r="F756" s="150">
        <v>39</v>
      </c>
      <c r="G756" s="150" t="s">
        <v>1069</v>
      </c>
      <c r="H756" s="150">
        <v>0</v>
      </c>
      <c r="I756" s="150">
        <v>82905725</v>
      </c>
      <c r="J756" s="150" t="s">
        <v>1203</v>
      </c>
      <c r="K756" s="150">
        <v>67957</v>
      </c>
      <c r="L756" s="150">
        <v>17866</v>
      </c>
      <c r="M756" s="150">
        <v>6696.62</v>
      </c>
      <c r="N756" s="150">
        <v>0</v>
      </c>
      <c r="O756" s="150">
        <v>1789478</v>
      </c>
      <c r="P756" s="150">
        <v>1873575</v>
      </c>
      <c r="Q756" s="150">
        <v>1952037.62</v>
      </c>
      <c r="R756" s="150">
        <v>1952037.62</v>
      </c>
    </row>
    <row r="757" spans="1:18" x14ac:dyDescent="0.25">
      <c r="A757" t="str">
        <f t="shared" si="11"/>
        <v>16-4-135</v>
      </c>
      <c r="B757">
        <v>16</v>
      </c>
      <c r="C757" s="150" t="s">
        <v>1168</v>
      </c>
      <c r="D757" s="150">
        <v>4</v>
      </c>
      <c r="E757" s="150" t="s">
        <v>146</v>
      </c>
      <c r="F757" s="150">
        <v>135</v>
      </c>
      <c r="G757" s="150" t="s">
        <v>872</v>
      </c>
      <c r="H757" s="150">
        <v>0</v>
      </c>
      <c r="I757" s="150">
        <v>1030861</v>
      </c>
      <c r="J757" s="150">
        <v>1</v>
      </c>
      <c r="K757" s="150">
        <v>76853</v>
      </c>
      <c r="L757" s="150">
        <v>42280</v>
      </c>
      <c r="M757" s="150">
        <v>14800.82</v>
      </c>
      <c r="N757" s="150">
        <v>0</v>
      </c>
      <c r="O757" s="150">
        <v>130785</v>
      </c>
      <c r="P757" s="150">
        <v>136795</v>
      </c>
      <c r="Q757" s="150">
        <v>142545</v>
      </c>
      <c r="R757" s="150">
        <v>142545</v>
      </c>
    </row>
    <row r="758" spans="1:18" x14ac:dyDescent="0.25">
      <c r="A758" t="str">
        <f t="shared" si="11"/>
        <v>27-4-135</v>
      </c>
      <c r="B758">
        <v>27</v>
      </c>
      <c r="C758" s="150" t="s">
        <v>1179</v>
      </c>
      <c r="D758" s="150">
        <v>4</v>
      </c>
      <c r="E758" s="150" t="s">
        <v>146</v>
      </c>
      <c r="F758" s="150">
        <v>135</v>
      </c>
      <c r="G758" s="150" t="s">
        <v>872</v>
      </c>
      <c r="H758" s="150">
        <v>0</v>
      </c>
      <c r="I758" s="150">
        <v>7216316</v>
      </c>
      <c r="J758" s="150">
        <v>1</v>
      </c>
      <c r="K758" s="150">
        <v>76853</v>
      </c>
      <c r="L758" s="150">
        <v>42280</v>
      </c>
      <c r="M758" s="150">
        <v>14800.82</v>
      </c>
      <c r="N758" s="150">
        <v>0</v>
      </c>
      <c r="O758" s="150">
        <v>130785</v>
      </c>
      <c r="P758" s="150">
        <v>136795</v>
      </c>
      <c r="Q758" s="150">
        <v>142545</v>
      </c>
      <c r="R758" s="150">
        <v>142545</v>
      </c>
    </row>
    <row r="759" spans="1:18" x14ac:dyDescent="0.25">
      <c r="A759" t="str">
        <f t="shared" si="11"/>
        <v>32-4-135</v>
      </c>
      <c r="B759">
        <v>32</v>
      </c>
      <c r="C759" s="150" t="s">
        <v>1184</v>
      </c>
      <c r="D759" s="150">
        <v>4</v>
      </c>
      <c r="E759" s="150" t="s">
        <v>146</v>
      </c>
      <c r="F759" s="150">
        <v>135</v>
      </c>
      <c r="G759" s="150" t="s">
        <v>872</v>
      </c>
      <c r="H759" s="150">
        <v>0</v>
      </c>
      <c r="I759" s="150">
        <v>19768641</v>
      </c>
      <c r="J759" s="150">
        <v>1</v>
      </c>
      <c r="K759" s="150">
        <v>76853</v>
      </c>
      <c r="L759" s="150">
        <v>42280</v>
      </c>
      <c r="M759" s="150">
        <v>14800.82</v>
      </c>
      <c r="N759" s="150">
        <v>0</v>
      </c>
      <c r="O759" s="150">
        <v>130785</v>
      </c>
      <c r="P759" s="150">
        <v>136795</v>
      </c>
      <c r="Q759" s="150">
        <v>142545</v>
      </c>
      <c r="R759" s="150">
        <v>142545</v>
      </c>
    </row>
    <row r="760" spans="1:18" x14ac:dyDescent="0.25">
      <c r="A760" t="str">
        <f t="shared" si="11"/>
        <v>34-4-135</v>
      </c>
      <c r="B760">
        <v>34</v>
      </c>
      <c r="C760" s="150" t="s">
        <v>1186</v>
      </c>
      <c r="D760" s="150">
        <v>4</v>
      </c>
      <c r="E760" s="150" t="s">
        <v>146</v>
      </c>
      <c r="F760" s="150">
        <v>135</v>
      </c>
      <c r="G760" s="150" t="s">
        <v>872</v>
      </c>
      <c r="H760" s="150">
        <v>0</v>
      </c>
      <c r="I760" s="150">
        <v>82905725</v>
      </c>
      <c r="J760" s="150">
        <v>1</v>
      </c>
      <c r="K760" s="150">
        <v>76853</v>
      </c>
      <c r="L760" s="150">
        <v>42280</v>
      </c>
      <c r="M760" s="150">
        <v>14800.82</v>
      </c>
      <c r="N760" s="150">
        <v>0</v>
      </c>
      <c r="O760" s="150">
        <v>130785</v>
      </c>
      <c r="P760" s="150">
        <v>136795</v>
      </c>
      <c r="Q760" s="150">
        <v>142545</v>
      </c>
      <c r="R760" s="150">
        <v>142545</v>
      </c>
    </row>
    <row r="761" spans="1:18" x14ac:dyDescent="0.25">
      <c r="A761" t="str">
        <f t="shared" si="11"/>
        <v>21-7-97</v>
      </c>
      <c r="B761">
        <v>21</v>
      </c>
      <c r="C761" s="150" t="s">
        <v>1173</v>
      </c>
      <c r="D761" s="150">
        <v>7</v>
      </c>
      <c r="E761" s="150" t="s">
        <v>681</v>
      </c>
      <c r="F761" s="150">
        <v>97</v>
      </c>
      <c r="G761" s="150" t="s">
        <v>414</v>
      </c>
      <c r="H761" s="150">
        <v>0</v>
      </c>
      <c r="I761" s="150">
        <v>5160838</v>
      </c>
      <c r="J761" s="150" t="s">
        <v>1203</v>
      </c>
      <c r="K761" s="150">
        <v>126</v>
      </c>
      <c r="L761" s="150">
        <v>3</v>
      </c>
      <c r="M761" s="150">
        <v>3.85</v>
      </c>
      <c r="N761" s="150">
        <v>0</v>
      </c>
      <c r="O761" s="150">
        <v>6662</v>
      </c>
      <c r="P761" s="150">
        <v>6862</v>
      </c>
      <c r="Q761" s="150">
        <v>7332.85</v>
      </c>
      <c r="R761" s="150">
        <v>7332.85</v>
      </c>
    </row>
    <row r="762" spans="1:18" x14ac:dyDescent="0.25">
      <c r="A762" t="str">
        <f t="shared" si="11"/>
        <v>6-7-98</v>
      </c>
      <c r="B762">
        <v>6</v>
      </c>
      <c r="C762" s="150" t="s">
        <v>1159</v>
      </c>
      <c r="D762" s="150">
        <v>7</v>
      </c>
      <c r="E762" s="150" t="s">
        <v>681</v>
      </c>
      <c r="F762" s="150">
        <v>98</v>
      </c>
      <c r="G762" s="150" t="s">
        <v>227</v>
      </c>
      <c r="H762" s="150">
        <v>0</v>
      </c>
      <c r="I762" s="150">
        <v>25022208</v>
      </c>
      <c r="J762" s="150" t="s">
        <v>1203</v>
      </c>
      <c r="K762" s="150">
        <v>2268</v>
      </c>
      <c r="L762" s="150">
        <v>254</v>
      </c>
      <c r="M762" s="150">
        <v>408.6</v>
      </c>
      <c r="N762" s="150">
        <v>0</v>
      </c>
      <c r="O762" s="150">
        <v>23592</v>
      </c>
      <c r="P762" s="150">
        <v>24426</v>
      </c>
      <c r="Q762" s="150">
        <v>25332.6</v>
      </c>
      <c r="R762" s="150">
        <v>25332.6</v>
      </c>
    </row>
    <row r="763" spans="1:18" x14ac:dyDescent="0.25">
      <c r="A763" t="str">
        <f t="shared" si="11"/>
        <v>6-20-54</v>
      </c>
      <c r="B763">
        <v>6</v>
      </c>
      <c r="C763" s="150" t="s">
        <v>1159</v>
      </c>
      <c r="D763" s="150">
        <v>20</v>
      </c>
      <c r="E763" s="150" t="s">
        <v>238</v>
      </c>
      <c r="F763" s="150">
        <v>54</v>
      </c>
      <c r="G763" s="150" t="s">
        <v>786</v>
      </c>
      <c r="H763" s="150">
        <v>60</v>
      </c>
      <c r="I763" s="150">
        <v>163179</v>
      </c>
      <c r="J763" s="150" t="s">
        <v>1203</v>
      </c>
      <c r="K763" s="150">
        <v>0</v>
      </c>
      <c r="L763" s="150">
        <v>30</v>
      </c>
      <c r="M763" s="150">
        <v>9.07</v>
      </c>
      <c r="N763" s="150">
        <v>0</v>
      </c>
      <c r="O763" s="150">
        <v>15232</v>
      </c>
      <c r="P763" s="150">
        <v>15791</v>
      </c>
      <c r="Q763" s="150">
        <v>16265.07</v>
      </c>
      <c r="R763" s="150">
        <v>16265.07</v>
      </c>
    </row>
    <row r="764" spans="1:18" x14ac:dyDescent="0.25">
      <c r="A764" t="str">
        <f t="shared" si="11"/>
        <v>29-7-99</v>
      </c>
      <c r="B764">
        <v>29</v>
      </c>
      <c r="C764" s="150" t="s">
        <v>1181</v>
      </c>
      <c r="D764" s="150">
        <v>7</v>
      </c>
      <c r="E764" s="150" t="s">
        <v>681</v>
      </c>
      <c r="F764" s="150">
        <v>99</v>
      </c>
      <c r="G764" s="150" t="s">
        <v>535</v>
      </c>
      <c r="H764" s="150">
        <v>0</v>
      </c>
      <c r="I764" s="150">
        <v>23454212</v>
      </c>
      <c r="J764" s="150" t="s">
        <v>1203</v>
      </c>
      <c r="K764" s="150">
        <v>1124</v>
      </c>
      <c r="L764" s="150">
        <v>3338</v>
      </c>
      <c r="M764" s="150">
        <v>761.9799999999999</v>
      </c>
      <c r="N764" s="150">
        <v>0</v>
      </c>
      <c r="O764" s="150">
        <v>316921</v>
      </c>
      <c r="P764" s="150">
        <v>329706</v>
      </c>
      <c r="Q764" s="150">
        <v>344106.32999999996</v>
      </c>
      <c r="R764" s="150">
        <v>344105.98</v>
      </c>
    </row>
    <row r="765" spans="1:18" x14ac:dyDescent="0.25">
      <c r="A765" t="str">
        <f t="shared" si="11"/>
        <v>29-9-60</v>
      </c>
      <c r="B765">
        <v>29</v>
      </c>
      <c r="C765" s="150" t="s">
        <v>1181</v>
      </c>
      <c r="D765" s="150">
        <v>9</v>
      </c>
      <c r="E765" s="150" t="s">
        <v>683</v>
      </c>
      <c r="F765" s="150">
        <v>60</v>
      </c>
      <c r="G765" s="150" t="s">
        <v>1029</v>
      </c>
      <c r="H765" s="150">
        <v>74112</v>
      </c>
      <c r="I765" s="150">
        <v>11907540</v>
      </c>
      <c r="J765" s="150" t="s">
        <v>1203</v>
      </c>
      <c r="K765" s="150">
        <v>5940</v>
      </c>
      <c r="L765" s="150">
        <v>1496</v>
      </c>
      <c r="M765" s="150">
        <v>145.26</v>
      </c>
      <c r="N765" s="150">
        <v>0</v>
      </c>
      <c r="O765" s="150">
        <v>295273</v>
      </c>
      <c r="P765" s="150">
        <v>308503</v>
      </c>
      <c r="Q765" s="150">
        <v>308692.12</v>
      </c>
      <c r="R765" s="150">
        <v>308692.26</v>
      </c>
    </row>
    <row r="766" spans="1:18" x14ac:dyDescent="0.25">
      <c r="A766" t="str">
        <f t="shared" si="11"/>
        <v>29-4-110</v>
      </c>
      <c r="B766">
        <v>29</v>
      </c>
      <c r="C766" s="150" t="s">
        <v>1181</v>
      </c>
      <c r="D766" s="150">
        <v>4</v>
      </c>
      <c r="E766" s="150" t="s">
        <v>146</v>
      </c>
      <c r="F766" s="150">
        <v>110</v>
      </c>
      <c r="G766" s="150" t="s">
        <v>1020</v>
      </c>
      <c r="H766" s="150">
        <v>0</v>
      </c>
      <c r="I766" s="150">
        <v>24339444</v>
      </c>
      <c r="J766" s="150" t="s">
        <v>1203</v>
      </c>
      <c r="K766" s="150">
        <v>34674</v>
      </c>
      <c r="L766" s="150">
        <v>153116</v>
      </c>
      <c r="M766" s="150">
        <v>27552.269999999997</v>
      </c>
      <c r="N766" s="150">
        <v>0</v>
      </c>
      <c r="O766" s="150">
        <v>84200</v>
      </c>
      <c r="P766" s="150">
        <v>86726</v>
      </c>
      <c r="Q766" s="150">
        <v>89328</v>
      </c>
      <c r="R766" s="150">
        <v>89328</v>
      </c>
    </row>
    <row r="767" spans="1:18" x14ac:dyDescent="0.25">
      <c r="A767" t="str">
        <f t="shared" si="11"/>
        <v>20-9-61</v>
      </c>
      <c r="B767">
        <v>20</v>
      </c>
      <c r="C767" s="150" t="s">
        <v>1172</v>
      </c>
      <c r="D767" s="150">
        <v>9</v>
      </c>
      <c r="E767" s="150" t="s">
        <v>683</v>
      </c>
      <c r="F767" s="150">
        <v>61</v>
      </c>
      <c r="G767" s="150" t="s">
        <v>932</v>
      </c>
      <c r="H767" s="150">
        <v>0</v>
      </c>
      <c r="I767" s="150">
        <v>0</v>
      </c>
      <c r="J767" s="150" t="s">
        <v>1203</v>
      </c>
      <c r="K767" s="150">
        <v>2104</v>
      </c>
      <c r="L767" s="150">
        <v>2226</v>
      </c>
      <c r="M767" s="150">
        <v>218</v>
      </c>
      <c r="N767" s="150">
        <v>9899</v>
      </c>
      <c r="O767" s="150">
        <v>222659</v>
      </c>
      <c r="P767" s="150">
        <v>239529</v>
      </c>
      <c r="Q767" s="150">
        <v>247398</v>
      </c>
      <c r="R767" s="150">
        <v>247398</v>
      </c>
    </row>
    <row r="768" spans="1:18" x14ac:dyDescent="0.25">
      <c r="A768" t="str">
        <f t="shared" si="11"/>
        <v>20-11-40</v>
      </c>
      <c r="B768">
        <v>20</v>
      </c>
      <c r="C768" s="150" t="s">
        <v>1172</v>
      </c>
      <c r="D768" s="150">
        <v>11</v>
      </c>
      <c r="E768" s="150" t="s">
        <v>1204</v>
      </c>
      <c r="F768" s="150">
        <v>40</v>
      </c>
      <c r="G768" s="150" t="s">
        <v>937</v>
      </c>
      <c r="H768" s="150">
        <v>0</v>
      </c>
      <c r="I768" s="150">
        <v>210225734</v>
      </c>
      <c r="J768" s="150" t="s">
        <v>1203</v>
      </c>
      <c r="K768" s="150">
        <v>5235</v>
      </c>
      <c r="L768" s="150">
        <v>8134</v>
      </c>
      <c r="M768" s="150">
        <v>2302.09</v>
      </c>
      <c r="N768" s="150">
        <v>89067</v>
      </c>
      <c r="O768" s="150">
        <v>1158948</v>
      </c>
      <c r="P768" s="150">
        <v>1215044</v>
      </c>
      <c r="Q768" s="150">
        <v>1214522.0900000001</v>
      </c>
      <c r="R768" s="150">
        <v>1215044</v>
      </c>
    </row>
    <row r="769" spans="1:18" x14ac:dyDescent="0.25">
      <c r="A769" t="str">
        <f t="shared" si="11"/>
        <v>20-4-75</v>
      </c>
      <c r="B769">
        <v>20</v>
      </c>
      <c r="C769" s="150" t="s">
        <v>1172</v>
      </c>
      <c r="D769" s="150">
        <v>4</v>
      </c>
      <c r="E769" s="150" t="s">
        <v>146</v>
      </c>
      <c r="F769" s="150">
        <v>75</v>
      </c>
      <c r="G769" s="150" t="s">
        <v>928</v>
      </c>
      <c r="H769" s="150">
        <v>0</v>
      </c>
      <c r="I769" s="150">
        <v>244723564</v>
      </c>
      <c r="J769" s="150" t="s">
        <v>1203</v>
      </c>
      <c r="K769" s="150">
        <v>15459</v>
      </c>
      <c r="L769" s="150">
        <v>56090</v>
      </c>
      <c r="M769" s="150">
        <v>6310.1399999999994</v>
      </c>
      <c r="N769" s="150">
        <v>65132</v>
      </c>
      <c r="O769" s="150">
        <v>71549</v>
      </c>
      <c r="P769" s="150">
        <v>106040</v>
      </c>
      <c r="Q769" s="150">
        <v>79960</v>
      </c>
      <c r="R769" s="150">
        <v>106040</v>
      </c>
    </row>
    <row r="770" spans="1:18" x14ac:dyDescent="0.25">
      <c r="A770" t="str">
        <f t="shared" si="11"/>
        <v>29-7-100</v>
      </c>
      <c r="B770">
        <v>29</v>
      </c>
      <c r="C770" s="150" t="s">
        <v>1181</v>
      </c>
      <c r="D770" s="150">
        <v>7</v>
      </c>
      <c r="E770" s="150" t="s">
        <v>681</v>
      </c>
      <c r="F770" s="150">
        <v>100</v>
      </c>
      <c r="G770" s="150" t="s">
        <v>536</v>
      </c>
      <c r="H770" s="150">
        <v>112</v>
      </c>
      <c r="I770" s="150">
        <v>575129</v>
      </c>
      <c r="J770" s="150" t="s">
        <v>1203</v>
      </c>
      <c r="K770" s="150">
        <v>178</v>
      </c>
      <c r="L770" s="150">
        <v>6</v>
      </c>
      <c r="M770" s="150">
        <v>7.0000000000000007E-2</v>
      </c>
      <c r="N770" s="150">
        <v>0</v>
      </c>
      <c r="O770" s="150">
        <v>975</v>
      </c>
      <c r="P770" s="150">
        <v>985</v>
      </c>
      <c r="Q770" s="150">
        <v>1009.07</v>
      </c>
      <c r="R770" s="150">
        <v>1009.07</v>
      </c>
    </row>
    <row r="771" spans="1:18" x14ac:dyDescent="0.25">
      <c r="A771" t="str">
        <f t="shared" si="11"/>
        <v>25-4-203</v>
      </c>
      <c r="B771">
        <v>25</v>
      </c>
      <c r="C771" s="150" t="s">
        <v>1177</v>
      </c>
      <c r="D771" s="150">
        <v>4</v>
      </c>
      <c r="E771" s="150" t="s">
        <v>146</v>
      </c>
      <c r="F771" s="150">
        <v>203</v>
      </c>
      <c r="G771" s="150" t="s">
        <v>978</v>
      </c>
      <c r="H771" s="150">
        <v>0</v>
      </c>
      <c r="I771" s="150">
        <v>22755198</v>
      </c>
      <c r="J771" s="150" t="s">
        <v>1203</v>
      </c>
      <c r="K771" s="150">
        <v>8243</v>
      </c>
      <c r="L771" s="150">
        <v>43828</v>
      </c>
      <c r="M771" s="150">
        <v>55.87</v>
      </c>
      <c r="N771" s="150">
        <v>0</v>
      </c>
      <c r="O771" s="150">
        <v>85892</v>
      </c>
      <c r="P771" s="150">
        <v>89110</v>
      </c>
      <c r="Q771" s="150">
        <v>92516</v>
      </c>
      <c r="R771" s="150">
        <v>92516</v>
      </c>
    </row>
    <row r="772" spans="1:18" x14ac:dyDescent="0.25">
      <c r="A772" t="str">
        <f t="shared" si="11"/>
        <v>40-4-161</v>
      </c>
      <c r="B772">
        <v>40</v>
      </c>
      <c r="C772" s="150" t="s">
        <v>1190</v>
      </c>
      <c r="D772" s="150">
        <v>4</v>
      </c>
      <c r="E772" s="150" t="s">
        <v>146</v>
      </c>
      <c r="F772" s="150">
        <v>161</v>
      </c>
      <c r="G772" s="150" t="s">
        <v>1108</v>
      </c>
      <c r="H772" s="150">
        <v>0</v>
      </c>
      <c r="I772" s="150">
        <v>4046179</v>
      </c>
      <c r="J772" s="150" t="s">
        <v>1203</v>
      </c>
      <c r="K772" s="150">
        <v>148</v>
      </c>
      <c r="L772" s="150">
        <v>7327</v>
      </c>
      <c r="M772" s="150">
        <v>1418.61</v>
      </c>
      <c r="N772" s="150">
        <v>0</v>
      </c>
      <c r="O772" s="150">
        <v>18219</v>
      </c>
      <c r="P772" s="150">
        <v>18248</v>
      </c>
      <c r="Q772" s="150">
        <v>18795</v>
      </c>
      <c r="R772" s="150">
        <v>18795</v>
      </c>
    </row>
    <row r="773" spans="1:18" x14ac:dyDescent="0.25">
      <c r="A773" t="str">
        <f t="shared" si="11"/>
        <v>37-9-125</v>
      </c>
      <c r="B773">
        <v>37</v>
      </c>
      <c r="C773" s="150" t="s">
        <v>1188</v>
      </c>
      <c r="D773" s="150">
        <v>9</v>
      </c>
      <c r="E773" s="150" t="s">
        <v>683</v>
      </c>
      <c r="F773" s="150">
        <v>125</v>
      </c>
      <c r="G773" s="150" t="s">
        <v>1085</v>
      </c>
      <c r="H773" s="150">
        <v>0</v>
      </c>
      <c r="I773" s="150">
        <v>0</v>
      </c>
      <c r="J773" s="150" t="s">
        <v>1203</v>
      </c>
      <c r="K773" s="150">
        <v>1605</v>
      </c>
      <c r="L773" s="150">
        <v>493</v>
      </c>
      <c r="M773" s="150">
        <v>79.510000000000005</v>
      </c>
      <c r="N773" s="150">
        <v>0</v>
      </c>
      <c r="O773" s="150">
        <v>67615</v>
      </c>
      <c r="P773" s="150">
        <v>68665</v>
      </c>
      <c r="Q773" s="150">
        <v>77017.509999999995</v>
      </c>
      <c r="R773" s="150">
        <v>77017.509999999995</v>
      </c>
    </row>
    <row r="774" spans="1:18" x14ac:dyDescent="0.25">
      <c r="A774" t="str">
        <f t="shared" ref="A774:A837" si="12">B774&amp;"-"&amp;D774&amp;"-"&amp;F774</f>
        <v>16-11-41</v>
      </c>
      <c r="B774">
        <v>16</v>
      </c>
      <c r="C774" s="150" t="s">
        <v>1168</v>
      </c>
      <c r="D774" s="150">
        <v>11</v>
      </c>
      <c r="E774" s="150" t="s">
        <v>1204</v>
      </c>
      <c r="F774" s="150">
        <v>41</v>
      </c>
      <c r="G774" s="150" t="s">
        <v>886</v>
      </c>
      <c r="H774" s="150">
        <v>1389</v>
      </c>
      <c r="I774" s="150">
        <v>878198</v>
      </c>
      <c r="J774" s="150">
        <v>1</v>
      </c>
      <c r="K774" s="150">
        <v>12944</v>
      </c>
      <c r="L774" s="150">
        <v>843</v>
      </c>
      <c r="M774" s="150">
        <v>589.9</v>
      </c>
      <c r="N774" s="150">
        <v>0</v>
      </c>
      <c r="O774" s="150">
        <v>251496</v>
      </c>
      <c r="P774" s="150">
        <v>259703</v>
      </c>
      <c r="Q774" s="150">
        <v>267671.90000000002</v>
      </c>
      <c r="R774" s="150">
        <v>267671.90000000002</v>
      </c>
    </row>
    <row r="775" spans="1:18" x14ac:dyDescent="0.25">
      <c r="A775" t="str">
        <f t="shared" si="12"/>
        <v>42-11-41</v>
      </c>
      <c r="B775">
        <v>42</v>
      </c>
      <c r="C775" s="150" t="s">
        <v>1194</v>
      </c>
      <c r="D775" s="150">
        <v>11</v>
      </c>
      <c r="E775" s="150" t="s">
        <v>1204</v>
      </c>
      <c r="F775" s="150">
        <v>41</v>
      </c>
      <c r="G775" s="150" t="s">
        <v>886</v>
      </c>
      <c r="H775" s="150">
        <v>1389</v>
      </c>
      <c r="I775" s="150">
        <v>21350502</v>
      </c>
      <c r="J775" s="150">
        <v>1</v>
      </c>
      <c r="K775" s="150">
        <v>12944</v>
      </c>
      <c r="L775" s="150">
        <v>843</v>
      </c>
      <c r="M775" s="150">
        <v>589.9</v>
      </c>
      <c r="N775" s="150">
        <v>0</v>
      </c>
      <c r="O775" s="150">
        <v>251496</v>
      </c>
      <c r="P775" s="150">
        <v>259703</v>
      </c>
      <c r="Q775" s="150">
        <v>267671.90000000002</v>
      </c>
      <c r="R775" s="150">
        <v>267671.90000000002</v>
      </c>
    </row>
    <row r="776" spans="1:18" x14ac:dyDescent="0.25">
      <c r="A776" t="str">
        <f t="shared" si="12"/>
        <v>16-4-175</v>
      </c>
      <c r="B776">
        <v>16</v>
      </c>
      <c r="C776" s="150" t="s">
        <v>1168</v>
      </c>
      <c r="D776" s="150">
        <v>4</v>
      </c>
      <c r="E776" s="150" t="s">
        <v>146</v>
      </c>
      <c r="F776" s="150">
        <v>175</v>
      </c>
      <c r="G776" s="150" t="s">
        <v>874</v>
      </c>
      <c r="H776" s="150">
        <v>0</v>
      </c>
      <c r="I776" s="150">
        <v>1358458</v>
      </c>
      <c r="J776" s="150">
        <v>1</v>
      </c>
      <c r="K776" s="150">
        <v>17451</v>
      </c>
      <c r="L776" s="150">
        <v>2238</v>
      </c>
      <c r="M776" s="150">
        <v>2210.5100000000002</v>
      </c>
      <c r="N776" s="150">
        <v>0</v>
      </c>
      <c r="O776" s="150">
        <v>24803</v>
      </c>
      <c r="P776" s="150">
        <v>25774</v>
      </c>
      <c r="Q776" s="150">
        <v>26711</v>
      </c>
      <c r="R776" s="150">
        <v>26711</v>
      </c>
    </row>
    <row r="777" spans="1:18" x14ac:dyDescent="0.25">
      <c r="A777" t="str">
        <f t="shared" si="12"/>
        <v>42-4-175</v>
      </c>
      <c r="B777">
        <v>42</v>
      </c>
      <c r="C777" s="150" t="s">
        <v>1194</v>
      </c>
      <c r="D777" s="150">
        <v>4</v>
      </c>
      <c r="E777" s="150" t="s">
        <v>146</v>
      </c>
      <c r="F777" s="150">
        <v>175</v>
      </c>
      <c r="G777" s="150" t="s">
        <v>874</v>
      </c>
      <c r="H777" s="150">
        <v>0</v>
      </c>
      <c r="I777" s="150">
        <v>15410461</v>
      </c>
      <c r="J777" s="150">
        <v>1</v>
      </c>
      <c r="K777" s="150">
        <v>17451</v>
      </c>
      <c r="L777" s="150">
        <v>2238</v>
      </c>
      <c r="M777" s="150">
        <v>2210.5100000000002</v>
      </c>
      <c r="N777" s="150">
        <v>0</v>
      </c>
      <c r="O777" s="150">
        <v>24803</v>
      </c>
      <c r="P777" s="150">
        <v>25774</v>
      </c>
      <c r="Q777" s="150">
        <v>26711</v>
      </c>
      <c r="R777" s="150">
        <v>26711</v>
      </c>
    </row>
    <row r="778" spans="1:18" x14ac:dyDescent="0.25">
      <c r="A778" t="str">
        <f t="shared" si="12"/>
        <v>6-14-55</v>
      </c>
      <c r="B778">
        <v>6</v>
      </c>
      <c r="C778" s="150" t="s">
        <v>1159</v>
      </c>
      <c r="D778" s="150">
        <v>14</v>
      </c>
      <c r="E778" s="150" t="s">
        <v>665</v>
      </c>
      <c r="F778" s="150">
        <v>55</v>
      </c>
      <c r="G778" s="150" t="s">
        <v>783</v>
      </c>
      <c r="H778" s="150">
        <v>6979</v>
      </c>
      <c r="I778" s="150">
        <v>58766729</v>
      </c>
      <c r="J778" s="150" t="s">
        <v>1203</v>
      </c>
      <c r="K778" s="150">
        <v>8020</v>
      </c>
      <c r="L778" s="150">
        <v>3196</v>
      </c>
      <c r="M778" s="150">
        <v>910.81999999999994</v>
      </c>
      <c r="N778" s="150">
        <v>0</v>
      </c>
      <c r="O778" s="150">
        <v>436489</v>
      </c>
      <c r="P778" s="150">
        <v>466105</v>
      </c>
      <c r="Q778" s="150">
        <v>494929.82</v>
      </c>
      <c r="R778" s="150">
        <v>494929.82</v>
      </c>
    </row>
    <row r="779" spans="1:18" x14ac:dyDescent="0.25">
      <c r="A779" t="str">
        <f t="shared" si="12"/>
        <v>16-9-65</v>
      </c>
      <c r="B779">
        <v>16</v>
      </c>
      <c r="C779" s="150" t="s">
        <v>1168</v>
      </c>
      <c r="D779" s="150">
        <v>9</v>
      </c>
      <c r="E779" s="150" t="s">
        <v>683</v>
      </c>
      <c r="F779" s="150">
        <v>65</v>
      </c>
      <c r="G779" s="150" t="s">
        <v>878</v>
      </c>
      <c r="H779" s="150">
        <v>0</v>
      </c>
      <c r="I779" s="150">
        <v>0</v>
      </c>
      <c r="J779" s="150" t="s">
        <v>1203</v>
      </c>
      <c r="K779" s="150">
        <v>15014</v>
      </c>
      <c r="L779" s="150">
        <v>2774</v>
      </c>
      <c r="M779" s="150">
        <v>864.74</v>
      </c>
      <c r="N779" s="150">
        <v>0</v>
      </c>
      <c r="O779" s="150">
        <v>424976</v>
      </c>
      <c r="P779" s="150">
        <v>445028</v>
      </c>
      <c r="Q779" s="150">
        <v>464359.74</v>
      </c>
      <c r="R779" s="150">
        <v>464359.74</v>
      </c>
    </row>
    <row r="780" spans="1:18" x14ac:dyDescent="0.25">
      <c r="A780" t="str">
        <f t="shared" si="12"/>
        <v>18-7-106</v>
      </c>
      <c r="B780">
        <v>18</v>
      </c>
      <c r="C780" s="150" t="s">
        <v>1170</v>
      </c>
      <c r="D780" s="150">
        <v>7</v>
      </c>
      <c r="E780" s="150" t="s">
        <v>681</v>
      </c>
      <c r="F780" s="150">
        <v>106</v>
      </c>
      <c r="G780" s="150" t="s">
        <v>897</v>
      </c>
      <c r="H780" s="150">
        <v>375</v>
      </c>
      <c r="I780" s="150">
        <v>774156</v>
      </c>
      <c r="J780" s="150">
        <v>1</v>
      </c>
      <c r="K780" s="150">
        <v>84</v>
      </c>
      <c r="L780" s="150">
        <v>50</v>
      </c>
      <c r="M780" s="150">
        <v>12.940000000000001</v>
      </c>
      <c r="N780" s="150">
        <v>0</v>
      </c>
      <c r="O780" s="150">
        <v>8140</v>
      </c>
      <c r="P780" s="150">
        <v>8526</v>
      </c>
      <c r="Q780" s="150">
        <v>8893.94</v>
      </c>
      <c r="R780" s="150">
        <v>8893.94</v>
      </c>
    </row>
    <row r="781" spans="1:18" x14ac:dyDescent="0.25">
      <c r="A781" t="str">
        <f t="shared" si="12"/>
        <v>35-7-106</v>
      </c>
      <c r="B781">
        <v>35</v>
      </c>
      <c r="C781" s="150" t="s">
        <v>1195</v>
      </c>
      <c r="D781" s="150">
        <v>7</v>
      </c>
      <c r="E781" s="150" t="s">
        <v>681</v>
      </c>
      <c r="F781" s="150">
        <v>106</v>
      </c>
      <c r="G781" s="150" t="s">
        <v>897</v>
      </c>
      <c r="H781" s="150">
        <v>375</v>
      </c>
      <c r="I781" s="150">
        <v>1555718</v>
      </c>
      <c r="J781" s="150">
        <v>1</v>
      </c>
      <c r="K781" s="150">
        <v>84</v>
      </c>
      <c r="L781" s="150">
        <v>50</v>
      </c>
      <c r="M781" s="150">
        <v>12.940000000000001</v>
      </c>
      <c r="N781" s="150">
        <v>0</v>
      </c>
      <c r="O781" s="150">
        <v>8140</v>
      </c>
      <c r="P781" s="150">
        <v>8526</v>
      </c>
      <c r="Q781" s="150">
        <v>8893.94</v>
      </c>
      <c r="R781" s="150">
        <v>8893.94</v>
      </c>
    </row>
    <row r="782" spans="1:18" x14ac:dyDescent="0.25">
      <c r="A782" t="str">
        <f t="shared" si="12"/>
        <v>19-9-66</v>
      </c>
      <c r="B782">
        <v>19</v>
      </c>
      <c r="C782" s="150" t="s">
        <v>1171</v>
      </c>
      <c r="D782" s="150">
        <v>9</v>
      </c>
      <c r="E782" s="150" t="s">
        <v>683</v>
      </c>
      <c r="F782" s="150">
        <v>66</v>
      </c>
      <c r="G782" s="150" t="s">
        <v>919</v>
      </c>
      <c r="H782" s="150">
        <v>0</v>
      </c>
      <c r="I782" s="150">
        <v>232000</v>
      </c>
      <c r="J782" s="150">
        <v>1</v>
      </c>
      <c r="K782" s="150">
        <v>927</v>
      </c>
      <c r="L782" s="150">
        <v>745</v>
      </c>
      <c r="M782" s="150">
        <v>241.18</v>
      </c>
      <c r="N782" s="150">
        <v>0</v>
      </c>
      <c r="O782" s="150">
        <v>184479</v>
      </c>
      <c r="P782" s="150">
        <v>190570</v>
      </c>
      <c r="Q782" s="150">
        <v>196483.18</v>
      </c>
      <c r="R782" s="150">
        <v>196483.18</v>
      </c>
    </row>
    <row r="783" spans="1:18" x14ac:dyDescent="0.25">
      <c r="A783" t="str">
        <f t="shared" si="12"/>
        <v>30-9-66</v>
      </c>
      <c r="B783">
        <v>30</v>
      </c>
      <c r="C783" s="150" t="s">
        <v>1182</v>
      </c>
      <c r="D783" s="150">
        <v>9</v>
      </c>
      <c r="E783" s="150" t="s">
        <v>683</v>
      </c>
      <c r="F783" s="150">
        <v>66</v>
      </c>
      <c r="G783" s="150" t="s">
        <v>919</v>
      </c>
      <c r="H783" s="150">
        <v>0</v>
      </c>
      <c r="I783" s="150">
        <v>0</v>
      </c>
      <c r="J783" s="150">
        <v>1</v>
      </c>
      <c r="K783" s="150">
        <v>927</v>
      </c>
      <c r="L783" s="150">
        <v>745</v>
      </c>
      <c r="M783" s="150">
        <v>241.18</v>
      </c>
      <c r="N783" s="150">
        <v>0</v>
      </c>
      <c r="O783" s="150">
        <v>184479</v>
      </c>
      <c r="P783" s="150">
        <v>190570</v>
      </c>
      <c r="Q783" s="150">
        <v>196483.18</v>
      </c>
      <c r="R783" s="150">
        <v>196483.18</v>
      </c>
    </row>
    <row r="784" spans="1:18" x14ac:dyDescent="0.25">
      <c r="A784" t="str">
        <f t="shared" si="12"/>
        <v>19-12-7</v>
      </c>
      <c r="B784">
        <v>19</v>
      </c>
      <c r="C784" s="150" t="s">
        <v>1171</v>
      </c>
      <c r="D784" s="150">
        <v>12</v>
      </c>
      <c r="E784" s="150" t="s">
        <v>151</v>
      </c>
      <c r="F784" s="150">
        <v>7</v>
      </c>
      <c r="G784" s="150" t="s">
        <v>923</v>
      </c>
      <c r="H784" s="150">
        <v>0</v>
      </c>
      <c r="I784" s="150">
        <v>7722562</v>
      </c>
      <c r="J784" s="150" t="s">
        <v>1203</v>
      </c>
      <c r="K784" s="150">
        <v>3521</v>
      </c>
      <c r="L784" s="150">
        <v>660</v>
      </c>
      <c r="M784" s="150">
        <v>246.16000000000003</v>
      </c>
      <c r="N784" s="150">
        <v>0</v>
      </c>
      <c r="O784" s="150">
        <v>116156</v>
      </c>
      <c r="P784" s="150">
        <v>120004</v>
      </c>
      <c r="Q784" s="150">
        <v>123779.16</v>
      </c>
      <c r="R784" s="150">
        <v>123779.16</v>
      </c>
    </row>
    <row r="785" spans="1:19" x14ac:dyDescent="0.25">
      <c r="A785" t="str">
        <f t="shared" si="12"/>
        <v>30-9-138</v>
      </c>
      <c r="B785">
        <v>30</v>
      </c>
      <c r="C785" s="150" t="s">
        <v>1182</v>
      </c>
      <c r="D785" s="150">
        <v>9</v>
      </c>
      <c r="E785" s="150" t="s">
        <v>683</v>
      </c>
      <c r="F785" s="150">
        <v>138</v>
      </c>
      <c r="G785" s="150" t="s">
        <v>1042</v>
      </c>
      <c r="H785" s="150">
        <v>1977</v>
      </c>
      <c r="I785" s="150">
        <v>0</v>
      </c>
      <c r="J785" s="150" t="s">
        <v>1203</v>
      </c>
      <c r="K785" s="150">
        <v>35</v>
      </c>
      <c r="L785" s="150">
        <v>161</v>
      </c>
      <c r="M785" s="150">
        <v>0</v>
      </c>
      <c r="N785" s="150">
        <v>0</v>
      </c>
      <c r="O785" s="150">
        <v>60796</v>
      </c>
      <c r="P785" s="150">
        <v>63177</v>
      </c>
      <c r="Q785" s="150">
        <v>66955</v>
      </c>
      <c r="R785" s="150">
        <v>66955</v>
      </c>
    </row>
    <row r="786" spans="1:19" x14ac:dyDescent="0.25">
      <c r="A786" t="str">
        <f t="shared" si="12"/>
        <v>22-7-105</v>
      </c>
      <c r="B786">
        <v>22</v>
      </c>
      <c r="C786" s="150" t="s">
        <v>1174</v>
      </c>
      <c r="D786" s="150">
        <v>7</v>
      </c>
      <c r="E786" s="150" t="s">
        <v>681</v>
      </c>
      <c r="F786" s="150">
        <v>105</v>
      </c>
      <c r="G786" s="150" t="s">
        <v>949</v>
      </c>
      <c r="H786" s="150">
        <v>0</v>
      </c>
      <c r="I786" s="150">
        <v>14847631</v>
      </c>
      <c r="J786" s="150" t="s">
        <v>1203</v>
      </c>
      <c r="K786" s="150">
        <v>1817</v>
      </c>
      <c r="L786" s="150">
        <v>402</v>
      </c>
      <c r="M786" s="150">
        <v>80.52000000000001</v>
      </c>
      <c r="N786" s="150">
        <v>0</v>
      </c>
      <c r="O786" s="150">
        <v>64721</v>
      </c>
      <c r="P786" s="150">
        <v>67218</v>
      </c>
      <c r="Q786" s="150">
        <v>71047.520000000004</v>
      </c>
      <c r="R786" s="150">
        <v>71047.520000000004</v>
      </c>
    </row>
    <row r="787" spans="1:19" x14ac:dyDescent="0.25">
      <c r="A787" t="str">
        <f t="shared" si="12"/>
        <v>22-9-68</v>
      </c>
      <c r="B787">
        <v>22</v>
      </c>
      <c r="C787" s="150" t="s">
        <v>1174</v>
      </c>
      <c r="D787" s="150">
        <v>9</v>
      </c>
      <c r="E787" s="150" t="s">
        <v>683</v>
      </c>
      <c r="F787" s="150">
        <v>68</v>
      </c>
      <c r="G787" s="150" t="s">
        <v>955</v>
      </c>
      <c r="H787" s="150">
        <v>18703</v>
      </c>
      <c r="I787" s="150">
        <v>6821000</v>
      </c>
      <c r="J787" s="150" t="s">
        <v>1203</v>
      </c>
      <c r="K787" s="150">
        <v>6212</v>
      </c>
      <c r="L787" s="150">
        <v>1068</v>
      </c>
      <c r="M787" s="150">
        <v>144.47</v>
      </c>
      <c r="N787" s="150">
        <v>0</v>
      </c>
      <c r="O787" s="150">
        <v>173415</v>
      </c>
      <c r="P787" s="150">
        <v>173226</v>
      </c>
      <c r="Q787" s="150">
        <v>173370.47</v>
      </c>
      <c r="R787" s="150">
        <v>173415</v>
      </c>
    </row>
    <row r="788" spans="1:19" x14ac:dyDescent="0.25">
      <c r="A788" t="str">
        <f t="shared" si="12"/>
        <v>22-12-12</v>
      </c>
      <c r="B788">
        <v>22</v>
      </c>
      <c r="C788" s="150" t="s">
        <v>1174</v>
      </c>
      <c r="D788" s="150">
        <v>12</v>
      </c>
      <c r="E788" s="150" t="s">
        <v>151</v>
      </c>
      <c r="F788" s="150">
        <v>12</v>
      </c>
      <c r="G788" s="150" t="s">
        <v>959</v>
      </c>
      <c r="H788" s="150">
        <v>0</v>
      </c>
      <c r="I788" s="150">
        <v>23133179</v>
      </c>
      <c r="J788" s="150" t="s">
        <v>1203</v>
      </c>
      <c r="K788" s="150">
        <v>3519</v>
      </c>
      <c r="L788" s="150">
        <v>1406</v>
      </c>
      <c r="M788" s="150">
        <v>179.29000000000002</v>
      </c>
      <c r="N788" s="150">
        <v>0</v>
      </c>
      <c r="O788" s="150">
        <v>410913</v>
      </c>
      <c r="P788" s="150">
        <v>431006</v>
      </c>
      <c r="Q788" s="150">
        <v>452858.29</v>
      </c>
      <c r="R788" s="150">
        <v>452858.29</v>
      </c>
    </row>
    <row r="789" spans="1:19" x14ac:dyDescent="0.25">
      <c r="A789" t="str">
        <f t="shared" si="12"/>
        <v>28-21-5</v>
      </c>
      <c r="B789">
        <v>28</v>
      </c>
      <c r="C789" s="150" t="s">
        <v>1180</v>
      </c>
      <c r="D789" s="150">
        <v>21</v>
      </c>
      <c r="E789" s="150" t="s">
        <v>690</v>
      </c>
      <c r="F789" s="150">
        <v>5</v>
      </c>
      <c r="G789" s="150" t="s">
        <v>1375</v>
      </c>
      <c r="H789" s="150">
        <v>12397</v>
      </c>
      <c r="I789" s="150">
        <v>3603763</v>
      </c>
      <c r="J789" s="150"/>
      <c r="K789" s="150">
        <v>1</v>
      </c>
      <c r="L789" s="150">
        <v>452</v>
      </c>
      <c r="M789" s="150">
        <v>6.31</v>
      </c>
      <c r="N789" s="150">
        <v>0</v>
      </c>
      <c r="O789" s="150">
        <v>147098</v>
      </c>
      <c r="P789" s="150">
        <v>155039</v>
      </c>
      <c r="Q789" s="150">
        <v>163647.31</v>
      </c>
      <c r="R789" s="150">
        <v>163647.31</v>
      </c>
    </row>
    <row r="790" spans="1:19" x14ac:dyDescent="0.25">
      <c r="A790" t="str">
        <f t="shared" si="12"/>
        <v>14-32-1</v>
      </c>
      <c r="B790">
        <v>14</v>
      </c>
      <c r="C790" s="150" t="s">
        <v>1166</v>
      </c>
      <c r="D790" s="150">
        <v>32</v>
      </c>
      <c r="E790" s="150" t="s">
        <v>1278</v>
      </c>
      <c r="F790" s="150">
        <v>1</v>
      </c>
      <c r="G790" s="150" t="s">
        <v>1279</v>
      </c>
      <c r="H790" s="150">
        <v>0</v>
      </c>
      <c r="I790" s="150">
        <v>83662718</v>
      </c>
      <c r="J790" s="150"/>
      <c r="K790" s="150">
        <v>0</v>
      </c>
      <c r="L790" s="150">
        <v>0</v>
      </c>
      <c r="M790" s="150">
        <v>0</v>
      </c>
      <c r="N790" s="150">
        <v>0</v>
      </c>
      <c r="O790" s="150">
        <v>0</v>
      </c>
      <c r="P790" s="150">
        <v>0</v>
      </c>
      <c r="Q790" s="150">
        <v>0</v>
      </c>
    </row>
    <row r="791" spans="1:19" x14ac:dyDescent="0.25">
      <c r="A791" t="str">
        <f t="shared" si="12"/>
        <v>14-9-62</v>
      </c>
      <c r="B791">
        <v>14</v>
      </c>
      <c r="C791" s="150" t="s">
        <v>1166</v>
      </c>
      <c r="D791" s="150">
        <v>9</v>
      </c>
      <c r="E791" s="150" t="s">
        <v>683</v>
      </c>
      <c r="F791" s="150">
        <v>62</v>
      </c>
      <c r="G791" s="150" t="s">
        <v>864</v>
      </c>
      <c r="H791" s="150">
        <v>1725000</v>
      </c>
      <c r="I791" s="150">
        <v>43654355</v>
      </c>
      <c r="J791" s="150" t="s">
        <v>1203</v>
      </c>
      <c r="K791" s="150">
        <v>25257</v>
      </c>
      <c r="L791" s="150">
        <v>14189</v>
      </c>
      <c r="M791" s="150">
        <v>29028.58</v>
      </c>
      <c r="N791" s="150">
        <v>0</v>
      </c>
      <c r="O791" s="150">
        <v>16775321</v>
      </c>
      <c r="P791" s="150">
        <v>17778825</v>
      </c>
      <c r="Q791" s="150">
        <v>18837628.579999998</v>
      </c>
      <c r="R791" s="150">
        <v>18837628.579999998</v>
      </c>
    </row>
    <row r="792" spans="1:19" x14ac:dyDescent="0.25">
      <c r="A792" t="str">
        <f t="shared" si="12"/>
        <v>14-11-43</v>
      </c>
      <c r="B792">
        <v>14</v>
      </c>
      <c r="C792" s="150" t="s">
        <v>1166</v>
      </c>
      <c r="D792" s="150">
        <v>11</v>
      </c>
      <c r="E792" s="150" t="s">
        <v>1204</v>
      </c>
      <c r="F792" s="150">
        <v>43</v>
      </c>
      <c r="G792" s="150" t="s">
        <v>335</v>
      </c>
      <c r="H792" s="150">
        <v>0</v>
      </c>
      <c r="I792" s="150">
        <v>164205822</v>
      </c>
      <c r="J792" s="150" t="s">
        <v>1203</v>
      </c>
      <c r="K792" s="150">
        <v>30945</v>
      </c>
      <c r="L792" s="150">
        <v>48676</v>
      </c>
      <c r="M792" s="150">
        <v>17070.21</v>
      </c>
      <c r="N792" s="150">
        <v>0</v>
      </c>
      <c r="O792" s="150">
        <v>9917646</v>
      </c>
      <c r="P792" s="150">
        <v>10471146</v>
      </c>
      <c r="Q792" s="150">
        <v>11032770.210000001</v>
      </c>
      <c r="R792" s="150">
        <v>11032770.210000001</v>
      </c>
    </row>
    <row r="793" spans="1:19" x14ac:dyDescent="0.25">
      <c r="A793" t="str">
        <f t="shared" si="12"/>
        <v>14-4-39</v>
      </c>
      <c r="B793">
        <v>14</v>
      </c>
      <c r="C793" s="150" t="s">
        <v>1166</v>
      </c>
      <c r="D793" s="150">
        <v>4</v>
      </c>
      <c r="E793" s="150" t="s">
        <v>146</v>
      </c>
      <c r="F793" s="150">
        <v>39</v>
      </c>
      <c r="G793" s="150" t="s">
        <v>855</v>
      </c>
      <c r="H793" s="150">
        <v>0</v>
      </c>
      <c r="I793" s="150">
        <v>118748540</v>
      </c>
      <c r="J793" s="150" t="s">
        <v>1203</v>
      </c>
      <c r="K793" s="150">
        <v>35460</v>
      </c>
      <c r="L793" s="150">
        <v>165026</v>
      </c>
      <c r="M793" s="150">
        <v>29623.48</v>
      </c>
      <c r="N793" s="150">
        <v>0</v>
      </c>
      <c r="O793" s="150">
        <v>616983</v>
      </c>
      <c r="P793" s="150">
        <v>647780</v>
      </c>
      <c r="Q793" s="150">
        <v>679184</v>
      </c>
      <c r="R793" s="150">
        <v>679184</v>
      </c>
    </row>
    <row r="794" spans="1:19" x14ac:dyDescent="0.25">
      <c r="A794" t="str">
        <f t="shared" si="12"/>
        <v>38-9-63</v>
      </c>
      <c r="B794">
        <v>38</v>
      </c>
      <c r="C794" s="150" t="s">
        <v>1189</v>
      </c>
      <c r="D794" s="150">
        <v>9</v>
      </c>
      <c r="E794" s="150" t="s">
        <v>683</v>
      </c>
      <c r="F794" s="150">
        <v>63</v>
      </c>
      <c r="G794" s="150" t="s">
        <v>615</v>
      </c>
      <c r="H794" s="150">
        <v>10793</v>
      </c>
      <c r="I794" s="150">
        <v>0</v>
      </c>
      <c r="J794" s="150" t="s">
        <v>1203</v>
      </c>
      <c r="K794" s="150">
        <v>2909</v>
      </c>
      <c r="L794" s="150">
        <v>1006</v>
      </c>
      <c r="M794" s="150">
        <v>462.69</v>
      </c>
      <c r="N794" s="150">
        <v>0</v>
      </c>
      <c r="O794" s="150">
        <v>234507</v>
      </c>
      <c r="P794" s="150">
        <v>244923</v>
      </c>
      <c r="Q794" s="150">
        <v>245385.69</v>
      </c>
      <c r="R794" s="150">
        <v>245385.69</v>
      </c>
    </row>
    <row r="795" spans="1:19" x14ac:dyDescent="0.25">
      <c r="A795" t="str">
        <f t="shared" si="12"/>
        <v>38-4-153</v>
      </c>
      <c r="B795">
        <v>38</v>
      </c>
      <c r="C795" s="150" t="s">
        <v>1189</v>
      </c>
      <c r="D795" s="150">
        <v>4</v>
      </c>
      <c r="E795" s="150" t="s">
        <v>146</v>
      </c>
      <c r="F795" s="150">
        <v>153</v>
      </c>
      <c r="G795" s="150" t="s">
        <v>1091</v>
      </c>
      <c r="H795" s="150">
        <v>0</v>
      </c>
      <c r="I795" s="150">
        <v>171473094</v>
      </c>
      <c r="J795" s="150" t="s">
        <v>1203</v>
      </c>
      <c r="K795" s="150">
        <v>17270</v>
      </c>
      <c r="L795" s="150">
        <v>5067</v>
      </c>
      <c r="M795" s="150">
        <v>3028.2000000000003</v>
      </c>
      <c r="N795" s="150">
        <v>0</v>
      </c>
      <c r="O795" s="150">
        <v>54400</v>
      </c>
      <c r="P795" s="150">
        <v>34355</v>
      </c>
      <c r="Q795" s="150">
        <v>59078</v>
      </c>
      <c r="R795" s="150">
        <v>59078</v>
      </c>
    </row>
    <row r="796" spans="1:19" x14ac:dyDescent="0.25">
      <c r="A796" t="str">
        <f t="shared" si="12"/>
        <v>10-7-101</v>
      </c>
      <c r="B796">
        <v>10</v>
      </c>
      <c r="C796" s="150" t="s">
        <v>1162</v>
      </c>
      <c r="D796" s="150">
        <v>7</v>
      </c>
      <c r="E796" s="150" t="s">
        <v>681</v>
      </c>
      <c r="F796" s="150">
        <v>101</v>
      </c>
      <c r="G796" s="150" t="s">
        <v>291</v>
      </c>
      <c r="H796" s="150">
        <v>559</v>
      </c>
      <c r="I796" s="150">
        <v>5994938</v>
      </c>
      <c r="J796" s="150" t="s">
        <v>1203</v>
      </c>
      <c r="K796" s="150">
        <v>140</v>
      </c>
      <c r="L796" s="150">
        <v>73</v>
      </c>
      <c r="M796" s="150">
        <v>19.84</v>
      </c>
      <c r="N796" s="150">
        <v>0</v>
      </c>
      <c r="O796" s="150">
        <v>12127</v>
      </c>
      <c r="P796" s="150">
        <v>12921</v>
      </c>
      <c r="Q796" s="150">
        <v>13954.84</v>
      </c>
      <c r="R796" s="150">
        <v>13954.84</v>
      </c>
    </row>
    <row r="797" spans="1:19" x14ac:dyDescent="0.25">
      <c r="A797" t="str">
        <f t="shared" si="12"/>
        <v>35-11-96</v>
      </c>
      <c r="B797">
        <v>35</v>
      </c>
      <c r="C797" s="150" t="s">
        <v>1195</v>
      </c>
      <c r="D797" s="150">
        <v>11</v>
      </c>
      <c r="E797" s="150" t="s">
        <v>1204</v>
      </c>
      <c r="F797" s="150">
        <v>96</v>
      </c>
      <c r="G797" s="150" t="s">
        <v>1073</v>
      </c>
      <c r="H797" s="150">
        <v>0</v>
      </c>
      <c r="I797" s="150">
        <v>90360572</v>
      </c>
      <c r="J797" s="150"/>
      <c r="K797" s="150">
        <v>0</v>
      </c>
      <c r="L797" s="150">
        <v>0</v>
      </c>
      <c r="M797" s="150">
        <v>0</v>
      </c>
      <c r="N797" s="150">
        <v>0</v>
      </c>
      <c r="O797" s="150">
        <v>1014907</v>
      </c>
      <c r="P797" s="150">
        <v>506050</v>
      </c>
      <c r="Q797" s="150">
        <v>50000</v>
      </c>
    </row>
    <row r="798" spans="1:19" x14ac:dyDescent="0.25">
      <c r="A798" t="str">
        <f t="shared" si="12"/>
        <v>35-2-35</v>
      </c>
      <c r="B798">
        <v>35</v>
      </c>
      <c r="C798" s="150" t="s">
        <v>1195</v>
      </c>
      <c r="D798" s="150">
        <v>2</v>
      </c>
      <c r="E798" s="150" t="s">
        <v>110</v>
      </c>
      <c r="F798" s="150">
        <v>35</v>
      </c>
      <c r="G798" s="150" t="s">
        <v>584</v>
      </c>
      <c r="H798" s="150">
        <v>1379515</v>
      </c>
      <c r="I798" s="150">
        <v>91665065</v>
      </c>
      <c r="J798" s="150"/>
      <c r="K798" s="150">
        <v>74040</v>
      </c>
      <c r="L798" s="150">
        <v>171918</v>
      </c>
      <c r="M798" s="150">
        <v>66712.72</v>
      </c>
      <c r="N798" s="150">
        <v>0</v>
      </c>
      <c r="O798" s="150">
        <v>17748550</v>
      </c>
      <c r="P798" s="150">
        <v>19066330</v>
      </c>
      <c r="Q798" s="150">
        <v>20314117.719999999</v>
      </c>
      <c r="R798" s="150" t="s">
        <v>1314</v>
      </c>
      <c r="S798" s="150" t="s">
        <v>1314</v>
      </c>
    </row>
    <row r="799" spans="1:19" x14ac:dyDescent="0.25">
      <c r="A799" t="str">
        <f t="shared" si="12"/>
        <v>31-9-64</v>
      </c>
      <c r="B799">
        <v>31</v>
      </c>
      <c r="C799" s="150" t="s">
        <v>1183</v>
      </c>
      <c r="D799" s="150">
        <v>9</v>
      </c>
      <c r="E799" s="150" t="s">
        <v>683</v>
      </c>
      <c r="F799" s="150">
        <v>64</v>
      </c>
      <c r="G799" s="150" t="s">
        <v>1048</v>
      </c>
      <c r="H799" s="150">
        <v>373</v>
      </c>
      <c r="I799" s="150">
        <v>2929714</v>
      </c>
      <c r="J799" s="150" t="s">
        <v>1203</v>
      </c>
      <c r="K799" s="150">
        <v>522</v>
      </c>
      <c r="L799" s="150">
        <v>44</v>
      </c>
      <c r="M799" s="150">
        <v>19.510000000000002</v>
      </c>
      <c r="N799" s="150">
        <v>0</v>
      </c>
      <c r="O799" s="150">
        <v>9476</v>
      </c>
      <c r="P799" s="150">
        <v>9269</v>
      </c>
      <c r="Q799" s="150">
        <v>9759.51</v>
      </c>
      <c r="R799" s="150">
        <v>9759.51</v>
      </c>
    </row>
    <row r="800" spans="1:19" x14ac:dyDescent="0.25">
      <c r="A800" t="str">
        <f t="shared" si="12"/>
        <v>18-4-120</v>
      </c>
      <c r="B800">
        <v>18</v>
      </c>
      <c r="C800" s="150" t="s">
        <v>1170</v>
      </c>
      <c r="D800" s="150">
        <v>4</v>
      </c>
      <c r="E800" s="150" t="s">
        <v>146</v>
      </c>
      <c r="F800" s="150">
        <v>120</v>
      </c>
      <c r="G800" s="150" t="s">
        <v>893</v>
      </c>
      <c r="H800" s="150">
        <v>0</v>
      </c>
      <c r="I800" s="150">
        <v>216851</v>
      </c>
      <c r="J800" s="150">
        <v>1</v>
      </c>
      <c r="K800" s="150">
        <v>10146</v>
      </c>
      <c r="L800" s="150">
        <v>5399</v>
      </c>
      <c r="M800" s="150">
        <v>1295.1199999999999</v>
      </c>
      <c r="N800" s="150">
        <v>0</v>
      </c>
      <c r="O800" s="150">
        <v>16906</v>
      </c>
      <c r="P800" s="150">
        <v>17482</v>
      </c>
      <c r="Q800" s="150">
        <v>18006</v>
      </c>
      <c r="R800" s="150">
        <v>18006</v>
      </c>
    </row>
    <row r="801" spans="1:18" x14ac:dyDescent="0.25">
      <c r="A801" t="str">
        <f t="shared" si="12"/>
        <v>25-4-120</v>
      </c>
      <c r="B801">
        <v>25</v>
      </c>
      <c r="C801" s="150" t="s">
        <v>1177</v>
      </c>
      <c r="D801" s="150">
        <v>4</v>
      </c>
      <c r="E801" s="150" t="s">
        <v>146</v>
      </c>
      <c r="F801" s="150">
        <v>120</v>
      </c>
      <c r="G801" s="150" t="s">
        <v>893</v>
      </c>
      <c r="H801" s="150">
        <v>0</v>
      </c>
      <c r="I801" s="150">
        <v>27512</v>
      </c>
      <c r="J801" s="150">
        <v>1</v>
      </c>
      <c r="K801" s="150">
        <v>10146</v>
      </c>
      <c r="L801" s="150">
        <v>5399</v>
      </c>
      <c r="M801" s="150">
        <v>1295.1199999999999</v>
      </c>
      <c r="N801" s="150">
        <v>0</v>
      </c>
      <c r="O801" s="150">
        <v>16906</v>
      </c>
      <c r="P801" s="150">
        <v>17482</v>
      </c>
      <c r="Q801" s="150">
        <v>18006</v>
      </c>
      <c r="R801" s="150">
        <v>18006</v>
      </c>
    </row>
    <row r="802" spans="1:18" x14ac:dyDescent="0.25">
      <c r="A802" t="str">
        <f t="shared" si="12"/>
        <v>31-4-120</v>
      </c>
      <c r="B802">
        <v>31</v>
      </c>
      <c r="C802" s="150" t="s">
        <v>1183</v>
      </c>
      <c r="D802" s="150">
        <v>4</v>
      </c>
      <c r="E802" s="150" t="s">
        <v>146</v>
      </c>
      <c r="F802" s="150">
        <v>120</v>
      </c>
      <c r="G802" s="150" t="s">
        <v>893</v>
      </c>
      <c r="H802" s="150">
        <v>0</v>
      </c>
      <c r="I802" s="150">
        <v>3648693</v>
      </c>
      <c r="J802" s="150">
        <v>1</v>
      </c>
      <c r="K802" s="150">
        <v>10146</v>
      </c>
      <c r="L802" s="150">
        <v>5399</v>
      </c>
      <c r="M802" s="150">
        <v>1295.1199999999999</v>
      </c>
      <c r="N802" s="150">
        <v>0</v>
      </c>
      <c r="O802" s="150">
        <v>16906</v>
      </c>
      <c r="P802" s="150">
        <v>17482</v>
      </c>
      <c r="Q802" s="150">
        <v>18006</v>
      </c>
      <c r="R802" s="150">
        <v>18006</v>
      </c>
    </row>
    <row r="803" spans="1:18" x14ac:dyDescent="0.25">
      <c r="A803" t="str">
        <f t="shared" si="12"/>
        <v>31-7-104</v>
      </c>
      <c r="B803">
        <v>31</v>
      </c>
      <c r="C803" s="150" t="s">
        <v>1183</v>
      </c>
      <c r="D803" s="150">
        <v>7</v>
      </c>
      <c r="E803" s="150" t="s">
        <v>681</v>
      </c>
      <c r="F803" s="150">
        <v>104</v>
      </c>
      <c r="G803" s="150" t="s">
        <v>1047</v>
      </c>
      <c r="H803" s="150">
        <v>546</v>
      </c>
      <c r="I803" s="150">
        <v>3416637</v>
      </c>
      <c r="J803" s="150" t="s">
        <v>1203</v>
      </c>
      <c r="K803" s="150">
        <v>830</v>
      </c>
      <c r="L803" s="150">
        <v>189</v>
      </c>
      <c r="M803" s="150">
        <v>56.25</v>
      </c>
      <c r="N803" s="150">
        <v>0</v>
      </c>
      <c r="O803" s="150">
        <v>16354</v>
      </c>
      <c r="P803" s="150">
        <v>15921</v>
      </c>
      <c r="Q803" s="150">
        <v>16845.25</v>
      </c>
      <c r="R803" s="150">
        <v>16845.25</v>
      </c>
    </row>
    <row r="804" spans="1:18" x14ac:dyDescent="0.25">
      <c r="A804" t="str">
        <f t="shared" si="12"/>
        <v>29-7-102</v>
      </c>
      <c r="B804">
        <v>29</v>
      </c>
      <c r="C804" s="150" t="s">
        <v>1181</v>
      </c>
      <c r="D804" s="150">
        <v>7</v>
      </c>
      <c r="E804" s="150" t="s">
        <v>681</v>
      </c>
      <c r="F804" s="150">
        <v>102</v>
      </c>
      <c r="G804" s="150" t="s">
        <v>537</v>
      </c>
      <c r="H804" s="150">
        <v>2514</v>
      </c>
      <c r="I804" s="150">
        <v>4414090</v>
      </c>
      <c r="J804" s="150">
        <v>1</v>
      </c>
      <c r="K804" s="150">
        <v>314</v>
      </c>
      <c r="L804" s="150">
        <v>103</v>
      </c>
      <c r="M804" s="150">
        <v>30.080000000000002</v>
      </c>
      <c r="N804" s="150">
        <v>0</v>
      </c>
      <c r="O804" s="150">
        <v>8417</v>
      </c>
      <c r="P804" s="150">
        <v>8417</v>
      </c>
      <c r="Q804" s="150">
        <v>8417.08</v>
      </c>
      <c r="R804" s="150">
        <v>8417.08</v>
      </c>
    </row>
    <row r="805" spans="1:18" x14ac:dyDescent="0.25">
      <c r="A805" t="str">
        <f t="shared" si="12"/>
        <v>35-7-102</v>
      </c>
      <c r="B805">
        <v>35</v>
      </c>
      <c r="C805" s="150" t="s">
        <v>1195</v>
      </c>
      <c r="D805" s="150">
        <v>7</v>
      </c>
      <c r="E805" s="150" t="s">
        <v>681</v>
      </c>
      <c r="F805" s="150">
        <v>102</v>
      </c>
      <c r="G805" s="150" t="s">
        <v>537</v>
      </c>
      <c r="H805" s="150">
        <v>2514</v>
      </c>
      <c r="I805" s="150">
        <v>972228</v>
      </c>
      <c r="J805" s="150">
        <v>1</v>
      </c>
      <c r="K805" s="150">
        <v>314</v>
      </c>
      <c r="L805" s="150">
        <v>103</v>
      </c>
      <c r="M805" s="150">
        <v>30.080000000000002</v>
      </c>
      <c r="N805" s="150">
        <v>0</v>
      </c>
      <c r="O805" s="150">
        <v>8417</v>
      </c>
      <c r="P805" s="150">
        <v>8417</v>
      </c>
      <c r="Q805" s="150">
        <v>8417.08</v>
      </c>
      <c r="R805" s="150">
        <v>8417.08</v>
      </c>
    </row>
    <row r="806" spans="1:18" x14ac:dyDescent="0.25">
      <c r="A806" t="str">
        <f t="shared" si="12"/>
        <v>28-13-2</v>
      </c>
      <c r="B806">
        <v>28</v>
      </c>
      <c r="C806" s="150" t="s">
        <v>1180</v>
      </c>
      <c r="D806" s="150">
        <v>13</v>
      </c>
      <c r="E806" s="150" t="s">
        <v>295</v>
      </c>
      <c r="F806" s="150">
        <v>2</v>
      </c>
      <c r="G806" s="150" t="s">
        <v>1016</v>
      </c>
      <c r="H806" s="150">
        <v>3341527</v>
      </c>
      <c r="I806" s="150">
        <v>669681973</v>
      </c>
      <c r="J806" s="150" t="s">
        <v>1203</v>
      </c>
      <c r="K806" s="150">
        <v>10034</v>
      </c>
      <c r="L806" s="150">
        <v>128276</v>
      </c>
      <c r="M806" s="150">
        <v>16869.95</v>
      </c>
      <c r="N806" s="150">
        <v>0</v>
      </c>
      <c r="O806" s="150">
        <v>17450719</v>
      </c>
      <c r="P806" s="150">
        <v>17659145</v>
      </c>
      <c r="Q806" s="150">
        <v>17820606.949999999</v>
      </c>
      <c r="R806" s="150">
        <v>17820606.949999999</v>
      </c>
    </row>
    <row r="807" spans="1:18" x14ac:dyDescent="0.25">
      <c r="A807" t="str">
        <f t="shared" si="12"/>
        <v>1-9-11</v>
      </c>
      <c r="B807">
        <v>1</v>
      </c>
      <c r="C807" s="150" t="s">
        <v>1155</v>
      </c>
      <c r="D807" s="150">
        <v>9</v>
      </c>
      <c r="E807" s="150" t="s">
        <v>683</v>
      </c>
      <c r="F807" s="150">
        <v>11</v>
      </c>
      <c r="G807" s="150" t="s">
        <v>705</v>
      </c>
      <c r="H807" s="150">
        <v>0</v>
      </c>
      <c r="I807" s="150">
        <v>26320493</v>
      </c>
      <c r="J807" s="150" t="s">
        <v>1203</v>
      </c>
      <c r="K807" s="150">
        <v>87</v>
      </c>
      <c r="L807" s="150">
        <v>34873</v>
      </c>
      <c r="M807" s="150">
        <v>5866.27</v>
      </c>
      <c r="N807" s="150">
        <v>0</v>
      </c>
      <c r="O807" s="150">
        <v>5481168</v>
      </c>
      <c r="P807" s="150">
        <v>5766631</v>
      </c>
      <c r="Q807" s="150">
        <v>6045055.2699999996</v>
      </c>
      <c r="R807" s="150">
        <v>6045055.2699999996</v>
      </c>
    </row>
    <row r="808" spans="1:18" x14ac:dyDescent="0.25">
      <c r="A808" t="str">
        <f t="shared" si="12"/>
        <v>3-9-106</v>
      </c>
      <c r="B808">
        <v>3</v>
      </c>
      <c r="C808" s="150" t="s">
        <v>1157</v>
      </c>
      <c r="D808" s="150">
        <v>9</v>
      </c>
      <c r="E808" s="150" t="s">
        <v>683</v>
      </c>
      <c r="F808" s="150">
        <v>106</v>
      </c>
      <c r="G808" s="150" t="s">
        <v>740</v>
      </c>
      <c r="H808" s="150">
        <v>292</v>
      </c>
      <c r="I808" s="150">
        <v>0</v>
      </c>
      <c r="J808" s="150" t="s">
        <v>1203</v>
      </c>
      <c r="K808" s="150">
        <v>979</v>
      </c>
      <c r="L808" s="150">
        <v>1274</v>
      </c>
      <c r="M808" s="150">
        <v>894.06</v>
      </c>
      <c r="N808" s="150">
        <v>0</v>
      </c>
      <c r="O808" s="150">
        <v>496896</v>
      </c>
      <c r="P808" s="150">
        <v>496896</v>
      </c>
      <c r="Q808" s="150">
        <v>521809.06</v>
      </c>
      <c r="R808" s="150">
        <v>521809.06</v>
      </c>
    </row>
    <row r="809" spans="1:18" x14ac:dyDescent="0.25">
      <c r="A809" t="str">
        <f t="shared" si="12"/>
        <v>7-9-42</v>
      </c>
      <c r="B809">
        <v>7</v>
      </c>
      <c r="C809" s="150" t="s">
        <v>1199</v>
      </c>
      <c r="D809" s="150">
        <v>9</v>
      </c>
      <c r="E809" s="150" t="s">
        <v>683</v>
      </c>
      <c r="F809" s="150">
        <v>42</v>
      </c>
      <c r="G809" s="150" t="s">
        <v>1255</v>
      </c>
      <c r="H809" s="150">
        <v>0</v>
      </c>
      <c r="I809" s="150">
        <v>0</v>
      </c>
      <c r="J809" s="150" t="s">
        <v>1203</v>
      </c>
      <c r="K809" s="150">
        <v>0</v>
      </c>
      <c r="L809" s="150">
        <v>0</v>
      </c>
      <c r="M809" s="150">
        <v>33.909999999999997</v>
      </c>
      <c r="N809" s="150">
        <v>0</v>
      </c>
      <c r="O809" s="150">
        <v>466093</v>
      </c>
      <c r="P809" s="150">
        <v>482299</v>
      </c>
      <c r="Q809" s="150">
        <v>500871.91</v>
      </c>
      <c r="R809" s="150">
        <v>500871.91</v>
      </c>
    </row>
    <row r="810" spans="1:18" x14ac:dyDescent="0.25">
      <c r="A810" t="str">
        <f t="shared" si="12"/>
        <v>6-17-39</v>
      </c>
      <c r="B810">
        <v>6</v>
      </c>
      <c r="C810" s="150" t="s">
        <v>1159</v>
      </c>
      <c r="D810" s="150">
        <v>17</v>
      </c>
      <c r="E810" s="150" t="s">
        <v>688</v>
      </c>
      <c r="F810" s="150">
        <v>39</v>
      </c>
      <c r="G810" s="150" t="s">
        <v>1372</v>
      </c>
      <c r="H810" s="150">
        <v>0</v>
      </c>
      <c r="I810" s="150">
        <v>26024701</v>
      </c>
      <c r="J810" s="150"/>
      <c r="K810" s="150">
        <v>0</v>
      </c>
      <c r="L810" s="150">
        <v>0</v>
      </c>
      <c r="M810" s="150">
        <v>0</v>
      </c>
      <c r="N810" s="150">
        <v>0</v>
      </c>
      <c r="O810" s="150">
        <v>0</v>
      </c>
      <c r="P810" s="150">
        <v>0</v>
      </c>
      <c r="Q810" s="150">
        <v>545360</v>
      </c>
      <c r="R810" s="150">
        <v>545360</v>
      </c>
    </row>
    <row r="811" spans="1:18" x14ac:dyDescent="0.25">
      <c r="A811" t="str">
        <f t="shared" si="12"/>
        <v>15-4-53</v>
      </c>
      <c r="B811">
        <v>15</v>
      </c>
      <c r="C811" s="150" t="s">
        <v>1167</v>
      </c>
      <c r="D811" s="150">
        <v>4</v>
      </c>
      <c r="E811" s="150" t="s">
        <v>146</v>
      </c>
      <c r="F811" s="150">
        <v>53</v>
      </c>
      <c r="G811" s="150" t="s">
        <v>867</v>
      </c>
      <c r="H811" s="150">
        <v>0</v>
      </c>
      <c r="I811" s="150">
        <v>64891731</v>
      </c>
      <c r="J811" s="150" t="s">
        <v>1203</v>
      </c>
      <c r="K811" s="150">
        <v>5371</v>
      </c>
      <c r="L811" s="150">
        <v>5364</v>
      </c>
      <c r="M811" s="150">
        <v>2845.73</v>
      </c>
      <c r="N811" s="150">
        <v>0</v>
      </c>
      <c r="O811" s="150">
        <v>11854</v>
      </c>
      <c r="P811" s="150">
        <v>12268</v>
      </c>
      <c r="Q811" s="150">
        <v>12685</v>
      </c>
      <c r="R811" s="150">
        <v>12685</v>
      </c>
    </row>
    <row r="812" spans="1:18" x14ac:dyDescent="0.25">
      <c r="A812" t="str">
        <f t="shared" si="12"/>
        <v>31-11-44</v>
      </c>
      <c r="B812">
        <v>31</v>
      </c>
      <c r="C812" s="150" t="s">
        <v>1183</v>
      </c>
      <c r="D812" s="150">
        <v>11</v>
      </c>
      <c r="E812" s="150" t="s">
        <v>1204</v>
      </c>
      <c r="F812" s="150">
        <v>44</v>
      </c>
      <c r="G812" s="150" t="s">
        <v>1052</v>
      </c>
      <c r="H812" s="150">
        <v>0</v>
      </c>
      <c r="I812" s="150">
        <v>19077</v>
      </c>
      <c r="J812" s="150" t="s">
        <v>1203</v>
      </c>
      <c r="K812" s="150">
        <v>5389</v>
      </c>
      <c r="L812" s="150">
        <v>46</v>
      </c>
      <c r="M812" s="150">
        <v>1.1299999999999999</v>
      </c>
      <c r="N812" s="150">
        <v>0</v>
      </c>
      <c r="O812" s="150">
        <v>58789</v>
      </c>
      <c r="P812" s="150">
        <v>60553</v>
      </c>
      <c r="Q812" s="150">
        <v>62382.13</v>
      </c>
      <c r="R812" s="150">
        <v>62382.13</v>
      </c>
    </row>
    <row r="813" spans="1:18" x14ac:dyDescent="0.25">
      <c r="A813" t="str">
        <f t="shared" si="12"/>
        <v>43-20-35</v>
      </c>
      <c r="B813">
        <v>43</v>
      </c>
      <c r="C813" s="150" t="s">
        <v>1192</v>
      </c>
      <c r="D813" s="150">
        <v>20</v>
      </c>
      <c r="E813" s="150" t="s">
        <v>238</v>
      </c>
      <c r="F813" s="150">
        <v>35</v>
      </c>
      <c r="G813" s="150" t="s">
        <v>1144</v>
      </c>
      <c r="H813" s="150">
        <v>656</v>
      </c>
      <c r="I813" s="150">
        <v>2723584</v>
      </c>
      <c r="J813" s="150" t="s">
        <v>1203</v>
      </c>
      <c r="K813" s="150">
        <v>0</v>
      </c>
      <c r="L813" s="150">
        <v>164</v>
      </c>
      <c r="M813" s="150">
        <v>38.47</v>
      </c>
      <c r="N813" s="150">
        <v>0</v>
      </c>
      <c r="O813" s="150">
        <v>249739</v>
      </c>
      <c r="P813" s="150">
        <v>257364</v>
      </c>
      <c r="Q813" s="150">
        <v>273796.46999999997</v>
      </c>
      <c r="R813" s="150">
        <v>273796.46999999997</v>
      </c>
    </row>
    <row r="814" spans="1:18" x14ac:dyDescent="0.25">
      <c r="A814" t="str">
        <f t="shared" si="12"/>
        <v>29-9-69</v>
      </c>
      <c r="B814">
        <v>29</v>
      </c>
      <c r="C814" s="150" t="s">
        <v>1181</v>
      </c>
      <c r="D814" s="150">
        <v>9</v>
      </c>
      <c r="E814" s="150" t="s">
        <v>683</v>
      </c>
      <c r="F814" s="150">
        <v>69</v>
      </c>
      <c r="G814" s="150" t="s">
        <v>1030</v>
      </c>
      <c r="H814" s="150">
        <v>1286</v>
      </c>
      <c r="I814" s="150">
        <v>536354</v>
      </c>
      <c r="J814" s="150" t="s">
        <v>1203</v>
      </c>
      <c r="K814" s="150">
        <v>1619</v>
      </c>
      <c r="L814" s="150">
        <v>63</v>
      </c>
      <c r="M814" s="150">
        <v>0.57999999999999996</v>
      </c>
      <c r="N814" s="150">
        <v>0</v>
      </c>
      <c r="O814" s="150">
        <v>8478</v>
      </c>
      <c r="P814" s="150">
        <f>6796+1619+63</f>
        <v>8478</v>
      </c>
      <c r="Q814" s="150">
        <v>8477.58</v>
      </c>
      <c r="R814" s="150">
        <v>8478</v>
      </c>
    </row>
    <row r="815" spans="1:18" x14ac:dyDescent="0.25">
      <c r="A815" t="str">
        <f t="shared" si="12"/>
        <v>29-11-45</v>
      </c>
      <c r="B815">
        <v>29</v>
      </c>
      <c r="C815" s="150" t="s">
        <v>1181</v>
      </c>
      <c r="D815" s="150">
        <v>11</v>
      </c>
      <c r="E815" s="150" t="s">
        <v>1204</v>
      </c>
      <c r="F815" s="150">
        <v>45</v>
      </c>
      <c r="G815" s="150" t="s">
        <v>1034</v>
      </c>
      <c r="H815" s="150">
        <v>43335</v>
      </c>
      <c r="I815" s="150">
        <v>44539884</v>
      </c>
      <c r="J815" s="150" t="s">
        <v>1203</v>
      </c>
      <c r="K815" s="150">
        <v>24004</v>
      </c>
      <c r="L815" s="150">
        <v>21477</v>
      </c>
      <c r="M815" s="150">
        <v>6560.5599999999995</v>
      </c>
      <c r="N815" s="150">
        <v>0</v>
      </c>
      <c r="O815" s="150">
        <v>3192333</v>
      </c>
      <c r="P815" s="150">
        <v>3278670</v>
      </c>
      <c r="Q815" s="150">
        <v>3424177.56</v>
      </c>
      <c r="R815" s="150">
        <v>3424177.56</v>
      </c>
    </row>
    <row r="816" spans="1:18" x14ac:dyDescent="0.25">
      <c r="A816" t="str">
        <f t="shared" si="12"/>
        <v>9-9-159</v>
      </c>
      <c r="B816">
        <v>9</v>
      </c>
      <c r="C816" s="150" t="s">
        <v>1161</v>
      </c>
      <c r="D816" s="150">
        <v>9</v>
      </c>
      <c r="E816" s="150" t="s">
        <v>683</v>
      </c>
      <c r="F816" s="150">
        <v>159</v>
      </c>
      <c r="G816" s="150" t="s">
        <v>816</v>
      </c>
      <c r="H816" s="150">
        <v>122</v>
      </c>
      <c r="I816" s="150">
        <v>0</v>
      </c>
      <c r="J816" s="150" t="s">
        <v>1203</v>
      </c>
      <c r="K816" s="150">
        <v>0</v>
      </c>
      <c r="L816" s="150">
        <v>61</v>
      </c>
      <c r="M816" s="150">
        <v>0</v>
      </c>
      <c r="N816" s="150">
        <v>0</v>
      </c>
      <c r="O816" s="150">
        <v>132476</v>
      </c>
      <c r="P816" s="150">
        <v>138703</v>
      </c>
      <c r="Q816" s="150">
        <v>149738</v>
      </c>
      <c r="R816" s="150">
        <v>149738</v>
      </c>
    </row>
    <row r="817" spans="1:18" x14ac:dyDescent="0.25">
      <c r="A817" t="str">
        <f t="shared" si="12"/>
        <v>9-9-70</v>
      </c>
      <c r="B817">
        <v>9</v>
      </c>
      <c r="C817" s="150" t="s">
        <v>1161</v>
      </c>
      <c r="D817" s="150">
        <v>9</v>
      </c>
      <c r="E817" s="150" t="s">
        <v>683</v>
      </c>
      <c r="F817" s="150">
        <v>70</v>
      </c>
      <c r="G817" s="150" t="s">
        <v>809</v>
      </c>
      <c r="H817" s="150">
        <v>8458</v>
      </c>
      <c r="I817" s="150">
        <v>29159708</v>
      </c>
      <c r="J817" s="150" t="s">
        <v>1203</v>
      </c>
      <c r="K817" s="150">
        <v>917</v>
      </c>
      <c r="L817" s="150">
        <v>6168</v>
      </c>
      <c r="M817" s="150">
        <v>1028.75</v>
      </c>
      <c r="N817" s="150">
        <v>0</v>
      </c>
      <c r="O817" s="150">
        <v>566728</v>
      </c>
      <c r="P817" s="150">
        <v>602518</v>
      </c>
      <c r="Q817" s="150">
        <v>623482.35</v>
      </c>
      <c r="R817" s="150">
        <v>623482.75</v>
      </c>
    </row>
    <row r="818" spans="1:18" x14ac:dyDescent="0.25">
      <c r="A818" t="str">
        <f t="shared" si="12"/>
        <v>28-9-170</v>
      </c>
      <c r="B818">
        <v>28</v>
      </c>
      <c r="C818" s="150" t="s">
        <v>1180</v>
      </c>
      <c r="D818" s="150">
        <v>9</v>
      </c>
      <c r="E818" s="150" t="s">
        <v>683</v>
      </c>
      <c r="F818" s="150">
        <v>170</v>
      </c>
      <c r="G818" s="150" t="s">
        <v>511</v>
      </c>
      <c r="H818" s="150">
        <v>153</v>
      </c>
      <c r="I818" s="150">
        <v>161139224</v>
      </c>
      <c r="J818" s="150" t="s">
        <v>1203</v>
      </c>
      <c r="K818" s="150">
        <v>1343</v>
      </c>
      <c r="L818" s="150">
        <v>31577</v>
      </c>
      <c r="M818" s="150">
        <v>5015.51</v>
      </c>
      <c r="N818" s="150">
        <v>0</v>
      </c>
      <c r="O818" s="150">
        <v>6141640</v>
      </c>
      <c r="P818" s="150">
        <v>6479205</v>
      </c>
      <c r="Q818" s="150">
        <v>6813997.5099999998</v>
      </c>
      <c r="R818" s="150">
        <v>6813997.5099999998</v>
      </c>
    </row>
    <row r="819" spans="1:18" x14ac:dyDescent="0.25">
      <c r="A819" t="str">
        <f t="shared" si="12"/>
        <v>14-11-46</v>
      </c>
      <c r="B819">
        <v>14</v>
      </c>
      <c r="C819" s="150" t="s">
        <v>1166</v>
      </c>
      <c r="D819" s="150">
        <v>11</v>
      </c>
      <c r="E819" s="150" t="s">
        <v>1204</v>
      </c>
      <c r="F819" s="150">
        <v>46</v>
      </c>
      <c r="G819" s="150" t="s">
        <v>336</v>
      </c>
      <c r="H819" s="150">
        <v>7175</v>
      </c>
      <c r="I819" s="150">
        <v>70791283</v>
      </c>
      <c r="J819" s="150" t="s">
        <v>1203</v>
      </c>
      <c r="K819" s="150">
        <v>30090</v>
      </c>
      <c r="L819" s="150">
        <v>9600</v>
      </c>
      <c r="M819" s="150">
        <v>2972.0299999999997</v>
      </c>
      <c r="N819" s="150">
        <v>0</v>
      </c>
      <c r="O819" s="150">
        <v>1048685</v>
      </c>
      <c r="P819" s="150">
        <v>1098900</v>
      </c>
      <c r="Q819" s="150">
        <v>1159070.03</v>
      </c>
      <c r="R819" s="150">
        <v>1159070.03</v>
      </c>
    </row>
    <row r="820" spans="1:18" x14ac:dyDescent="0.25">
      <c r="A820" t="str">
        <f t="shared" si="12"/>
        <v>14-4-43</v>
      </c>
      <c r="B820">
        <v>14</v>
      </c>
      <c r="C820" s="150" t="s">
        <v>1166</v>
      </c>
      <c r="D820" s="150">
        <v>4</v>
      </c>
      <c r="E820" s="150" t="s">
        <v>146</v>
      </c>
      <c r="F820" s="150">
        <v>43</v>
      </c>
      <c r="G820" s="150" t="s">
        <v>859</v>
      </c>
      <c r="H820" s="150">
        <v>0</v>
      </c>
      <c r="I820" s="150">
        <v>19604384</v>
      </c>
      <c r="J820" s="150" t="s">
        <v>1203</v>
      </c>
      <c r="K820" s="150">
        <v>19426</v>
      </c>
      <c r="L820" s="150">
        <v>4055</v>
      </c>
      <c r="M820" s="150">
        <v>1140.46</v>
      </c>
      <c r="N820" s="150">
        <v>0</v>
      </c>
      <c r="O820" s="150">
        <v>0</v>
      </c>
      <c r="P820" s="150">
        <v>0</v>
      </c>
      <c r="Q820" s="150">
        <v>0</v>
      </c>
      <c r="R820" s="150">
        <v>0</v>
      </c>
    </row>
    <row r="821" spans="1:18" x14ac:dyDescent="0.25">
      <c r="A821" t="str">
        <f t="shared" si="12"/>
        <v>16-9-71</v>
      </c>
      <c r="B821">
        <v>16</v>
      </c>
      <c r="C821" s="150" t="s">
        <v>1168</v>
      </c>
      <c r="D821" s="150">
        <v>9</v>
      </c>
      <c r="E821" s="150" t="s">
        <v>683</v>
      </c>
      <c r="F821" s="150">
        <v>71</v>
      </c>
      <c r="G821" s="150" t="s">
        <v>879</v>
      </c>
      <c r="H821" s="150">
        <v>0</v>
      </c>
      <c r="I821" s="150">
        <v>0</v>
      </c>
      <c r="J821" s="150" t="s">
        <v>1203</v>
      </c>
      <c r="K821" s="150">
        <v>4005</v>
      </c>
      <c r="L821" s="150">
        <v>719</v>
      </c>
      <c r="M821" s="150">
        <v>222.34</v>
      </c>
      <c r="N821" s="150">
        <v>0</v>
      </c>
      <c r="O821" s="150">
        <v>72766</v>
      </c>
      <c r="P821" s="150">
        <v>75283</v>
      </c>
      <c r="Q821" s="150">
        <v>78991.34</v>
      </c>
      <c r="R821" s="150">
        <v>78991.34</v>
      </c>
    </row>
    <row r="822" spans="1:18" x14ac:dyDescent="0.25">
      <c r="A822" t="str">
        <f t="shared" si="12"/>
        <v>16-14-31</v>
      </c>
      <c r="B822">
        <v>16</v>
      </c>
      <c r="C822" s="150" t="s">
        <v>1168</v>
      </c>
      <c r="D822" s="150">
        <v>14</v>
      </c>
      <c r="E822" s="150" t="s">
        <v>665</v>
      </c>
      <c r="F822" s="150">
        <v>31</v>
      </c>
      <c r="G822" s="150" t="s">
        <v>889</v>
      </c>
      <c r="H822" s="150">
        <v>0</v>
      </c>
      <c r="I822" s="150">
        <v>10826902</v>
      </c>
      <c r="J822" s="150" t="s">
        <v>1203</v>
      </c>
      <c r="K822" s="150">
        <v>1286</v>
      </c>
      <c r="L822" s="150">
        <v>215</v>
      </c>
      <c r="M822" s="150">
        <v>69.150000000000006</v>
      </c>
      <c r="N822" s="150">
        <v>0</v>
      </c>
      <c r="O822" s="150">
        <v>26479</v>
      </c>
      <c r="P822" s="150">
        <v>27374</v>
      </c>
      <c r="Q822" s="150">
        <v>28552.15</v>
      </c>
      <c r="R822" s="150">
        <v>28552.15</v>
      </c>
    </row>
    <row r="823" spans="1:18" x14ac:dyDescent="0.25">
      <c r="A823" t="str">
        <f t="shared" si="12"/>
        <v>16-11-47</v>
      </c>
      <c r="B823">
        <v>16</v>
      </c>
      <c r="C823" s="150" t="s">
        <v>1168</v>
      </c>
      <c r="D823" s="150">
        <v>11</v>
      </c>
      <c r="E823" s="150" t="s">
        <v>1204</v>
      </c>
      <c r="F823" s="150">
        <v>47</v>
      </c>
      <c r="G823" s="150" t="s">
        <v>887</v>
      </c>
      <c r="H823" s="150">
        <v>0</v>
      </c>
      <c r="I823" s="150">
        <v>9948704</v>
      </c>
      <c r="J823" s="150" t="s">
        <v>1203</v>
      </c>
      <c r="K823" s="150">
        <v>17211</v>
      </c>
      <c r="L823" s="150">
        <v>2503</v>
      </c>
      <c r="M823" s="150">
        <v>850.18000000000006</v>
      </c>
      <c r="N823" s="150">
        <v>0</v>
      </c>
      <c r="O823" s="150">
        <v>343329</v>
      </c>
      <c r="P823" s="150">
        <v>354667</v>
      </c>
      <c r="Q823" s="150">
        <v>369864.18</v>
      </c>
      <c r="R823" s="150">
        <v>369864.18</v>
      </c>
    </row>
    <row r="824" spans="1:18" x14ac:dyDescent="0.25">
      <c r="A824" t="str">
        <f t="shared" si="12"/>
        <v>16-17-17</v>
      </c>
      <c r="B824">
        <v>16</v>
      </c>
      <c r="C824" s="150" t="s">
        <v>1168</v>
      </c>
      <c r="D824" s="150">
        <v>17</v>
      </c>
      <c r="E824" s="150" t="s">
        <v>688</v>
      </c>
      <c r="F824" s="150">
        <v>17</v>
      </c>
      <c r="G824" s="150" t="s">
        <v>367</v>
      </c>
      <c r="H824" s="150">
        <v>9579</v>
      </c>
      <c r="I824" s="150">
        <v>9948704</v>
      </c>
      <c r="J824" s="150" t="s">
        <v>1203</v>
      </c>
      <c r="K824" s="150">
        <v>2016</v>
      </c>
      <c r="L824" s="150">
        <v>344</v>
      </c>
      <c r="M824" s="150">
        <v>316.44</v>
      </c>
      <c r="N824" s="150">
        <v>0</v>
      </c>
      <c r="O824" s="150">
        <v>122974</v>
      </c>
      <c r="P824" s="150">
        <v>127035</v>
      </c>
      <c r="Q824" s="150">
        <v>132478.44</v>
      </c>
      <c r="R824" s="150">
        <v>132478.44</v>
      </c>
    </row>
    <row r="825" spans="1:18" x14ac:dyDescent="0.25">
      <c r="A825" t="str">
        <f t="shared" si="12"/>
        <v>16-7-108</v>
      </c>
      <c r="B825">
        <v>16</v>
      </c>
      <c r="C825" s="150" t="s">
        <v>1168</v>
      </c>
      <c r="D825" s="150">
        <v>7</v>
      </c>
      <c r="E825" s="150" t="s">
        <v>681</v>
      </c>
      <c r="F825" s="150">
        <v>108</v>
      </c>
      <c r="G825" s="150" t="s">
        <v>875</v>
      </c>
      <c r="H825" s="150">
        <v>0</v>
      </c>
      <c r="I825" s="150">
        <v>9534234</v>
      </c>
      <c r="J825" s="150" t="s">
        <v>1203</v>
      </c>
      <c r="K825" s="150">
        <v>1345</v>
      </c>
      <c r="L825" s="150">
        <v>221</v>
      </c>
      <c r="M825" s="150">
        <v>63.32</v>
      </c>
      <c r="N825" s="150">
        <v>0</v>
      </c>
      <c r="O825" s="150">
        <v>25316</v>
      </c>
      <c r="P825" s="150">
        <v>26153</v>
      </c>
      <c r="Q825" s="150">
        <v>27283.32</v>
      </c>
      <c r="R825" s="150">
        <v>27283.32</v>
      </c>
    </row>
    <row r="826" spans="1:18" x14ac:dyDescent="0.25">
      <c r="A826" t="str">
        <f t="shared" si="12"/>
        <v>20-9-183</v>
      </c>
      <c r="B826">
        <v>20</v>
      </c>
      <c r="C826" s="150" t="s">
        <v>1172</v>
      </c>
      <c r="D826" s="150">
        <v>9</v>
      </c>
      <c r="E826" s="150" t="s">
        <v>683</v>
      </c>
      <c r="F826" s="150">
        <v>183</v>
      </c>
      <c r="G826" s="150" t="s">
        <v>935</v>
      </c>
      <c r="H826" s="150">
        <v>4267</v>
      </c>
      <c r="I826" s="150">
        <v>0</v>
      </c>
      <c r="J826" s="150" t="s">
        <v>1203</v>
      </c>
      <c r="K826" s="150">
        <v>0</v>
      </c>
      <c r="L826" s="150">
        <v>17</v>
      </c>
      <c r="M826" s="150">
        <v>0</v>
      </c>
      <c r="N826" s="150">
        <v>0</v>
      </c>
      <c r="O826" s="150">
        <v>25380</v>
      </c>
      <c r="P826" s="150">
        <v>26141</v>
      </c>
      <c r="Q826" s="150">
        <v>26908</v>
      </c>
      <c r="R826" s="150">
        <v>26908</v>
      </c>
    </row>
    <row r="827" spans="1:18" x14ac:dyDescent="0.25">
      <c r="A827" t="str">
        <f t="shared" si="12"/>
        <v>23-7-109</v>
      </c>
      <c r="B827">
        <v>23</v>
      </c>
      <c r="C827" s="150" t="s">
        <v>1175</v>
      </c>
      <c r="D827" s="150">
        <v>7</v>
      </c>
      <c r="E827" s="150" t="s">
        <v>681</v>
      </c>
      <c r="F827" s="150">
        <v>109</v>
      </c>
      <c r="G827" s="150" t="s">
        <v>430</v>
      </c>
      <c r="H827" s="150">
        <v>0</v>
      </c>
      <c r="I827" s="150">
        <v>2458955</v>
      </c>
      <c r="J827" s="150" t="s">
        <v>1203</v>
      </c>
      <c r="K827" s="150">
        <v>48</v>
      </c>
      <c r="L827" s="150">
        <v>28</v>
      </c>
      <c r="M827" s="150">
        <v>0.32999999999999996</v>
      </c>
      <c r="N827" s="150">
        <v>0</v>
      </c>
      <c r="O827" s="150">
        <v>2322</v>
      </c>
      <c r="P827" s="150">
        <v>2392</v>
      </c>
      <c r="Q827" s="150">
        <v>2549.33</v>
      </c>
      <c r="R827" s="150">
        <v>2549.33</v>
      </c>
    </row>
    <row r="828" spans="1:18" x14ac:dyDescent="0.25">
      <c r="A828" t="str">
        <f t="shared" si="12"/>
        <v>23-14-49</v>
      </c>
      <c r="B828">
        <v>23</v>
      </c>
      <c r="C828" s="150" t="s">
        <v>1175</v>
      </c>
      <c r="D828" s="150">
        <v>14</v>
      </c>
      <c r="E828" s="150" t="s">
        <v>665</v>
      </c>
      <c r="F828" s="150">
        <v>49</v>
      </c>
      <c r="G828" s="150" t="s">
        <v>433</v>
      </c>
      <c r="H828" s="150">
        <v>30</v>
      </c>
      <c r="I828" s="150">
        <v>2310094</v>
      </c>
      <c r="J828" s="150" t="s">
        <v>1203</v>
      </c>
      <c r="K828" s="150">
        <v>34</v>
      </c>
      <c r="L828" s="150">
        <v>23</v>
      </c>
      <c r="M828" s="150">
        <v>0.22</v>
      </c>
      <c r="N828" s="150">
        <v>0</v>
      </c>
      <c r="O828" s="150">
        <v>1664</v>
      </c>
      <c r="P828" s="150">
        <v>1664</v>
      </c>
      <c r="Q828" s="150">
        <v>1751.22</v>
      </c>
      <c r="R828" s="150">
        <v>1751.22</v>
      </c>
    </row>
    <row r="829" spans="1:18" x14ac:dyDescent="0.25">
      <c r="A829" t="str">
        <f t="shared" si="12"/>
        <v>36-9-48</v>
      </c>
      <c r="B829">
        <v>36</v>
      </c>
      <c r="C829" s="150" t="s">
        <v>1187</v>
      </c>
      <c r="D829" s="150">
        <v>9</v>
      </c>
      <c r="E829" s="150" t="s">
        <v>683</v>
      </c>
      <c r="F829" s="150">
        <v>48</v>
      </c>
      <c r="G829" s="150" t="s">
        <v>1078</v>
      </c>
      <c r="H829" s="150">
        <v>0</v>
      </c>
      <c r="I829" s="150">
        <v>838000</v>
      </c>
      <c r="J829" s="150" t="s">
        <v>1203</v>
      </c>
      <c r="K829" s="150">
        <v>2032</v>
      </c>
      <c r="L829" s="150">
        <v>890</v>
      </c>
      <c r="M829" s="150">
        <v>323.66000000000003</v>
      </c>
      <c r="N829" s="150">
        <v>0</v>
      </c>
      <c r="O829" s="150">
        <v>117405</v>
      </c>
      <c r="P829" s="150">
        <v>122031</v>
      </c>
      <c r="Q829" s="150">
        <v>129158.66</v>
      </c>
      <c r="R829" s="150">
        <v>129158.66</v>
      </c>
    </row>
    <row r="830" spans="1:18" x14ac:dyDescent="0.25">
      <c r="A830" t="str">
        <f t="shared" si="12"/>
        <v>36-14-32</v>
      </c>
      <c r="B830">
        <v>36</v>
      </c>
      <c r="C830" s="150" t="s">
        <v>1187</v>
      </c>
      <c r="D830" s="150">
        <v>14</v>
      </c>
      <c r="E830" s="150" t="s">
        <v>665</v>
      </c>
      <c r="F830" s="150">
        <v>32</v>
      </c>
      <c r="G830" s="150" t="s">
        <v>1079</v>
      </c>
      <c r="H830" s="150">
        <v>0</v>
      </c>
      <c r="I830" s="150">
        <v>70678047</v>
      </c>
      <c r="J830" s="150" t="s">
        <v>1203</v>
      </c>
      <c r="K830" s="150">
        <v>4068</v>
      </c>
      <c r="L830" s="150">
        <v>1668</v>
      </c>
      <c r="M830" s="150">
        <v>724.45</v>
      </c>
      <c r="N830" s="150">
        <v>0</v>
      </c>
      <c r="O830" s="150">
        <v>176466</v>
      </c>
      <c r="P830" s="150">
        <v>183107</v>
      </c>
      <c r="Q830" s="150">
        <v>192867.45</v>
      </c>
      <c r="R830" s="150">
        <v>192867.45</v>
      </c>
    </row>
    <row r="831" spans="1:18" x14ac:dyDescent="0.25">
      <c r="A831" t="str">
        <f t="shared" si="12"/>
        <v>36-2-36</v>
      </c>
      <c r="B831">
        <v>36</v>
      </c>
      <c r="C831" s="150" t="s">
        <v>1187</v>
      </c>
      <c r="D831" s="150">
        <v>2</v>
      </c>
      <c r="E831" s="150" t="s">
        <v>110</v>
      </c>
      <c r="F831" s="150">
        <v>36</v>
      </c>
      <c r="G831" s="150" t="s">
        <v>593</v>
      </c>
      <c r="H831" s="150">
        <v>0</v>
      </c>
      <c r="I831" s="150">
        <v>70678047</v>
      </c>
      <c r="J831" s="150" t="s">
        <v>1203</v>
      </c>
      <c r="K831" s="150">
        <v>44587</v>
      </c>
      <c r="L831" s="150">
        <v>18532</v>
      </c>
      <c r="M831" s="150">
        <v>8033.23</v>
      </c>
      <c r="N831" s="150">
        <v>0</v>
      </c>
      <c r="O831" s="150">
        <v>1935897</v>
      </c>
      <c r="P831" s="150">
        <v>2029757</v>
      </c>
      <c r="Q831" s="150">
        <v>2137955.23</v>
      </c>
      <c r="R831" s="150">
        <v>2137955.23</v>
      </c>
    </row>
    <row r="832" spans="1:18" x14ac:dyDescent="0.25">
      <c r="A832" t="str">
        <f t="shared" si="12"/>
        <v>36-4-143</v>
      </c>
      <c r="B832">
        <v>36</v>
      </c>
      <c r="C832" s="150" t="s">
        <v>1187</v>
      </c>
      <c r="D832" s="150">
        <v>4</v>
      </c>
      <c r="E832" s="150" t="s">
        <v>146</v>
      </c>
      <c r="F832" s="150">
        <v>143</v>
      </c>
      <c r="G832" s="150" t="s">
        <v>1076</v>
      </c>
      <c r="H832" s="150">
        <v>0</v>
      </c>
      <c r="I832" s="150">
        <v>68737375</v>
      </c>
      <c r="J832" s="150" t="s">
        <v>1203</v>
      </c>
      <c r="K832" s="150">
        <v>18843</v>
      </c>
      <c r="L832" s="150">
        <v>11366</v>
      </c>
      <c r="M832" s="150">
        <v>1680.73</v>
      </c>
      <c r="N832" s="150">
        <v>0</v>
      </c>
      <c r="O832" s="150">
        <v>26217</v>
      </c>
      <c r="P832" s="150">
        <v>27207</v>
      </c>
      <c r="Q832" s="150">
        <v>27207</v>
      </c>
      <c r="R832" s="150">
        <v>27207</v>
      </c>
    </row>
    <row r="833" spans="1:19" x14ac:dyDescent="0.25">
      <c r="A833" t="str">
        <f t="shared" si="12"/>
        <v>18-7-197</v>
      </c>
      <c r="B833">
        <v>18</v>
      </c>
      <c r="C833" s="150" t="s">
        <v>1170</v>
      </c>
      <c r="D833" s="150">
        <v>7</v>
      </c>
      <c r="E833" s="150" t="s">
        <v>681</v>
      </c>
      <c r="F833" s="150">
        <v>197</v>
      </c>
      <c r="G833" s="150" t="s">
        <v>899</v>
      </c>
      <c r="H833" s="150">
        <v>2078</v>
      </c>
      <c r="I833" s="150">
        <v>5289929</v>
      </c>
      <c r="J833" s="150" t="s">
        <v>1203</v>
      </c>
      <c r="K833" s="150">
        <v>89</v>
      </c>
      <c r="L833" s="150">
        <v>1311</v>
      </c>
      <c r="M833" s="150">
        <v>246.53</v>
      </c>
      <c r="N833" s="150">
        <v>0</v>
      </c>
      <c r="O833" s="150">
        <v>62419</v>
      </c>
      <c r="P833" s="150">
        <v>63400</v>
      </c>
      <c r="Q833" s="150">
        <v>63646.53</v>
      </c>
      <c r="R833" s="150">
        <v>63646.53</v>
      </c>
    </row>
    <row r="834" spans="1:19" x14ac:dyDescent="0.25">
      <c r="A834" t="str">
        <f t="shared" si="12"/>
        <v>18-9-72</v>
      </c>
      <c r="B834">
        <v>18</v>
      </c>
      <c r="C834" s="150" t="s">
        <v>1170</v>
      </c>
      <c r="D834" s="150">
        <v>9</v>
      </c>
      <c r="E834" s="150" t="s">
        <v>683</v>
      </c>
      <c r="F834" s="150">
        <v>72</v>
      </c>
      <c r="G834" s="150" t="s">
        <v>900</v>
      </c>
      <c r="H834" s="150">
        <v>0</v>
      </c>
      <c r="I834" s="150">
        <v>1523032</v>
      </c>
      <c r="J834" s="150" t="s">
        <v>1203</v>
      </c>
      <c r="K834" s="150">
        <v>61</v>
      </c>
      <c r="L834" s="150">
        <v>774</v>
      </c>
      <c r="M834" s="150">
        <v>162.63000000000002</v>
      </c>
      <c r="N834" s="150">
        <v>0</v>
      </c>
      <c r="O834" s="150">
        <v>41535</v>
      </c>
      <c r="P834" s="150">
        <v>42756</v>
      </c>
      <c r="Q834" s="150">
        <v>44357.63</v>
      </c>
      <c r="R834" s="150">
        <v>44357.63</v>
      </c>
    </row>
    <row r="835" spans="1:19" x14ac:dyDescent="0.25">
      <c r="A835" t="str">
        <f t="shared" si="12"/>
        <v>18-4-64</v>
      </c>
      <c r="B835">
        <v>18</v>
      </c>
      <c r="C835" s="150" t="s">
        <v>1170</v>
      </c>
      <c r="D835" s="150">
        <v>4</v>
      </c>
      <c r="E835" s="150" t="s">
        <v>146</v>
      </c>
      <c r="F835" s="150">
        <v>64</v>
      </c>
      <c r="G835" s="150" t="s">
        <v>891</v>
      </c>
      <c r="H835" s="150">
        <v>0</v>
      </c>
      <c r="I835" s="150">
        <v>13739752</v>
      </c>
      <c r="J835" s="150">
        <v>1</v>
      </c>
      <c r="K835" s="150">
        <v>4104</v>
      </c>
      <c r="L835" s="150">
        <v>56870</v>
      </c>
      <c r="M835" s="150">
        <v>6266.25</v>
      </c>
      <c r="N835" s="150">
        <v>0</v>
      </c>
      <c r="O835" s="150">
        <v>65640</v>
      </c>
      <c r="P835" s="150">
        <v>68126</v>
      </c>
      <c r="Q835" s="150">
        <v>70627</v>
      </c>
      <c r="R835" s="150">
        <v>70627</v>
      </c>
    </row>
    <row r="836" spans="1:19" x14ac:dyDescent="0.25">
      <c r="A836" t="str">
        <f t="shared" si="12"/>
        <v>31-4-64</v>
      </c>
      <c r="B836">
        <v>31</v>
      </c>
      <c r="C836" s="150" t="s">
        <v>1183</v>
      </c>
      <c r="D836" s="150">
        <v>4</v>
      </c>
      <c r="E836" s="150" t="s">
        <v>146</v>
      </c>
      <c r="F836" s="150">
        <v>64</v>
      </c>
      <c r="G836" s="150" t="s">
        <v>891</v>
      </c>
      <c r="H836" s="150">
        <v>0</v>
      </c>
      <c r="I836" s="150">
        <v>338595</v>
      </c>
      <c r="J836" s="150">
        <v>1</v>
      </c>
      <c r="K836" s="150">
        <v>4104</v>
      </c>
      <c r="L836" s="150">
        <v>56870</v>
      </c>
      <c r="M836" s="150">
        <v>6266.25</v>
      </c>
      <c r="N836" s="150">
        <v>0</v>
      </c>
      <c r="O836" s="150">
        <v>65640</v>
      </c>
      <c r="P836" s="150">
        <v>68126</v>
      </c>
      <c r="Q836" s="150">
        <v>70627</v>
      </c>
      <c r="R836" s="150">
        <v>70627</v>
      </c>
    </row>
    <row r="837" spans="1:19" x14ac:dyDescent="0.25">
      <c r="A837" t="str">
        <f t="shared" si="12"/>
        <v>35-4-64</v>
      </c>
      <c r="B837">
        <v>35</v>
      </c>
      <c r="C837" s="150" t="s">
        <v>1195</v>
      </c>
      <c r="D837" s="150">
        <v>4</v>
      </c>
      <c r="E837" s="150" t="s">
        <v>146</v>
      </c>
      <c r="F837" s="150">
        <v>64</v>
      </c>
      <c r="G837" s="150" t="s">
        <v>891</v>
      </c>
      <c r="H837" s="150">
        <v>0</v>
      </c>
      <c r="I837" s="150">
        <v>63000</v>
      </c>
      <c r="J837" s="150">
        <v>1</v>
      </c>
      <c r="K837" s="150">
        <v>4104</v>
      </c>
      <c r="L837" s="150">
        <v>56870</v>
      </c>
      <c r="M837" s="150">
        <v>6266.25</v>
      </c>
      <c r="N837" s="150">
        <v>0</v>
      </c>
      <c r="O837" s="150">
        <v>65640</v>
      </c>
      <c r="P837" s="150">
        <v>68126</v>
      </c>
      <c r="Q837" s="150">
        <v>70627</v>
      </c>
      <c r="R837" s="150">
        <v>70627</v>
      </c>
    </row>
    <row r="838" spans="1:19" x14ac:dyDescent="0.25">
      <c r="A838" t="str">
        <f t="shared" ref="A838:A901" si="13">B838&amp;"-"&amp;D838&amp;"-"&amp;F838</f>
        <v>4-7-110</v>
      </c>
      <c r="B838">
        <v>4</v>
      </c>
      <c r="C838" s="150" t="s">
        <v>1196</v>
      </c>
      <c r="D838" s="150">
        <v>7</v>
      </c>
      <c r="E838" s="150" t="s">
        <v>681</v>
      </c>
      <c r="F838" s="150">
        <v>110</v>
      </c>
      <c r="G838" s="150" t="s">
        <v>211</v>
      </c>
      <c r="H838" s="150">
        <v>8</v>
      </c>
      <c r="I838" s="150">
        <v>1908208</v>
      </c>
      <c r="J838" s="150" t="s">
        <v>1203</v>
      </c>
      <c r="K838" s="150">
        <v>72</v>
      </c>
      <c r="L838" s="150">
        <v>65</v>
      </c>
      <c r="M838" s="150">
        <v>48.46</v>
      </c>
      <c r="N838" s="150">
        <v>0</v>
      </c>
      <c r="O838" s="150">
        <v>4506</v>
      </c>
      <c r="P838" s="150">
        <v>4687</v>
      </c>
      <c r="Q838" s="150">
        <v>4953.46</v>
      </c>
      <c r="R838" s="150">
        <v>4953.46</v>
      </c>
    </row>
    <row r="839" spans="1:19" x14ac:dyDescent="0.25">
      <c r="A839" t="str">
        <f t="shared" si="13"/>
        <v>37-11-98</v>
      </c>
      <c r="B839">
        <v>37</v>
      </c>
      <c r="C839" s="150" t="s">
        <v>1188</v>
      </c>
      <c r="D839" s="150">
        <v>11</v>
      </c>
      <c r="E839" s="150" t="s">
        <v>1204</v>
      </c>
      <c r="F839" s="150">
        <v>98</v>
      </c>
      <c r="G839" s="150" t="s">
        <v>1089</v>
      </c>
      <c r="H839" s="150">
        <v>0</v>
      </c>
      <c r="I839" s="150">
        <v>68093693</v>
      </c>
      <c r="J839" s="150"/>
      <c r="K839" s="150">
        <v>0</v>
      </c>
      <c r="L839" s="150">
        <v>0</v>
      </c>
      <c r="M839" s="150">
        <v>0</v>
      </c>
      <c r="N839" s="150">
        <v>0</v>
      </c>
      <c r="O839" s="150">
        <v>484752</v>
      </c>
      <c r="P839" s="150">
        <v>0</v>
      </c>
      <c r="Q839" s="150">
        <v>262859</v>
      </c>
    </row>
    <row r="840" spans="1:19" x14ac:dyDescent="0.25">
      <c r="A840" t="str">
        <f t="shared" si="13"/>
        <v>37-2-37</v>
      </c>
      <c r="B840">
        <v>37</v>
      </c>
      <c r="C840" s="150" t="s">
        <v>1188</v>
      </c>
      <c r="D840" s="150">
        <v>2</v>
      </c>
      <c r="E840" s="150" t="s">
        <v>110</v>
      </c>
      <c r="F840" s="150">
        <v>37</v>
      </c>
      <c r="G840" s="150" t="s">
        <v>600</v>
      </c>
      <c r="H840" s="150">
        <v>535</v>
      </c>
      <c r="I840" s="150">
        <v>106327636</v>
      </c>
      <c r="J840" s="150"/>
      <c r="K840" s="150">
        <v>134304</v>
      </c>
      <c r="L840" s="150">
        <v>33020</v>
      </c>
      <c r="M840" s="150">
        <v>8407.4599999999991</v>
      </c>
      <c r="N840" s="150">
        <v>0</v>
      </c>
      <c r="O840" s="150">
        <v>2783502</v>
      </c>
      <c r="P840" s="150">
        <v>3594373</v>
      </c>
      <c r="Q840" s="150">
        <v>3548281.46</v>
      </c>
      <c r="R840" s="150" t="s">
        <v>1314</v>
      </c>
      <c r="S840" s="150" t="s">
        <v>1314</v>
      </c>
    </row>
    <row r="841" spans="1:19" x14ac:dyDescent="0.25">
      <c r="A841" t="str">
        <f t="shared" si="13"/>
        <v>37-7-111</v>
      </c>
      <c r="B841">
        <v>37</v>
      </c>
      <c r="C841" s="150" t="s">
        <v>1188</v>
      </c>
      <c r="D841" s="150">
        <v>7</v>
      </c>
      <c r="E841" s="150" t="s">
        <v>681</v>
      </c>
      <c r="F841" s="150">
        <v>111</v>
      </c>
      <c r="G841" s="150" t="s">
        <v>607</v>
      </c>
      <c r="H841" s="150">
        <v>35</v>
      </c>
      <c r="I841" s="150">
        <v>27874645</v>
      </c>
      <c r="J841" s="150" t="s">
        <v>1203</v>
      </c>
      <c r="K841" s="150">
        <v>74</v>
      </c>
      <c r="L841" s="150">
        <v>25</v>
      </c>
      <c r="M841" s="150">
        <v>9.25</v>
      </c>
      <c r="N841" s="150">
        <v>0</v>
      </c>
      <c r="O841" s="150">
        <v>3195</v>
      </c>
      <c r="P841" s="150">
        <v>3270</v>
      </c>
      <c r="Q841" s="150">
        <v>3544.25</v>
      </c>
      <c r="R841" s="150">
        <v>3544.25</v>
      </c>
    </row>
    <row r="842" spans="1:19" x14ac:dyDescent="0.25">
      <c r="A842" t="str">
        <f t="shared" si="13"/>
        <v>11-9-186</v>
      </c>
      <c r="B842">
        <v>11</v>
      </c>
      <c r="C842" s="150" t="s">
        <v>1163</v>
      </c>
      <c r="D842" s="150">
        <v>9</v>
      </c>
      <c r="E842" s="150" t="s">
        <v>683</v>
      </c>
      <c r="F842" s="150">
        <v>186</v>
      </c>
      <c r="G842" s="150" t="s">
        <v>843</v>
      </c>
      <c r="H842" s="150">
        <v>41092</v>
      </c>
      <c r="I842" s="150">
        <v>3833776</v>
      </c>
      <c r="J842" s="150" t="s">
        <v>1203</v>
      </c>
      <c r="K842" s="150">
        <v>0</v>
      </c>
      <c r="L842" s="150">
        <v>1439</v>
      </c>
      <c r="M842" s="150">
        <v>78.95</v>
      </c>
      <c r="N842" s="150">
        <v>0</v>
      </c>
      <c r="O842" s="150">
        <v>154865</v>
      </c>
      <c r="P842" s="150">
        <v>161175</v>
      </c>
      <c r="Q842" s="150">
        <v>168364.95</v>
      </c>
      <c r="R842" s="150">
        <v>168364.95</v>
      </c>
    </row>
    <row r="843" spans="1:19" x14ac:dyDescent="0.25">
      <c r="A843" t="str">
        <f t="shared" si="13"/>
        <v>22-7-112</v>
      </c>
      <c r="B843">
        <v>22</v>
      </c>
      <c r="C843" s="150" t="s">
        <v>1174</v>
      </c>
      <c r="D843" s="150">
        <v>7</v>
      </c>
      <c r="E843" s="150" t="s">
        <v>681</v>
      </c>
      <c r="F843" s="150">
        <v>112</v>
      </c>
      <c r="G843" s="150" t="s">
        <v>950</v>
      </c>
      <c r="H843" s="150">
        <v>9</v>
      </c>
      <c r="I843" s="150">
        <v>7846777</v>
      </c>
      <c r="J843" s="150" t="s">
        <v>1203</v>
      </c>
      <c r="K843" s="150">
        <v>1778</v>
      </c>
      <c r="L843" s="150">
        <v>234</v>
      </c>
      <c r="M843" s="150">
        <v>27.869999999999997</v>
      </c>
      <c r="N843" s="150">
        <v>0</v>
      </c>
      <c r="O843" s="150">
        <v>35980</v>
      </c>
      <c r="P843" s="150">
        <v>37240</v>
      </c>
      <c r="Q843" s="150">
        <v>38971.870000000003</v>
      </c>
      <c r="R843" s="150">
        <v>38971.870000000003</v>
      </c>
    </row>
    <row r="844" spans="1:19" x14ac:dyDescent="0.25">
      <c r="A844" t="str">
        <f t="shared" si="13"/>
        <v>38-7-113</v>
      </c>
      <c r="B844">
        <v>38</v>
      </c>
      <c r="C844" s="150" t="s">
        <v>1189</v>
      </c>
      <c r="D844" s="150">
        <v>7</v>
      </c>
      <c r="E844" s="150" t="s">
        <v>681</v>
      </c>
      <c r="F844" s="150">
        <v>113</v>
      </c>
      <c r="G844" s="150" t="s">
        <v>614</v>
      </c>
      <c r="H844" s="150">
        <v>27095</v>
      </c>
      <c r="I844" s="150">
        <v>198557607</v>
      </c>
      <c r="J844" s="150" t="s">
        <v>1203</v>
      </c>
      <c r="K844" s="150">
        <v>2706</v>
      </c>
      <c r="L844" s="150">
        <v>1078</v>
      </c>
      <c r="M844" s="150">
        <v>409.89</v>
      </c>
      <c r="N844" s="150">
        <v>0</v>
      </c>
      <c r="O844" s="150">
        <v>155598</v>
      </c>
      <c r="P844" s="150">
        <v>163048</v>
      </c>
      <c r="Q844" s="150">
        <v>163662.89000000001</v>
      </c>
      <c r="R844" s="150">
        <v>163662.89000000001</v>
      </c>
    </row>
    <row r="845" spans="1:19" x14ac:dyDescent="0.25">
      <c r="A845" t="str">
        <f t="shared" si="13"/>
        <v>14-7-114</v>
      </c>
      <c r="B845">
        <v>14</v>
      </c>
      <c r="C845" s="150" t="s">
        <v>1166</v>
      </c>
      <c r="D845" s="150">
        <v>7</v>
      </c>
      <c r="E845" s="150" t="s">
        <v>681</v>
      </c>
      <c r="F845" s="150">
        <v>114</v>
      </c>
      <c r="G845" s="150" t="s">
        <v>319</v>
      </c>
      <c r="H845" s="150">
        <v>3524</v>
      </c>
      <c r="I845" s="150">
        <v>30482167</v>
      </c>
      <c r="J845" s="150" t="s">
        <v>1203</v>
      </c>
      <c r="K845" s="150">
        <v>893</v>
      </c>
      <c r="L845" s="150">
        <v>549</v>
      </c>
      <c r="M845" s="150">
        <v>206.10000000000002</v>
      </c>
      <c r="N845" s="150">
        <v>0</v>
      </c>
      <c r="O845" s="150">
        <v>39451</v>
      </c>
      <c r="P845" s="150">
        <v>41115</v>
      </c>
      <c r="Q845" s="150">
        <v>43475.1</v>
      </c>
      <c r="R845" s="150">
        <v>43475.1</v>
      </c>
    </row>
    <row r="846" spans="1:19" x14ac:dyDescent="0.25">
      <c r="A846" t="str">
        <f t="shared" si="13"/>
        <v>14-9-74</v>
      </c>
      <c r="B846">
        <v>14</v>
      </c>
      <c r="C846" s="150" t="s">
        <v>1166</v>
      </c>
      <c r="D846" s="150">
        <v>9</v>
      </c>
      <c r="E846" s="150" t="s">
        <v>683</v>
      </c>
      <c r="F846" s="150">
        <v>74</v>
      </c>
      <c r="G846" s="150" t="s">
        <v>328</v>
      </c>
      <c r="H846" s="150">
        <v>0</v>
      </c>
      <c r="I846" s="150">
        <v>0</v>
      </c>
      <c r="J846" s="150">
        <v>1</v>
      </c>
      <c r="K846" s="150">
        <v>19568</v>
      </c>
      <c r="L846" s="150">
        <v>7618</v>
      </c>
      <c r="M846" s="150">
        <v>2876.2000000000003</v>
      </c>
      <c r="N846" s="150">
        <v>0</v>
      </c>
      <c r="O846" s="150">
        <v>909966</v>
      </c>
      <c r="P846" s="150">
        <v>950058</v>
      </c>
      <c r="Q846" s="150">
        <v>1001588.2</v>
      </c>
      <c r="R846" s="150">
        <v>1001588.2</v>
      </c>
    </row>
    <row r="847" spans="1:19" x14ac:dyDescent="0.25">
      <c r="A847" t="str">
        <f t="shared" si="13"/>
        <v>38-9-74</v>
      </c>
      <c r="B847">
        <v>38</v>
      </c>
      <c r="C847" s="150" t="s">
        <v>1189</v>
      </c>
      <c r="D847" s="150">
        <v>9</v>
      </c>
      <c r="E847" s="150" t="s">
        <v>683</v>
      </c>
      <c r="F847" s="150">
        <v>74</v>
      </c>
      <c r="G847" s="150" t="s">
        <v>328</v>
      </c>
      <c r="H847" s="150">
        <v>0</v>
      </c>
      <c r="I847" s="150">
        <v>0</v>
      </c>
      <c r="J847" s="150">
        <v>1</v>
      </c>
      <c r="K847" s="150">
        <v>19568</v>
      </c>
      <c r="L847" s="150">
        <v>7618</v>
      </c>
      <c r="M847" s="150">
        <v>2876.2000000000003</v>
      </c>
      <c r="N847" s="150">
        <v>0</v>
      </c>
      <c r="O847" s="150">
        <v>909966</v>
      </c>
      <c r="P847" s="150">
        <v>212732</v>
      </c>
      <c r="Q847" s="150">
        <v>1001588.2</v>
      </c>
      <c r="R847" s="150">
        <v>1001588.2</v>
      </c>
    </row>
    <row r="848" spans="1:19" x14ac:dyDescent="0.25">
      <c r="A848" t="str">
        <f t="shared" si="13"/>
        <v>14-4-47</v>
      </c>
      <c r="B848">
        <v>14</v>
      </c>
      <c r="C848" s="150" t="s">
        <v>1166</v>
      </c>
      <c r="D848" s="150">
        <v>4</v>
      </c>
      <c r="E848" s="150" t="s">
        <v>146</v>
      </c>
      <c r="F848" s="150">
        <v>47</v>
      </c>
      <c r="G848" s="150" t="s">
        <v>860</v>
      </c>
      <c r="H848" s="150">
        <v>0</v>
      </c>
      <c r="I848" s="150">
        <v>48660554</v>
      </c>
      <c r="J848" s="150" t="s">
        <v>1203</v>
      </c>
      <c r="K848" s="150">
        <v>49647</v>
      </c>
      <c r="L848" s="150">
        <v>21744</v>
      </c>
      <c r="M848" s="150">
        <v>7707.83</v>
      </c>
      <c r="N848" s="150">
        <v>0</v>
      </c>
      <c r="O848" s="150">
        <v>129991</v>
      </c>
      <c r="P848" s="150">
        <v>135670</v>
      </c>
      <c r="Q848" s="150">
        <v>142843</v>
      </c>
      <c r="R848" s="150">
        <v>142843</v>
      </c>
    </row>
    <row r="849" spans="1:19" x14ac:dyDescent="0.25">
      <c r="A849" t="str">
        <f t="shared" si="13"/>
        <v>34-7-115</v>
      </c>
      <c r="B849">
        <v>34</v>
      </c>
      <c r="C849" s="150" t="s">
        <v>1186</v>
      </c>
      <c r="D849" s="150">
        <v>7</v>
      </c>
      <c r="E849" s="150" t="s">
        <v>681</v>
      </c>
      <c r="F849" s="150">
        <v>115</v>
      </c>
      <c r="G849" s="150" t="s">
        <v>1067</v>
      </c>
      <c r="H849" s="150">
        <v>0</v>
      </c>
      <c r="I849" s="150">
        <v>18577478</v>
      </c>
      <c r="J849" s="150" t="s">
        <v>1203</v>
      </c>
      <c r="K849" s="150">
        <v>2814</v>
      </c>
      <c r="L849" s="150">
        <v>1079</v>
      </c>
      <c r="M849" s="150">
        <v>395.15</v>
      </c>
      <c r="N849" s="150">
        <v>0</v>
      </c>
      <c r="O849" s="150">
        <v>123503</v>
      </c>
      <c r="P849" s="150">
        <v>128597</v>
      </c>
      <c r="Q849" s="150">
        <v>133729.15</v>
      </c>
      <c r="R849" s="150">
        <v>133729.15</v>
      </c>
    </row>
    <row r="850" spans="1:19" x14ac:dyDescent="0.25">
      <c r="A850" t="str">
        <f t="shared" si="13"/>
        <v>38-15-19</v>
      </c>
      <c r="B850">
        <v>38</v>
      </c>
      <c r="C850" s="150" t="s">
        <v>1189</v>
      </c>
      <c r="D850" s="150">
        <v>15</v>
      </c>
      <c r="E850" s="150" t="s">
        <v>237</v>
      </c>
      <c r="F850" s="150">
        <v>19</v>
      </c>
      <c r="G850" s="150" t="s">
        <v>1097</v>
      </c>
      <c r="H850" s="150">
        <v>28528</v>
      </c>
      <c r="I850" s="150">
        <v>247701964</v>
      </c>
      <c r="J850" s="150" t="s">
        <v>1203</v>
      </c>
      <c r="K850" s="150">
        <v>0</v>
      </c>
      <c r="L850" s="150">
        <v>5567</v>
      </c>
      <c r="M850" s="150">
        <v>1158.9299999999998</v>
      </c>
      <c r="N850" s="150">
        <v>0</v>
      </c>
      <c r="O850" s="150">
        <v>417270</v>
      </c>
      <c r="P850" s="150">
        <v>454798</v>
      </c>
      <c r="Q850" s="150">
        <v>475611.93</v>
      </c>
      <c r="R850" s="150">
        <v>475611.93</v>
      </c>
    </row>
    <row r="851" spans="1:19" x14ac:dyDescent="0.25">
      <c r="A851" t="str">
        <f t="shared" si="13"/>
        <v>38-5-20</v>
      </c>
      <c r="B851">
        <v>38</v>
      </c>
      <c r="C851" s="150" t="s">
        <v>1189</v>
      </c>
      <c r="D851" s="150">
        <v>5</v>
      </c>
      <c r="E851" s="150" t="s">
        <v>286</v>
      </c>
      <c r="F851" s="150">
        <v>20</v>
      </c>
      <c r="G851" s="150" t="s">
        <v>1093</v>
      </c>
      <c r="H851" s="150">
        <v>0</v>
      </c>
      <c r="I851" s="150">
        <v>247701964</v>
      </c>
      <c r="J851" s="150" t="s">
        <v>1203</v>
      </c>
      <c r="K851" s="150">
        <v>6648</v>
      </c>
      <c r="L851" s="150">
        <v>6216</v>
      </c>
      <c r="M851" s="150">
        <v>1868.73</v>
      </c>
      <c r="N851" s="150">
        <v>0</v>
      </c>
      <c r="O851" s="150">
        <v>691258</v>
      </c>
      <c r="P851" s="150">
        <v>724127</v>
      </c>
      <c r="Q851" s="150">
        <v>757266.73</v>
      </c>
      <c r="R851" s="150">
        <v>757266.73</v>
      </c>
    </row>
    <row r="852" spans="1:19" x14ac:dyDescent="0.25">
      <c r="A852" t="str">
        <f t="shared" si="13"/>
        <v>38-11-99</v>
      </c>
      <c r="B852">
        <v>38</v>
      </c>
      <c r="C852" s="150" t="s">
        <v>1189</v>
      </c>
      <c r="D852" s="150">
        <v>11</v>
      </c>
      <c r="E852" s="150" t="s">
        <v>1204</v>
      </c>
      <c r="F852" s="150">
        <v>99</v>
      </c>
      <c r="G852" s="150" t="s">
        <v>1096</v>
      </c>
      <c r="H852" s="150">
        <v>0</v>
      </c>
      <c r="I852" s="150">
        <v>208231370</v>
      </c>
      <c r="J852" s="150"/>
      <c r="K852" s="150">
        <v>0</v>
      </c>
      <c r="L852" s="150">
        <v>0</v>
      </c>
      <c r="M852" s="150">
        <v>0</v>
      </c>
      <c r="N852" s="150">
        <v>0</v>
      </c>
      <c r="O852" s="150">
        <v>301155</v>
      </c>
      <c r="P852" s="150">
        <v>140000</v>
      </c>
      <c r="Q852" s="150">
        <v>398596</v>
      </c>
    </row>
    <row r="853" spans="1:19" x14ac:dyDescent="0.25">
      <c r="A853" t="str">
        <f t="shared" si="13"/>
        <v>38-2-38</v>
      </c>
      <c r="B853">
        <v>38</v>
      </c>
      <c r="C853" s="150" t="s">
        <v>1189</v>
      </c>
      <c r="D853" s="150">
        <v>2</v>
      </c>
      <c r="E853" s="150" t="s">
        <v>110</v>
      </c>
      <c r="F853" s="150">
        <v>38</v>
      </c>
      <c r="G853" s="150" t="s">
        <v>610</v>
      </c>
      <c r="H853" s="150">
        <v>879037</v>
      </c>
      <c r="I853" s="150">
        <v>247701964</v>
      </c>
      <c r="J853" s="150"/>
      <c r="K853" s="150">
        <v>85382</v>
      </c>
      <c r="L853" s="150">
        <v>86481</v>
      </c>
      <c r="M853" s="150">
        <v>18847.34</v>
      </c>
      <c r="N853" s="150">
        <v>0</v>
      </c>
      <c r="O853" s="150">
        <v>6197740</v>
      </c>
      <c r="P853" s="150">
        <v>7317985</v>
      </c>
      <c r="Q853" s="150">
        <v>7400213.3399999999</v>
      </c>
      <c r="R853" s="150" t="s">
        <v>1314</v>
      </c>
      <c r="S853" s="150" t="s">
        <v>1314</v>
      </c>
    </row>
    <row r="854" spans="1:19" x14ac:dyDescent="0.25">
      <c r="A854" t="str">
        <f t="shared" si="13"/>
        <v>38-8-5</v>
      </c>
      <c r="B854">
        <v>38</v>
      </c>
      <c r="C854" s="150" t="s">
        <v>1189</v>
      </c>
      <c r="D854" s="150">
        <v>8</v>
      </c>
      <c r="E854" s="150" t="s">
        <v>682</v>
      </c>
      <c r="F854" s="150">
        <v>5</v>
      </c>
      <c r="G854" s="150" t="s">
        <v>1095</v>
      </c>
      <c r="H854" s="150">
        <v>41310</v>
      </c>
      <c r="I854" s="150">
        <v>247701964</v>
      </c>
      <c r="J854" s="150" t="s">
        <v>1203</v>
      </c>
      <c r="K854" s="150">
        <v>1926</v>
      </c>
      <c r="L854" s="150">
        <v>1484</v>
      </c>
      <c r="M854" s="150">
        <v>349.71999999999997</v>
      </c>
      <c r="N854" s="150">
        <v>0</v>
      </c>
      <c r="O854" s="150">
        <v>132662</v>
      </c>
      <c r="P854" s="150">
        <v>138970</v>
      </c>
      <c r="Q854" s="150">
        <v>145329.72</v>
      </c>
      <c r="R854" s="150">
        <v>145329.72</v>
      </c>
    </row>
    <row r="855" spans="1:19" x14ac:dyDescent="0.25">
      <c r="A855" t="str">
        <f t="shared" si="13"/>
        <v>43-20-24</v>
      </c>
      <c r="B855">
        <v>43</v>
      </c>
      <c r="C855" s="150" t="s">
        <v>1192</v>
      </c>
      <c r="D855" s="150">
        <v>20</v>
      </c>
      <c r="E855" s="150" t="s">
        <v>238</v>
      </c>
      <c r="F855" s="150">
        <v>24</v>
      </c>
      <c r="G855" s="150" t="s">
        <v>1143</v>
      </c>
      <c r="H855" s="150">
        <v>278</v>
      </c>
      <c r="I855" s="150">
        <v>6951230</v>
      </c>
      <c r="J855" s="150" t="s">
        <v>1203</v>
      </c>
      <c r="K855" s="150">
        <v>0</v>
      </c>
      <c r="L855" s="150">
        <v>62</v>
      </c>
      <c r="M855" s="150">
        <v>233.58</v>
      </c>
      <c r="N855" s="150">
        <v>0</v>
      </c>
      <c r="O855" s="150">
        <v>449202</v>
      </c>
      <c r="P855" s="150">
        <v>467978</v>
      </c>
      <c r="Q855" s="150">
        <v>488729.58</v>
      </c>
      <c r="R855" s="150">
        <v>488729.58</v>
      </c>
    </row>
    <row r="856" spans="1:19" x14ac:dyDescent="0.25">
      <c r="A856" t="str">
        <f t="shared" si="13"/>
        <v>38-17-14</v>
      </c>
      <c r="B856">
        <v>38</v>
      </c>
      <c r="C856" s="150" t="s">
        <v>1189</v>
      </c>
      <c r="D856" s="150">
        <v>17</v>
      </c>
      <c r="E856" s="150" t="s">
        <v>688</v>
      </c>
      <c r="F856" s="150">
        <v>14</v>
      </c>
      <c r="G856" s="150" t="s">
        <v>617</v>
      </c>
      <c r="H856" s="150">
        <v>12641</v>
      </c>
      <c r="I856" s="150">
        <v>247701964</v>
      </c>
      <c r="J856" s="150" t="s">
        <v>1203</v>
      </c>
      <c r="K856" s="150">
        <v>6676</v>
      </c>
      <c r="L856" s="150">
        <v>5665</v>
      </c>
      <c r="M856" s="150">
        <v>1702.3200000000002</v>
      </c>
      <c r="N856" s="150">
        <v>0</v>
      </c>
      <c r="O856" s="150">
        <v>650073</v>
      </c>
      <c r="P856" s="150">
        <v>672204</v>
      </c>
      <c r="Q856" s="150">
        <v>685870.32</v>
      </c>
      <c r="R856" s="150">
        <v>685870.32</v>
      </c>
    </row>
    <row r="857" spans="1:19" x14ac:dyDescent="0.25">
      <c r="A857" t="str">
        <f t="shared" si="13"/>
        <v>38-4-151</v>
      </c>
      <c r="B857">
        <v>38</v>
      </c>
      <c r="C857" s="150" t="s">
        <v>1189</v>
      </c>
      <c r="D857" s="150">
        <v>4</v>
      </c>
      <c r="E857" s="150" t="s">
        <v>146</v>
      </c>
      <c r="F857" s="150">
        <v>151</v>
      </c>
      <c r="G857" s="150" t="s">
        <v>1090</v>
      </c>
      <c r="H857" s="150">
        <v>0</v>
      </c>
      <c r="I857" s="150">
        <v>42478020</v>
      </c>
      <c r="J857" s="150">
        <v>1</v>
      </c>
      <c r="K857" s="150">
        <v>1884</v>
      </c>
      <c r="L857" s="150">
        <v>31179</v>
      </c>
      <c r="M857" s="150">
        <v>2672.57</v>
      </c>
      <c r="N857" s="150">
        <v>0</v>
      </c>
      <c r="O857" s="150">
        <v>32384</v>
      </c>
      <c r="P857" s="150">
        <v>33855</v>
      </c>
      <c r="Q857" s="150">
        <v>35455</v>
      </c>
      <c r="R857" s="150">
        <v>35455</v>
      </c>
    </row>
    <row r="858" spans="1:19" x14ac:dyDescent="0.25">
      <c r="A858" t="str">
        <f t="shared" si="13"/>
        <v>44-4-151</v>
      </c>
      <c r="B858">
        <v>44</v>
      </c>
      <c r="C858" s="150" t="s">
        <v>1193</v>
      </c>
      <c r="D858" s="150">
        <v>4</v>
      </c>
      <c r="E858" s="150" t="s">
        <v>146</v>
      </c>
      <c r="F858" s="150">
        <v>151</v>
      </c>
      <c r="G858" s="150" t="s">
        <v>1090</v>
      </c>
      <c r="H858" s="150">
        <v>0</v>
      </c>
      <c r="I858" s="150">
        <v>2835870</v>
      </c>
      <c r="J858" s="150">
        <v>1</v>
      </c>
      <c r="K858" s="150">
        <v>1884</v>
      </c>
      <c r="L858" s="150">
        <v>31179</v>
      </c>
      <c r="M858" s="150">
        <v>2672.57</v>
      </c>
      <c r="N858" s="150">
        <v>0</v>
      </c>
      <c r="O858" s="150">
        <v>32384</v>
      </c>
      <c r="P858" s="150">
        <v>33855</v>
      </c>
      <c r="Q858" s="150">
        <v>35455</v>
      </c>
      <c r="R858" s="150">
        <v>35455</v>
      </c>
    </row>
    <row r="859" spans="1:19" x14ac:dyDescent="0.25">
      <c r="A859" t="str">
        <f t="shared" si="13"/>
        <v>16-7-199</v>
      </c>
      <c r="B859">
        <v>16</v>
      </c>
      <c r="C859" s="150" t="s">
        <v>1168</v>
      </c>
      <c r="D859" s="150">
        <v>7</v>
      </c>
      <c r="E859" s="150" t="s">
        <v>681</v>
      </c>
      <c r="F859" s="150">
        <v>199</v>
      </c>
      <c r="G859" s="150" t="s">
        <v>361</v>
      </c>
      <c r="H859" s="150">
        <v>0</v>
      </c>
      <c r="I859" s="150">
        <v>3634005</v>
      </c>
      <c r="J859" s="150" t="s">
        <v>1203</v>
      </c>
      <c r="K859" s="150">
        <v>0</v>
      </c>
      <c r="L859" s="150">
        <v>0</v>
      </c>
      <c r="M859" s="150">
        <v>74.039999999999992</v>
      </c>
      <c r="N859" s="150">
        <v>0</v>
      </c>
      <c r="O859" s="150">
        <v>17000</v>
      </c>
      <c r="P859" s="150">
        <v>17500</v>
      </c>
      <c r="Q859" s="150">
        <v>17574.04</v>
      </c>
      <c r="R859" s="150">
        <v>17574.04</v>
      </c>
    </row>
    <row r="860" spans="1:19" x14ac:dyDescent="0.25">
      <c r="A860" t="str">
        <f t="shared" si="13"/>
        <v>9-12-8</v>
      </c>
      <c r="B860">
        <v>9</v>
      </c>
      <c r="C860" s="150" t="s">
        <v>1161</v>
      </c>
      <c r="D860" s="150">
        <v>12</v>
      </c>
      <c r="E860" s="150" t="s">
        <v>151</v>
      </c>
      <c r="F860" s="150">
        <v>8</v>
      </c>
      <c r="G860" s="150" t="s">
        <v>274</v>
      </c>
      <c r="H860" s="150">
        <v>0</v>
      </c>
      <c r="I860" s="150">
        <v>391957237</v>
      </c>
      <c r="J860" s="150" t="s">
        <v>1203</v>
      </c>
      <c r="K860" s="150">
        <v>1333</v>
      </c>
      <c r="L860" s="150">
        <v>10703</v>
      </c>
      <c r="M860" s="150">
        <v>2181.59</v>
      </c>
      <c r="N860" s="150">
        <v>0</v>
      </c>
      <c r="O860" s="150">
        <v>1402931</v>
      </c>
      <c r="P860" s="150">
        <v>1481675</v>
      </c>
      <c r="Q860" s="150">
        <v>1552230.81</v>
      </c>
      <c r="R860" s="150">
        <v>1552230.59</v>
      </c>
    </row>
    <row r="861" spans="1:19" x14ac:dyDescent="0.25">
      <c r="A861" t="str">
        <f t="shared" si="13"/>
        <v>7-7-116</v>
      </c>
      <c r="B861">
        <v>7</v>
      </c>
      <c r="C861" s="150" t="s">
        <v>1199</v>
      </c>
      <c r="D861" s="150">
        <v>7</v>
      </c>
      <c r="E861" s="150" t="s">
        <v>681</v>
      </c>
      <c r="F861" s="150">
        <v>116</v>
      </c>
      <c r="G861" s="150" t="s">
        <v>250</v>
      </c>
      <c r="H861" s="150">
        <v>368</v>
      </c>
      <c r="I861" s="150">
        <v>5889115</v>
      </c>
      <c r="J861" s="150" t="s">
        <v>1203</v>
      </c>
      <c r="K861" s="150">
        <v>280</v>
      </c>
      <c r="L861" s="150">
        <v>88</v>
      </c>
      <c r="M861" s="150">
        <v>8.16</v>
      </c>
      <c r="N861" s="150">
        <v>0</v>
      </c>
      <c r="O861" s="150">
        <v>16520</v>
      </c>
      <c r="P861" s="150">
        <v>17332</v>
      </c>
      <c r="Q861" s="150">
        <v>17332.16</v>
      </c>
      <c r="R861" s="150">
        <v>17332.16</v>
      </c>
    </row>
    <row r="862" spans="1:19" x14ac:dyDescent="0.25">
      <c r="A862" t="str">
        <f t="shared" si="13"/>
        <v>18-7-117</v>
      </c>
      <c r="B862">
        <v>18</v>
      </c>
      <c r="C862" s="150" t="s">
        <v>1170</v>
      </c>
      <c r="D862" s="150">
        <v>7</v>
      </c>
      <c r="E862" s="150" t="s">
        <v>681</v>
      </c>
      <c r="F862" s="150">
        <v>117</v>
      </c>
      <c r="G862" s="150" t="s">
        <v>381</v>
      </c>
      <c r="H862" s="150">
        <v>417</v>
      </c>
      <c r="I862" s="150">
        <v>2641270</v>
      </c>
      <c r="J862" s="150" t="s">
        <v>1203</v>
      </c>
      <c r="K862" s="150">
        <v>4</v>
      </c>
      <c r="L862" s="150">
        <v>108</v>
      </c>
      <c r="M862" s="150">
        <v>7.1099999999999994</v>
      </c>
      <c r="N862" s="150">
        <v>0</v>
      </c>
      <c r="O862" s="150">
        <v>4934</v>
      </c>
      <c r="P862" s="150">
        <v>4521</v>
      </c>
      <c r="Q862" s="150">
        <v>4528.1099999999997</v>
      </c>
      <c r="R862" s="150">
        <v>4934</v>
      </c>
    </row>
    <row r="863" spans="1:19" x14ac:dyDescent="0.25">
      <c r="A863" t="str">
        <f t="shared" si="13"/>
        <v>18-14-33</v>
      </c>
      <c r="B863">
        <v>18</v>
      </c>
      <c r="C863" s="150" t="s">
        <v>1170</v>
      </c>
      <c r="D863" s="150">
        <v>14</v>
      </c>
      <c r="E863" s="150" t="s">
        <v>665</v>
      </c>
      <c r="F863" s="150">
        <v>33</v>
      </c>
      <c r="G863" s="150" t="s">
        <v>386</v>
      </c>
      <c r="H863" s="150">
        <v>17544</v>
      </c>
      <c r="I863" s="150">
        <v>2449807</v>
      </c>
      <c r="J863" s="150" t="s">
        <v>1203</v>
      </c>
      <c r="K863" s="150">
        <v>36</v>
      </c>
      <c r="L863" s="150">
        <v>1391</v>
      </c>
      <c r="M863" s="150">
        <v>54.94</v>
      </c>
      <c r="N863" s="150">
        <v>0</v>
      </c>
      <c r="O863" s="150">
        <v>59679</v>
      </c>
      <c r="P863" s="150">
        <v>60013</v>
      </c>
      <c r="Q863" s="150">
        <v>62037.94</v>
      </c>
      <c r="R863" s="150">
        <v>62037.94</v>
      </c>
    </row>
    <row r="864" spans="1:19" x14ac:dyDescent="0.25">
      <c r="A864" t="str">
        <f t="shared" si="13"/>
        <v>18-17-9</v>
      </c>
      <c r="B864">
        <v>18</v>
      </c>
      <c r="C864" s="150" t="s">
        <v>1170</v>
      </c>
      <c r="D864" s="150">
        <v>17</v>
      </c>
      <c r="E864" s="150" t="s">
        <v>688</v>
      </c>
      <c r="F864" s="150">
        <v>9</v>
      </c>
      <c r="G864" s="150" t="s">
        <v>915</v>
      </c>
      <c r="H864" s="150">
        <v>0</v>
      </c>
      <c r="I864" s="150">
        <v>4441933</v>
      </c>
      <c r="J864" s="150" t="s">
        <v>1203</v>
      </c>
      <c r="K864" s="150">
        <v>41</v>
      </c>
      <c r="L864" s="150">
        <v>1210</v>
      </c>
      <c r="M864" s="150">
        <v>69.69</v>
      </c>
      <c r="N864" s="150">
        <v>0</v>
      </c>
      <c r="O864" s="150">
        <v>69680</v>
      </c>
      <c r="P864" s="150">
        <v>71968</v>
      </c>
      <c r="Q864" s="150">
        <v>74334.69</v>
      </c>
      <c r="R864" s="150">
        <v>74334.69</v>
      </c>
    </row>
    <row r="865" spans="1:18" x14ac:dyDescent="0.25">
      <c r="A865" t="str">
        <f t="shared" si="13"/>
        <v>25-7-118</v>
      </c>
      <c r="B865">
        <v>25</v>
      </c>
      <c r="C865" s="150" t="s">
        <v>1177</v>
      </c>
      <c r="D865" s="150">
        <v>7</v>
      </c>
      <c r="E865" s="150" t="s">
        <v>681</v>
      </c>
      <c r="F865" s="150">
        <v>118</v>
      </c>
      <c r="G865" s="150" t="s">
        <v>465</v>
      </c>
      <c r="H865" s="150">
        <v>0</v>
      </c>
      <c r="I865" s="150">
        <v>2891620</v>
      </c>
      <c r="J865" s="150" t="s">
        <v>1203</v>
      </c>
      <c r="K865" s="150">
        <v>44</v>
      </c>
      <c r="L865" s="150">
        <v>194</v>
      </c>
      <c r="M865" s="150">
        <v>10.61</v>
      </c>
      <c r="N865" s="150">
        <v>0</v>
      </c>
      <c r="O865" s="150">
        <v>14238</v>
      </c>
      <c r="P865" s="150">
        <v>14735</v>
      </c>
      <c r="Q865" s="150">
        <v>15240.61</v>
      </c>
      <c r="R865" s="150">
        <v>15240.61</v>
      </c>
    </row>
    <row r="866" spans="1:18" x14ac:dyDescent="0.25">
      <c r="A866" t="str">
        <f t="shared" si="13"/>
        <v>26-7-119</v>
      </c>
      <c r="B866">
        <v>26</v>
      </c>
      <c r="C866" s="150" t="s">
        <v>1178</v>
      </c>
      <c r="D866" s="150">
        <v>7</v>
      </c>
      <c r="E866" s="150" t="s">
        <v>681</v>
      </c>
      <c r="F866" s="150">
        <v>119</v>
      </c>
      <c r="G866" s="150" t="s">
        <v>989</v>
      </c>
      <c r="H866" s="150">
        <v>0</v>
      </c>
      <c r="I866" s="150">
        <v>13068673</v>
      </c>
      <c r="J866" s="150" t="s">
        <v>1203</v>
      </c>
      <c r="K866" s="150">
        <v>284</v>
      </c>
      <c r="L866" s="150">
        <v>1217</v>
      </c>
      <c r="M866" s="150">
        <v>271.7</v>
      </c>
      <c r="N866" s="150">
        <v>0</v>
      </c>
      <c r="O866" s="150">
        <v>154875</v>
      </c>
      <c r="P866" s="150">
        <v>165285</v>
      </c>
      <c r="Q866" s="150">
        <v>175795.7</v>
      </c>
      <c r="R866" s="150">
        <v>175795.7</v>
      </c>
    </row>
    <row r="867" spans="1:18" x14ac:dyDescent="0.25">
      <c r="A867" t="str">
        <f t="shared" si="13"/>
        <v>8-7-63</v>
      </c>
      <c r="B867">
        <v>8</v>
      </c>
      <c r="C867" s="150" t="s">
        <v>1160</v>
      </c>
      <c r="D867" s="150">
        <v>7</v>
      </c>
      <c r="E867" s="150" t="s">
        <v>681</v>
      </c>
      <c r="F867" s="150">
        <v>63</v>
      </c>
      <c r="G867" s="150" t="s">
        <v>257</v>
      </c>
      <c r="H867" s="150">
        <v>803</v>
      </c>
      <c r="I867" s="150">
        <v>8755005</v>
      </c>
      <c r="J867" s="150" t="s">
        <v>1203</v>
      </c>
      <c r="K867" s="150">
        <v>24</v>
      </c>
      <c r="L867" s="150">
        <v>300</v>
      </c>
      <c r="M867" s="150">
        <v>58.550000000000004</v>
      </c>
      <c r="N867" s="150">
        <v>0</v>
      </c>
      <c r="O867" s="150">
        <v>12654</v>
      </c>
      <c r="P867" s="150">
        <v>12978</v>
      </c>
      <c r="Q867" s="150">
        <v>13592.55</v>
      </c>
      <c r="R867" s="150">
        <v>13592.55</v>
      </c>
    </row>
    <row r="868" spans="1:18" x14ac:dyDescent="0.25">
      <c r="A868" t="str">
        <f t="shared" si="13"/>
        <v>8-9-137</v>
      </c>
      <c r="B868">
        <v>8</v>
      </c>
      <c r="C868" s="150" t="s">
        <v>1160</v>
      </c>
      <c r="D868" s="150">
        <v>9</v>
      </c>
      <c r="E868" s="150" t="s">
        <v>683</v>
      </c>
      <c r="F868" s="150">
        <v>137</v>
      </c>
      <c r="G868" s="150" t="s">
        <v>800</v>
      </c>
      <c r="H868" s="150">
        <v>28</v>
      </c>
      <c r="I868" s="150">
        <v>0</v>
      </c>
      <c r="J868" s="150" t="s">
        <v>1203</v>
      </c>
      <c r="K868" s="150">
        <v>0</v>
      </c>
      <c r="L868" s="150">
        <v>27</v>
      </c>
      <c r="M868" s="150">
        <v>8.77</v>
      </c>
      <c r="N868" s="150">
        <v>0</v>
      </c>
      <c r="O868" s="150">
        <v>33851</v>
      </c>
      <c r="P868" s="150">
        <v>35080</v>
      </c>
      <c r="Q868" s="150">
        <v>36156.769999999997</v>
      </c>
      <c r="R868" s="150">
        <v>36156.769999999997</v>
      </c>
    </row>
    <row r="869" spans="1:18" x14ac:dyDescent="0.25">
      <c r="A869" t="str">
        <f t="shared" si="13"/>
        <v>33-7-120</v>
      </c>
      <c r="B869">
        <v>33</v>
      </c>
      <c r="C869" s="150" t="s">
        <v>1185</v>
      </c>
      <c r="D869" s="150">
        <v>7</v>
      </c>
      <c r="E869" s="150" t="s">
        <v>681</v>
      </c>
      <c r="F869" s="150">
        <v>120</v>
      </c>
      <c r="G869" s="150" t="s">
        <v>573</v>
      </c>
      <c r="H869" s="150">
        <v>0</v>
      </c>
      <c r="I869" s="150">
        <v>1408200</v>
      </c>
      <c r="J869" s="150" t="s">
        <v>1203</v>
      </c>
      <c r="K869" s="150">
        <v>639</v>
      </c>
      <c r="L869" s="150">
        <v>71</v>
      </c>
      <c r="M869" s="150">
        <v>40.07</v>
      </c>
      <c r="N869" s="150">
        <v>0</v>
      </c>
      <c r="O869" s="150">
        <v>14944</v>
      </c>
      <c r="P869" s="150">
        <v>15419</v>
      </c>
      <c r="Q869" s="150">
        <v>15459.07</v>
      </c>
      <c r="R869" s="150">
        <v>15459.07</v>
      </c>
    </row>
    <row r="870" spans="1:18" x14ac:dyDescent="0.25">
      <c r="A870" t="str">
        <f t="shared" si="13"/>
        <v>14-7-201</v>
      </c>
      <c r="B870">
        <v>14</v>
      </c>
      <c r="C870" s="150" t="s">
        <v>1166</v>
      </c>
      <c r="D870" s="150">
        <v>7</v>
      </c>
      <c r="E870" s="150" t="s">
        <v>681</v>
      </c>
      <c r="F870" s="150">
        <v>201</v>
      </c>
      <c r="G870" s="150" t="s">
        <v>320</v>
      </c>
      <c r="H870" s="150">
        <v>0</v>
      </c>
      <c r="I870" s="150">
        <v>4640850</v>
      </c>
      <c r="J870" s="150" t="s">
        <v>1203</v>
      </c>
      <c r="K870" s="150">
        <v>0</v>
      </c>
      <c r="L870" s="150">
        <v>279</v>
      </c>
      <c r="M870" s="150">
        <v>139.81</v>
      </c>
      <c r="N870" s="150">
        <v>0</v>
      </c>
      <c r="O870" s="150">
        <v>58414</v>
      </c>
      <c r="P870" s="150">
        <v>60812</v>
      </c>
      <c r="Q870" s="150">
        <v>64425.81</v>
      </c>
      <c r="R870" s="150">
        <v>64425.81</v>
      </c>
    </row>
    <row r="871" spans="1:18" x14ac:dyDescent="0.25">
      <c r="A871" t="str">
        <f t="shared" si="13"/>
        <v>37-4-146</v>
      </c>
      <c r="B871">
        <v>37</v>
      </c>
      <c r="C871" s="150" t="s">
        <v>1188</v>
      </c>
      <c r="D871" s="150">
        <v>4</v>
      </c>
      <c r="E871" s="150" t="s">
        <v>146</v>
      </c>
      <c r="F871" s="150">
        <v>146</v>
      </c>
      <c r="G871" s="150" t="s">
        <v>1080</v>
      </c>
      <c r="H871" s="150">
        <v>0</v>
      </c>
      <c r="I871" s="150">
        <v>10056627</v>
      </c>
      <c r="J871" s="150" t="s">
        <v>1203</v>
      </c>
      <c r="K871" s="150">
        <v>0</v>
      </c>
      <c r="L871" s="150">
        <v>121</v>
      </c>
      <c r="M871" s="150">
        <v>102.94999999999999</v>
      </c>
      <c r="N871" s="150">
        <v>0</v>
      </c>
      <c r="O871" s="150">
        <v>11698</v>
      </c>
      <c r="P871" s="150">
        <v>11737</v>
      </c>
      <c r="Q871" s="150">
        <v>11961</v>
      </c>
      <c r="R871" s="150">
        <v>11961</v>
      </c>
    </row>
    <row r="872" spans="1:18" x14ac:dyDescent="0.25">
      <c r="A872" t="str">
        <f t="shared" si="13"/>
        <v>36-7-121</v>
      </c>
      <c r="B872">
        <v>36</v>
      </c>
      <c r="C872" s="150" t="s">
        <v>1187</v>
      </c>
      <c r="D872" s="150">
        <v>7</v>
      </c>
      <c r="E872" s="150" t="s">
        <v>681</v>
      </c>
      <c r="F872" s="150">
        <v>121</v>
      </c>
      <c r="G872" s="150" t="s">
        <v>1077</v>
      </c>
      <c r="H872" s="150">
        <v>0</v>
      </c>
      <c r="I872" s="150">
        <v>5636928</v>
      </c>
      <c r="J872" s="150" t="s">
        <v>1203</v>
      </c>
      <c r="K872" s="150">
        <v>48</v>
      </c>
      <c r="L872" s="150">
        <v>2</v>
      </c>
      <c r="M872" s="150">
        <v>2.56</v>
      </c>
      <c r="N872" s="150">
        <v>0</v>
      </c>
      <c r="O872" s="150">
        <v>2109</v>
      </c>
      <c r="P872" s="150">
        <v>2185</v>
      </c>
      <c r="Q872" s="150">
        <v>2326.56</v>
      </c>
      <c r="R872" s="150">
        <v>2326.56</v>
      </c>
    </row>
    <row r="873" spans="1:18" x14ac:dyDescent="0.25">
      <c r="A873" t="str">
        <f t="shared" si="13"/>
        <v>5-11-48</v>
      </c>
      <c r="B873">
        <v>5</v>
      </c>
      <c r="C873" s="150" t="s">
        <v>1158</v>
      </c>
      <c r="D873" s="150">
        <v>11</v>
      </c>
      <c r="E873" s="150" t="s">
        <v>1204</v>
      </c>
      <c r="F873" s="150">
        <v>48</v>
      </c>
      <c r="G873" s="150" t="s">
        <v>767</v>
      </c>
      <c r="H873" s="150">
        <v>5422</v>
      </c>
      <c r="I873" s="150">
        <v>9690380</v>
      </c>
      <c r="J873" s="150" t="s">
        <v>1203</v>
      </c>
      <c r="K873" s="150">
        <v>3478</v>
      </c>
      <c r="L873" s="150">
        <v>1226</v>
      </c>
      <c r="M873" s="150">
        <v>292.24</v>
      </c>
      <c r="N873" s="150">
        <v>0</v>
      </c>
      <c r="O873" s="150">
        <v>126276</v>
      </c>
      <c r="P873" s="150">
        <v>131753</v>
      </c>
      <c r="Q873" s="150">
        <v>137446.24</v>
      </c>
      <c r="R873" s="150">
        <v>137446.24</v>
      </c>
    </row>
    <row r="874" spans="1:18" x14ac:dyDescent="0.25">
      <c r="A874" t="str">
        <f t="shared" si="13"/>
        <v>5-4-193</v>
      </c>
      <c r="B874">
        <v>5</v>
      </c>
      <c r="C874" s="150" t="s">
        <v>1158</v>
      </c>
      <c r="D874" s="150">
        <v>4</v>
      </c>
      <c r="E874" s="150" t="s">
        <v>146</v>
      </c>
      <c r="F874" s="150">
        <v>193</v>
      </c>
      <c r="G874" s="150" t="s">
        <v>763</v>
      </c>
      <c r="H874" s="150">
        <v>0</v>
      </c>
      <c r="I874" s="150">
        <v>11740616</v>
      </c>
      <c r="J874" s="150">
        <v>1</v>
      </c>
      <c r="K874" s="150">
        <v>0</v>
      </c>
      <c r="L874" s="150">
        <v>3133</v>
      </c>
      <c r="M874" s="150">
        <v>598.16999999999996</v>
      </c>
      <c r="N874" s="150">
        <v>0</v>
      </c>
      <c r="O874" s="150">
        <v>25345</v>
      </c>
      <c r="P874" s="150">
        <v>26337</v>
      </c>
      <c r="Q874" s="150">
        <v>26997</v>
      </c>
      <c r="R874" s="150">
        <v>26997</v>
      </c>
    </row>
    <row r="875" spans="1:18" x14ac:dyDescent="0.25">
      <c r="A875" t="str">
        <f t="shared" si="13"/>
        <v>28-4-193</v>
      </c>
      <c r="B875">
        <v>28</v>
      </c>
      <c r="C875" s="150" t="s">
        <v>1180</v>
      </c>
      <c r="D875" s="150">
        <v>4</v>
      </c>
      <c r="E875" s="150" t="s">
        <v>146</v>
      </c>
      <c r="F875" s="150">
        <v>193</v>
      </c>
      <c r="G875" s="150" t="s">
        <v>763</v>
      </c>
      <c r="H875" s="150">
        <v>0</v>
      </c>
      <c r="I875" s="150">
        <v>27432296</v>
      </c>
      <c r="J875" s="150">
        <v>1</v>
      </c>
      <c r="K875" s="150">
        <v>0</v>
      </c>
      <c r="L875" s="150">
        <v>3133</v>
      </c>
      <c r="M875" s="150">
        <v>598.16999999999996</v>
      </c>
      <c r="N875" s="150">
        <v>0</v>
      </c>
      <c r="O875" s="150">
        <v>25345</v>
      </c>
      <c r="P875" s="150">
        <v>26337</v>
      </c>
      <c r="Q875" s="150">
        <v>26997</v>
      </c>
      <c r="R875" s="150">
        <v>26997</v>
      </c>
    </row>
    <row r="876" spans="1:18" x14ac:dyDescent="0.25">
      <c r="A876" t="str">
        <f t="shared" si="13"/>
        <v>3-4-12</v>
      </c>
      <c r="B876">
        <v>3</v>
      </c>
      <c r="C876" s="150" t="s">
        <v>1157</v>
      </c>
      <c r="D876" s="150">
        <v>4</v>
      </c>
      <c r="E876" s="150" t="s">
        <v>146</v>
      </c>
      <c r="F876" s="150">
        <v>12</v>
      </c>
      <c r="G876" s="150" t="s">
        <v>735</v>
      </c>
      <c r="H876" s="150">
        <v>0</v>
      </c>
      <c r="I876" s="150">
        <v>173789514</v>
      </c>
      <c r="J876" s="150" t="s">
        <v>1203</v>
      </c>
      <c r="K876" s="150">
        <v>8954</v>
      </c>
      <c r="L876" s="150">
        <v>220416</v>
      </c>
      <c r="M876" s="150">
        <v>41997.919999999998</v>
      </c>
      <c r="N876" s="150">
        <v>0</v>
      </c>
      <c r="O876" s="150">
        <v>240065</v>
      </c>
      <c r="P876" s="150">
        <v>229370</v>
      </c>
      <c r="Q876" s="150">
        <v>253619</v>
      </c>
      <c r="R876" s="150">
        <v>253619</v>
      </c>
    </row>
    <row r="877" spans="1:18" x14ac:dyDescent="0.25">
      <c r="A877" t="str">
        <f t="shared" si="13"/>
        <v>3-9-107</v>
      </c>
      <c r="B877">
        <v>3</v>
      </c>
      <c r="C877" s="150" t="s">
        <v>1157</v>
      </c>
      <c r="D877" s="150">
        <v>9</v>
      </c>
      <c r="E877" s="150" t="s">
        <v>683</v>
      </c>
      <c r="F877" s="150">
        <v>107</v>
      </c>
      <c r="G877" s="150" t="s">
        <v>741</v>
      </c>
      <c r="H877" s="150">
        <v>74501</v>
      </c>
      <c r="I877" s="150">
        <v>0</v>
      </c>
      <c r="J877" s="150" t="s">
        <v>1203</v>
      </c>
      <c r="K877" s="150">
        <v>153</v>
      </c>
      <c r="L877" s="150">
        <v>385</v>
      </c>
      <c r="M877" s="150">
        <v>68.78</v>
      </c>
      <c r="N877" s="150">
        <v>0</v>
      </c>
      <c r="O877" s="150">
        <v>68000</v>
      </c>
      <c r="P877" s="150">
        <v>70040</v>
      </c>
      <c r="Q877" s="150">
        <v>70039.78</v>
      </c>
      <c r="R877" s="150">
        <v>70040</v>
      </c>
    </row>
    <row r="878" spans="1:18" x14ac:dyDescent="0.25">
      <c r="A878" t="str">
        <f t="shared" si="13"/>
        <v>35-16-1</v>
      </c>
      <c r="B878">
        <v>35</v>
      </c>
      <c r="C878" s="150" t="s">
        <v>1195</v>
      </c>
      <c r="D878" s="150">
        <v>16</v>
      </c>
      <c r="E878" s="150" t="s">
        <v>686</v>
      </c>
      <c r="F878" s="150">
        <v>1</v>
      </c>
      <c r="G878" s="150" t="s">
        <v>1074</v>
      </c>
      <c r="H878" s="150">
        <v>549779</v>
      </c>
      <c r="I878" s="150">
        <v>91665065</v>
      </c>
      <c r="J878" s="150" t="s">
        <v>1203</v>
      </c>
      <c r="K878" s="150">
        <v>5582</v>
      </c>
      <c r="L878" s="150">
        <v>6393</v>
      </c>
      <c r="M878" s="150">
        <v>1383.44</v>
      </c>
      <c r="N878" s="150">
        <v>0</v>
      </c>
      <c r="O878" s="150">
        <v>417016</v>
      </c>
      <c r="P878" s="150">
        <v>417001</v>
      </c>
      <c r="Q878" s="150">
        <v>418467.44</v>
      </c>
      <c r="R878" s="150">
        <v>418467.44</v>
      </c>
    </row>
    <row r="879" spans="1:18" x14ac:dyDescent="0.25">
      <c r="A879" t="str">
        <f t="shared" si="13"/>
        <v>3-14-35</v>
      </c>
      <c r="B879">
        <v>3</v>
      </c>
      <c r="C879" s="150" t="s">
        <v>1157</v>
      </c>
      <c r="D879" s="150">
        <v>14</v>
      </c>
      <c r="E879" s="150" t="s">
        <v>665</v>
      </c>
      <c r="F879" s="150">
        <v>35</v>
      </c>
      <c r="G879" s="150" t="s">
        <v>197</v>
      </c>
      <c r="H879" s="150">
        <v>8307</v>
      </c>
      <c r="I879" s="150">
        <v>83973500</v>
      </c>
      <c r="J879" s="150" t="s">
        <v>1203</v>
      </c>
      <c r="K879" s="150">
        <v>1077</v>
      </c>
      <c r="L879" s="150">
        <v>7272</v>
      </c>
      <c r="M879" s="150">
        <v>1920.3899999999999</v>
      </c>
      <c r="N879" s="150">
        <v>0</v>
      </c>
      <c r="O879" s="150">
        <v>743410</v>
      </c>
      <c r="P879" s="150">
        <v>781245</v>
      </c>
      <c r="Q879" s="150">
        <v>864604.39</v>
      </c>
      <c r="R879" s="150">
        <v>864604.39</v>
      </c>
    </row>
    <row r="880" spans="1:18" x14ac:dyDescent="0.25">
      <c r="A880" t="str">
        <f t="shared" si="13"/>
        <v>28-11-27</v>
      </c>
      <c r="B880">
        <v>28</v>
      </c>
      <c r="C880" s="150" t="s">
        <v>1180</v>
      </c>
      <c r="D880" s="150">
        <v>11</v>
      </c>
      <c r="E880" s="150" t="s">
        <v>1204</v>
      </c>
      <c r="F880" s="150">
        <v>27</v>
      </c>
      <c r="G880" s="150" t="s">
        <v>516</v>
      </c>
      <c r="H880" s="150">
        <v>1232743</v>
      </c>
      <c r="I880" s="150">
        <v>322131505</v>
      </c>
      <c r="J880" s="150" t="s">
        <v>1203</v>
      </c>
      <c r="K880" s="150">
        <v>2093</v>
      </c>
      <c r="L880" s="150">
        <v>23643</v>
      </c>
      <c r="M880" s="150">
        <v>3731.42</v>
      </c>
      <c r="N880" s="150">
        <v>0</v>
      </c>
      <c r="O880" s="150">
        <v>3088165</v>
      </c>
      <c r="P880" s="150">
        <v>3059299</v>
      </c>
      <c r="Q880" s="150">
        <v>3269180.42</v>
      </c>
      <c r="R880" s="150">
        <v>3269180.42</v>
      </c>
    </row>
    <row r="881" spans="1:18" x14ac:dyDescent="0.25">
      <c r="A881" t="str">
        <f t="shared" si="13"/>
        <v>28-4-107</v>
      </c>
      <c r="B881">
        <v>28</v>
      </c>
      <c r="C881" s="150" t="s">
        <v>1180</v>
      </c>
      <c r="D881" s="150">
        <v>4</v>
      </c>
      <c r="E881" s="150" t="s">
        <v>146</v>
      </c>
      <c r="F881" s="150">
        <v>107</v>
      </c>
      <c r="G881" s="150" t="s">
        <v>1008</v>
      </c>
      <c r="H881" s="150">
        <v>0</v>
      </c>
      <c r="I881" s="150">
        <v>88157874</v>
      </c>
      <c r="J881" s="150" t="s">
        <v>1203</v>
      </c>
      <c r="K881" s="150">
        <v>3162</v>
      </c>
      <c r="L881" s="150">
        <v>84036</v>
      </c>
      <c r="M881" s="150">
        <v>10023.4</v>
      </c>
      <c r="N881" s="150">
        <v>0</v>
      </c>
      <c r="O881" s="150">
        <v>167158</v>
      </c>
      <c r="P881" s="150">
        <v>177347</v>
      </c>
      <c r="Q881" s="150">
        <v>195681</v>
      </c>
      <c r="R881" s="150">
        <v>195681</v>
      </c>
    </row>
    <row r="882" spans="1:18" x14ac:dyDescent="0.25">
      <c r="A882" t="str">
        <f t="shared" si="13"/>
        <v>35-7-122</v>
      </c>
      <c r="B882">
        <v>35</v>
      </c>
      <c r="C882" s="150" t="s">
        <v>1195</v>
      </c>
      <c r="D882" s="150">
        <v>7</v>
      </c>
      <c r="E882" s="150" t="s">
        <v>681</v>
      </c>
      <c r="F882" s="150">
        <v>122</v>
      </c>
      <c r="G882" s="150" t="s">
        <v>591</v>
      </c>
      <c r="H882" s="150">
        <v>0</v>
      </c>
      <c r="I882" s="150">
        <v>566005</v>
      </c>
      <c r="J882" s="150" t="s">
        <v>1203</v>
      </c>
      <c r="K882" s="150">
        <v>74</v>
      </c>
      <c r="L882" s="150">
        <v>7</v>
      </c>
      <c r="M882" s="150">
        <v>1.82</v>
      </c>
      <c r="N882" s="150">
        <v>0</v>
      </c>
      <c r="O882" s="150">
        <v>1095</v>
      </c>
      <c r="P882" s="150">
        <v>1128</v>
      </c>
      <c r="Q882" s="150">
        <v>1162.82</v>
      </c>
      <c r="R882" s="150">
        <v>1162.82</v>
      </c>
    </row>
    <row r="883" spans="1:18" x14ac:dyDescent="0.25">
      <c r="A883" t="str">
        <f t="shared" si="13"/>
        <v>29-9-73</v>
      </c>
      <c r="B883">
        <v>29</v>
      </c>
      <c r="C883" s="150" t="s">
        <v>1181</v>
      </c>
      <c r="D883" s="150">
        <v>9</v>
      </c>
      <c r="E883" s="150" t="s">
        <v>683</v>
      </c>
      <c r="F883" s="150">
        <v>73</v>
      </c>
      <c r="G883" s="150" t="s">
        <v>1031</v>
      </c>
      <c r="H883" s="150">
        <v>2506</v>
      </c>
      <c r="I883" s="150">
        <v>4516571</v>
      </c>
      <c r="J883" s="150" t="s">
        <v>1203</v>
      </c>
      <c r="K883" s="150">
        <v>4213</v>
      </c>
      <c r="L883" s="150">
        <v>1617</v>
      </c>
      <c r="M883" s="150">
        <v>272.55</v>
      </c>
      <c r="N883" s="150">
        <v>0</v>
      </c>
      <c r="O883" s="150">
        <v>161000</v>
      </c>
      <c r="P883" s="150">
        <v>167845</v>
      </c>
      <c r="Q883" s="150">
        <v>168164.19999999998</v>
      </c>
      <c r="R883" s="150">
        <v>168164.55</v>
      </c>
    </row>
    <row r="884" spans="1:18" x14ac:dyDescent="0.25">
      <c r="A884" t="str">
        <f t="shared" si="13"/>
        <v>29-17-31</v>
      </c>
      <c r="B884">
        <v>29</v>
      </c>
      <c r="C884" s="150" t="s">
        <v>1181</v>
      </c>
      <c r="D884" s="150">
        <v>17</v>
      </c>
      <c r="E884" s="150" t="s">
        <v>688</v>
      </c>
      <c r="F884" s="150">
        <v>31</v>
      </c>
      <c r="G884" s="150" t="s">
        <v>541</v>
      </c>
      <c r="H884" s="150">
        <v>39621</v>
      </c>
      <c r="I884" s="150">
        <v>5274994</v>
      </c>
      <c r="J884" s="150" t="s">
        <v>1203</v>
      </c>
      <c r="K884" s="150">
        <v>0</v>
      </c>
      <c r="L884" s="150">
        <v>941</v>
      </c>
      <c r="M884" s="150">
        <v>151.57</v>
      </c>
      <c r="N884" s="150">
        <v>0</v>
      </c>
      <c r="O884" s="150">
        <v>95329</v>
      </c>
      <c r="P884" s="150">
        <v>99355</v>
      </c>
      <c r="Q884" s="150">
        <v>103556.3</v>
      </c>
      <c r="R884" s="150">
        <v>103556.57</v>
      </c>
    </row>
    <row r="885" spans="1:18" x14ac:dyDescent="0.25">
      <c r="A885" t="str">
        <f t="shared" si="13"/>
        <v>29-4-117</v>
      </c>
      <c r="B885">
        <v>29</v>
      </c>
      <c r="C885" s="150" t="s">
        <v>1181</v>
      </c>
      <c r="D885" s="150">
        <v>4</v>
      </c>
      <c r="E885" s="150" t="s">
        <v>146</v>
      </c>
      <c r="F885" s="150">
        <v>117</v>
      </c>
      <c r="G885" s="150" t="s">
        <v>1022</v>
      </c>
      <c r="H885" s="150">
        <v>0</v>
      </c>
      <c r="I885" s="150">
        <v>5274994</v>
      </c>
      <c r="J885" s="150" t="s">
        <v>1203</v>
      </c>
      <c r="K885" s="150">
        <v>30387</v>
      </c>
      <c r="L885" s="150">
        <v>17575</v>
      </c>
      <c r="M885" s="150">
        <v>2543.83</v>
      </c>
      <c r="N885" s="150">
        <v>0</v>
      </c>
      <c r="O885" s="150">
        <v>49401</v>
      </c>
      <c r="P885" s="150">
        <v>51579</v>
      </c>
      <c r="Q885" s="150">
        <v>53126</v>
      </c>
      <c r="R885" s="150">
        <v>53126</v>
      </c>
    </row>
    <row r="886" spans="1:18" x14ac:dyDescent="0.25">
      <c r="A886" t="str">
        <f t="shared" si="13"/>
        <v>39-15-20</v>
      </c>
      <c r="B886">
        <v>39</v>
      </c>
      <c r="C886" s="150" t="s">
        <v>164</v>
      </c>
      <c r="D886" s="150">
        <v>15</v>
      </c>
      <c r="E886" s="150" t="s">
        <v>237</v>
      </c>
      <c r="F886" s="150">
        <v>20</v>
      </c>
      <c r="G886" s="150" t="s">
        <v>1107</v>
      </c>
      <c r="H886" s="150">
        <v>280202</v>
      </c>
      <c r="I886" s="150">
        <v>225220980</v>
      </c>
      <c r="J886" s="150" t="s">
        <v>1203</v>
      </c>
      <c r="K886" s="150">
        <v>0</v>
      </c>
      <c r="L886" s="150">
        <v>3799</v>
      </c>
      <c r="M886" s="150">
        <v>1055.3699999999999</v>
      </c>
      <c r="N886" s="150">
        <v>2341.1697374803548</v>
      </c>
      <c r="O886" s="150">
        <v>126361</v>
      </c>
      <c r="P886" s="150">
        <v>212953</v>
      </c>
      <c r="Q886" s="150">
        <v>210871.37</v>
      </c>
      <c r="R886" s="150">
        <v>212953</v>
      </c>
    </row>
    <row r="887" spans="1:18" x14ac:dyDescent="0.25">
      <c r="A887" t="str">
        <f t="shared" si="13"/>
        <v>39-5-13</v>
      </c>
      <c r="B887">
        <v>39</v>
      </c>
      <c r="C887" s="150" t="s">
        <v>164</v>
      </c>
      <c r="D887" s="150">
        <v>5</v>
      </c>
      <c r="E887" s="150" t="s">
        <v>286</v>
      </c>
      <c r="F887" s="150">
        <v>13</v>
      </c>
      <c r="G887" s="150" t="s">
        <v>1100</v>
      </c>
      <c r="H887" s="150">
        <v>0</v>
      </c>
      <c r="I887" s="150">
        <v>225220980</v>
      </c>
      <c r="J887" s="150" t="s">
        <v>1203</v>
      </c>
      <c r="K887" s="150">
        <v>6533</v>
      </c>
      <c r="L887" s="150">
        <v>2655</v>
      </c>
      <c r="M887" s="150">
        <v>1572.9099999999999</v>
      </c>
      <c r="N887" s="150">
        <v>3489.1621228025947</v>
      </c>
      <c r="O887" s="150">
        <v>311053</v>
      </c>
      <c r="P887" s="150">
        <v>320901</v>
      </c>
      <c r="Q887" s="150">
        <v>332788.90999999997</v>
      </c>
      <c r="R887" s="150">
        <v>332788.90999999997</v>
      </c>
    </row>
    <row r="888" spans="1:18" x14ac:dyDescent="0.25">
      <c r="A888" t="str">
        <f t="shared" si="13"/>
        <v>39-2-39</v>
      </c>
      <c r="B888">
        <v>39</v>
      </c>
      <c r="C888" s="150" t="s">
        <v>164</v>
      </c>
      <c r="D888" s="150">
        <v>2</v>
      </c>
      <c r="E888" s="150" t="s">
        <v>110</v>
      </c>
      <c r="F888" s="150">
        <v>39</v>
      </c>
      <c r="G888" s="150" t="s">
        <v>618</v>
      </c>
      <c r="H888" s="150">
        <v>129755</v>
      </c>
      <c r="I888" s="150">
        <v>225220980</v>
      </c>
      <c r="J888" s="150" t="s">
        <v>1203</v>
      </c>
      <c r="K888" s="150">
        <v>105545</v>
      </c>
      <c r="L888" s="150">
        <v>43034</v>
      </c>
      <c r="M888" s="150">
        <v>24412.27</v>
      </c>
      <c r="N888" s="150">
        <v>54073.417251609571</v>
      </c>
      <c r="O888" s="150">
        <v>4414760</v>
      </c>
      <c r="P888" s="150">
        <v>4602868</v>
      </c>
      <c r="Q888" s="150">
        <v>4772440.2699999996</v>
      </c>
      <c r="R888" s="150">
        <v>4772440.2699999996</v>
      </c>
    </row>
    <row r="889" spans="1:18" x14ac:dyDescent="0.25">
      <c r="A889" t="str">
        <f t="shared" si="13"/>
        <v>39-12-21</v>
      </c>
      <c r="B889">
        <v>39</v>
      </c>
      <c r="C889" s="150" t="s">
        <v>164</v>
      </c>
      <c r="D889" s="150">
        <v>12</v>
      </c>
      <c r="E889" s="150" t="s">
        <v>151</v>
      </c>
      <c r="F889" s="150">
        <v>21</v>
      </c>
      <c r="G889" s="150" t="s">
        <v>1106</v>
      </c>
      <c r="H889" s="150">
        <v>0</v>
      </c>
      <c r="I889" s="150">
        <v>225220980</v>
      </c>
      <c r="J889" s="150" t="s">
        <v>1203</v>
      </c>
      <c r="K889" s="150">
        <v>65502</v>
      </c>
      <c r="L889" s="150">
        <v>9489</v>
      </c>
      <c r="M889" s="150">
        <v>9560.9699999999993</v>
      </c>
      <c r="N889" s="150">
        <v>20981.768950530863</v>
      </c>
      <c r="O889" s="150">
        <v>1069478</v>
      </c>
      <c r="P889" s="150">
        <v>1103316</v>
      </c>
      <c r="Q889" s="150">
        <v>1142402.97</v>
      </c>
      <c r="R889" s="150">
        <v>1142402.97</v>
      </c>
    </row>
    <row r="890" spans="1:18" x14ac:dyDescent="0.25">
      <c r="A890" t="str">
        <f t="shared" si="13"/>
        <v>39-11-49</v>
      </c>
      <c r="B890">
        <v>39</v>
      </c>
      <c r="C890" s="150" t="s">
        <v>164</v>
      </c>
      <c r="D890" s="150">
        <v>11</v>
      </c>
      <c r="E890" s="150" t="s">
        <v>1204</v>
      </c>
      <c r="F890" s="150">
        <v>49</v>
      </c>
      <c r="G890" s="150" t="s">
        <v>1105</v>
      </c>
      <c r="H890" s="150">
        <v>0</v>
      </c>
      <c r="I890" s="150">
        <v>225220980</v>
      </c>
      <c r="J890" s="150" t="s">
        <v>1203</v>
      </c>
      <c r="K890" s="150">
        <v>69430</v>
      </c>
      <c r="L890" s="150">
        <v>28647</v>
      </c>
      <c r="M890" s="150">
        <v>15587.68</v>
      </c>
      <c r="N890" s="150">
        <v>34577.20391306041</v>
      </c>
      <c r="O890" s="150">
        <v>3083874</v>
      </c>
      <c r="P890" s="150">
        <v>3187128</v>
      </c>
      <c r="Q890" s="150">
        <v>3305160.68</v>
      </c>
      <c r="R890" s="150">
        <v>3305160.68</v>
      </c>
    </row>
    <row r="891" spans="1:18" x14ac:dyDescent="0.25">
      <c r="A891" t="str">
        <f t="shared" si="13"/>
        <v>31-11-51</v>
      </c>
      <c r="B891">
        <v>31</v>
      </c>
      <c r="C891" s="150" t="s">
        <v>1183</v>
      </c>
      <c r="D891" s="150">
        <v>11</v>
      </c>
      <c r="E891" s="150" t="s">
        <v>1204</v>
      </c>
      <c r="F891" s="150">
        <v>51</v>
      </c>
      <c r="G891" s="150" t="s">
        <v>1053</v>
      </c>
      <c r="H891" s="150">
        <v>69029</v>
      </c>
      <c r="I891" s="150">
        <v>3364976</v>
      </c>
      <c r="J891" s="150" t="s">
        <v>1203</v>
      </c>
      <c r="K891" s="150">
        <v>18031</v>
      </c>
      <c r="L891" s="150">
        <v>2768</v>
      </c>
      <c r="M891" s="150">
        <v>1061.97</v>
      </c>
      <c r="N891" s="150">
        <v>0</v>
      </c>
      <c r="O891" s="150">
        <v>258857</v>
      </c>
      <c r="P891" s="150">
        <v>265867</v>
      </c>
      <c r="Q891" s="150">
        <v>273842.96999999997</v>
      </c>
      <c r="R891" s="150">
        <v>273842.96999999997</v>
      </c>
    </row>
    <row r="892" spans="1:18" x14ac:dyDescent="0.25">
      <c r="A892" t="str">
        <f t="shared" si="13"/>
        <v>20-14-50</v>
      </c>
      <c r="B892">
        <v>20</v>
      </c>
      <c r="C892" s="150" t="s">
        <v>1172</v>
      </c>
      <c r="D892" s="150">
        <v>14</v>
      </c>
      <c r="E892" s="150" t="s">
        <v>665</v>
      </c>
      <c r="F892" s="150">
        <v>50</v>
      </c>
      <c r="G892" s="150" t="s">
        <v>401</v>
      </c>
      <c r="H892" s="150">
        <v>26154</v>
      </c>
      <c r="I892" s="150">
        <v>683933</v>
      </c>
      <c r="J892" s="150" t="s">
        <v>1203</v>
      </c>
      <c r="K892" s="150">
        <v>46</v>
      </c>
      <c r="L892" s="150">
        <v>2</v>
      </c>
      <c r="M892" s="150">
        <v>7.0000000000000007E-2</v>
      </c>
      <c r="N892" s="150">
        <v>0</v>
      </c>
      <c r="O892" s="150">
        <v>1088</v>
      </c>
      <c r="P892" s="150">
        <v>1125</v>
      </c>
      <c r="Q892" s="150">
        <v>1159.07</v>
      </c>
      <c r="R892" s="150">
        <v>1159.07</v>
      </c>
    </row>
    <row r="893" spans="1:18" x14ac:dyDescent="0.25">
      <c r="A893" t="str">
        <f t="shared" si="13"/>
        <v>25-14-54</v>
      </c>
      <c r="B893">
        <v>25</v>
      </c>
      <c r="C893" s="150" t="s">
        <v>1177</v>
      </c>
      <c r="D893" s="150">
        <v>14</v>
      </c>
      <c r="E893" s="150" t="s">
        <v>665</v>
      </c>
      <c r="F893" s="150">
        <v>54</v>
      </c>
      <c r="G893" s="150" t="s">
        <v>982</v>
      </c>
      <c r="H893" s="150">
        <v>0</v>
      </c>
      <c r="I893" s="150">
        <v>6691939</v>
      </c>
      <c r="J893" s="150">
        <v>1</v>
      </c>
      <c r="K893" s="150">
        <v>7939</v>
      </c>
      <c r="L893" s="150">
        <v>4179</v>
      </c>
      <c r="M893" s="150">
        <v>1507.6499999999999</v>
      </c>
      <c r="N893" s="150">
        <v>0</v>
      </c>
      <c r="O893" s="150">
        <v>627293</v>
      </c>
      <c r="P893" s="150">
        <v>650251</v>
      </c>
      <c r="Q893" s="150">
        <v>678255.65</v>
      </c>
      <c r="R893" s="150">
        <v>678255.65</v>
      </c>
    </row>
    <row r="894" spans="1:18" x14ac:dyDescent="0.25">
      <c r="A894" t="str">
        <f t="shared" si="13"/>
        <v>31-14-54</v>
      </c>
      <c r="B894">
        <v>31</v>
      </c>
      <c r="C894" s="150" t="s">
        <v>1183</v>
      </c>
      <c r="D894" s="150">
        <v>14</v>
      </c>
      <c r="E894" s="150" t="s">
        <v>665</v>
      </c>
      <c r="F894" s="150">
        <v>54</v>
      </c>
      <c r="G894" s="150" t="s">
        <v>982</v>
      </c>
      <c r="H894" s="150">
        <v>0</v>
      </c>
      <c r="I894" s="150">
        <v>10299029</v>
      </c>
      <c r="J894" s="150">
        <v>1</v>
      </c>
      <c r="K894" s="150">
        <v>7939</v>
      </c>
      <c r="L894" s="150">
        <v>4179</v>
      </c>
      <c r="M894" s="150">
        <v>1507.6499999999999</v>
      </c>
      <c r="N894" s="150">
        <v>0</v>
      </c>
      <c r="O894" s="150">
        <v>627293</v>
      </c>
      <c r="P894" s="150">
        <v>650251</v>
      </c>
      <c r="Q894" s="150">
        <v>678255.65</v>
      </c>
      <c r="R894" s="150">
        <v>678255.65</v>
      </c>
    </row>
    <row r="895" spans="1:18" x14ac:dyDescent="0.25">
      <c r="A895" t="str">
        <f t="shared" si="13"/>
        <v>35-14-54</v>
      </c>
      <c r="B895">
        <v>35</v>
      </c>
      <c r="C895" s="150" t="s">
        <v>1195</v>
      </c>
      <c r="D895" s="150">
        <v>14</v>
      </c>
      <c r="E895" s="150" t="s">
        <v>665</v>
      </c>
      <c r="F895" s="150">
        <v>54</v>
      </c>
      <c r="G895" s="150" t="s">
        <v>982</v>
      </c>
      <c r="H895" s="150">
        <v>0</v>
      </c>
      <c r="I895" s="150">
        <v>45852200</v>
      </c>
      <c r="J895" s="150">
        <v>1</v>
      </c>
      <c r="K895" s="150">
        <v>7939</v>
      </c>
      <c r="L895" s="150">
        <v>4179</v>
      </c>
      <c r="M895" s="150">
        <v>1507.6499999999999</v>
      </c>
      <c r="N895" s="150">
        <v>0</v>
      </c>
      <c r="O895" s="150">
        <v>627293</v>
      </c>
      <c r="P895" s="150">
        <v>650251</v>
      </c>
      <c r="Q895" s="150">
        <v>678255.65</v>
      </c>
      <c r="R895" s="150">
        <v>678255.65</v>
      </c>
    </row>
    <row r="896" spans="1:18" x14ac:dyDescent="0.25">
      <c r="A896" t="str">
        <f t="shared" si="13"/>
        <v>21-7-124</v>
      </c>
      <c r="B896">
        <v>21</v>
      </c>
      <c r="C896" s="150" t="s">
        <v>1173</v>
      </c>
      <c r="D896" s="150">
        <v>7</v>
      </c>
      <c r="E896" s="150" t="s">
        <v>681</v>
      </c>
      <c r="F896" s="150">
        <v>124</v>
      </c>
      <c r="G896" s="150" t="s">
        <v>415</v>
      </c>
      <c r="H896" s="150">
        <v>1</v>
      </c>
      <c r="I896" s="150">
        <v>19268732</v>
      </c>
      <c r="J896" s="150" t="s">
        <v>1203</v>
      </c>
      <c r="K896" s="150">
        <v>439</v>
      </c>
      <c r="L896" s="150">
        <v>770</v>
      </c>
      <c r="M896" s="150">
        <v>242.47</v>
      </c>
      <c r="N896" s="150">
        <v>0</v>
      </c>
      <c r="O896" s="150">
        <v>53949</v>
      </c>
      <c r="P896" s="150">
        <v>56982</v>
      </c>
      <c r="Q896" s="150">
        <v>59617.47</v>
      </c>
      <c r="R896" s="150">
        <v>59617.47</v>
      </c>
    </row>
    <row r="897" spans="1:18" x14ac:dyDescent="0.25">
      <c r="A897" t="str">
        <f t="shared" si="13"/>
        <v>3-4-76</v>
      </c>
      <c r="B897">
        <v>3</v>
      </c>
      <c r="C897" s="150" t="s">
        <v>1157</v>
      </c>
      <c r="D897" s="150">
        <v>4</v>
      </c>
      <c r="E897" s="150" t="s">
        <v>146</v>
      </c>
      <c r="F897" s="150">
        <v>76</v>
      </c>
      <c r="G897" s="150" t="s">
        <v>737</v>
      </c>
      <c r="H897" s="150">
        <v>0</v>
      </c>
      <c r="I897" s="150">
        <v>323335</v>
      </c>
      <c r="J897" s="150">
        <v>1</v>
      </c>
      <c r="K897" s="150">
        <v>12121</v>
      </c>
      <c r="L897" s="150">
        <v>15019</v>
      </c>
      <c r="M897" s="150">
        <v>6007.65</v>
      </c>
      <c r="N897" s="150">
        <v>0</v>
      </c>
      <c r="O897" s="150">
        <v>69231</v>
      </c>
      <c r="P897" s="150">
        <v>73230</v>
      </c>
      <c r="Q897" s="150">
        <v>76901</v>
      </c>
      <c r="R897" s="150">
        <v>76901</v>
      </c>
    </row>
    <row r="898" spans="1:18" x14ac:dyDescent="0.25">
      <c r="A898" t="str">
        <f t="shared" si="13"/>
        <v>21-4-76</v>
      </c>
      <c r="B898">
        <v>21</v>
      </c>
      <c r="C898" s="150" t="s">
        <v>1173</v>
      </c>
      <c r="D898" s="150">
        <v>4</v>
      </c>
      <c r="E898" s="150" t="s">
        <v>146</v>
      </c>
      <c r="F898" s="150">
        <v>76</v>
      </c>
      <c r="G898" s="150" t="s">
        <v>737</v>
      </c>
      <c r="H898" s="150">
        <v>0</v>
      </c>
      <c r="I898" s="150">
        <v>44305489</v>
      </c>
      <c r="J898" s="150">
        <v>1</v>
      </c>
      <c r="K898" s="150">
        <v>12121</v>
      </c>
      <c r="L898" s="150">
        <v>15019</v>
      </c>
      <c r="M898" s="150">
        <v>6007.65</v>
      </c>
      <c r="N898" s="150">
        <v>0</v>
      </c>
      <c r="O898" s="150">
        <v>69231</v>
      </c>
      <c r="P898" s="150">
        <v>73230</v>
      </c>
      <c r="Q898" s="150">
        <v>76901</v>
      </c>
      <c r="R898" s="150">
        <v>76901</v>
      </c>
    </row>
    <row r="899" spans="1:18" x14ac:dyDescent="0.25">
      <c r="A899" t="str">
        <f t="shared" si="13"/>
        <v>9-14-62</v>
      </c>
      <c r="B899">
        <v>9</v>
      </c>
      <c r="C899" s="150" t="s">
        <v>1161</v>
      </c>
      <c r="D899" s="150">
        <v>14</v>
      </c>
      <c r="E899" s="150" t="s">
        <v>665</v>
      </c>
      <c r="F899" s="150">
        <v>62</v>
      </c>
      <c r="G899" s="150" t="s">
        <v>276</v>
      </c>
      <c r="H899" s="150">
        <v>0</v>
      </c>
      <c r="I899" s="150">
        <v>24513</v>
      </c>
      <c r="J899" s="150" t="s">
        <v>1203</v>
      </c>
      <c r="K899" s="150">
        <v>31</v>
      </c>
      <c r="L899" s="150">
        <v>344</v>
      </c>
      <c r="M899" s="150">
        <v>54.19</v>
      </c>
      <c r="N899" s="150">
        <v>0</v>
      </c>
      <c r="O899" s="150">
        <v>195545</v>
      </c>
      <c r="P899" s="150">
        <v>205414</v>
      </c>
      <c r="Q899" s="150">
        <v>213731.19</v>
      </c>
      <c r="R899" s="150">
        <v>213731.19</v>
      </c>
    </row>
    <row r="900" spans="1:18" x14ac:dyDescent="0.25">
      <c r="A900" t="str">
        <f t="shared" si="13"/>
        <v>16-9-76</v>
      </c>
      <c r="B900">
        <v>16</v>
      </c>
      <c r="C900" s="150" t="s">
        <v>1168</v>
      </c>
      <c r="D900" s="150">
        <v>9</v>
      </c>
      <c r="E900" s="150" t="s">
        <v>683</v>
      </c>
      <c r="F900" s="150">
        <v>76</v>
      </c>
      <c r="G900" s="150" t="s">
        <v>880</v>
      </c>
      <c r="H900" s="150">
        <v>0</v>
      </c>
      <c r="I900" s="150">
        <v>0</v>
      </c>
      <c r="J900" s="150" t="s">
        <v>1203</v>
      </c>
      <c r="K900" s="150">
        <v>7512</v>
      </c>
      <c r="L900" s="150">
        <v>215</v>
      </c>
      <c r="M900" s="150">
        <v>89.49</v>
      </c>
      <c r="N900" s="150">
        <v>0</v>
      </c>
      <c r="O900" s="150">
        <v>35481</v>
      </c>
      <c r="P900" s="150">
        <v>38319</v>
      </c>
      <c r="Q900" s="150">
        <v>38318.49</v>
      </c>
      <c r="R900" s="150">
        <v>38319</v>
      </c>
    </row>
    <row r="901" spans="1:18" x14ac:dyDescent="0.25">
      <c r="A901" t="str">
        <f t="shared" si="13"/>
        <v>16-10-17</v>
      </c>
      <c r="B901">
        <v>16</v>
      </c>
      <c r="C901" s="150" t="s">
        <v>1168</v>
      </c>
      <c r="D901" s="150">
        <v>10</v>
      </c>
      <c r="E901" s="150" t="s">
        <v>684</v>
      </c>
      <c r="F901" s="150">
        <v>17</v>
      </c>
      <c r="G901" s="150" t="s">
        <v>364</v>
      </c>
      <c r="H901" s="150">
        <v>0</v>
      </c>
      <c r="I901" s="150">
        <v>0</v>
      </c>
      <c r="J901" s="150" t="s">
        <v>1203</v>
      </c>
      <c r="K901" s="150">
        <v>0</v>
      </c>
      <c r="L901" s="150">
        <v>0</v>
      </c>
      <c r="M901" s="150">
        <v>0</v>
      </c>
      <c r="N901" s="150">
        <v>0</v>
      </c>
      <c r="O901" s="150">
        <v>59153</v>
      </c>
      <c r="P901" s="150">
        <v>63885</v>
      </c>
      <c r="Q901" s="150">
        <v>65800</v>
      </c>
      <c r="R901" s="150">
        <v>65800</v>
      </c>
    </row>
    <row r="902" spans="1:18" x14ac:dyDescent="0.25">
      <c r="A902" t="str">
        <f t="shared" ref="A902:A965" si="14">B902&amp;"-"&amp;D902&amp;"-"&amp;F902</f>
        <v>16-11-52</v>
      </c>
      <c r="B902">
        <v>16</v>
      </c>
      <c r="C902" s="150" t="s">
        <v>1168</v>
      </c>
      <c r="D902" s="150">
        <v>11</v>
      </c>
      <c r="E902" s="150" t="s">
        <v>1204</v>
      </c>
      <c r="F902" s="150">
        <v>52</v>
      </c>
      <c r="G902" s="150" t="s">
        <v>888</v>
      </c>
      <c r="H902" s="150">
        <v>2905</v>
      </c>
      <c r="I902" s="150">
        <v>16234147</v>
      </c>
      <c r="J902" s="150" t="s">
        <v>1203</v>
      </c>
      <c r="K902" s="150">
        <v>22784</v>
      </c>
      <c r="L902" s="150">
        <v>3207</v>
      </c>
      <c r="M902" s="150">
        <v>1605.37</v>
      </c>
      <c r="N902" s="150">
        <v>0</v>
      </c>
      <c r="O902" s="150">
        <v>358627</v>
      </c>
      <c r="P902" s="150">
        <v>387317</v>
      </c>
      <c r="Q902" s="150">
        <v>403039.37</v>
      </c>
      <c r="R902" s="150">
        <v>403039.37</v>
      </c>
    </row>
    <row r="903" spans="1:18" x14ac:dyDescent="0.25">
      <c r="A903" t="str">
        <f t="shared" si="14"/>
        <v>31-7-125</v>
      </c>
      <c r="B903">
        <v>31</v>
      </c>
      <c r="C903" s="150" t="s">
        <v>1183</v>
      </c>
      <c r="D903" s="150">
        <v>7</v>
      </c>
      <c r="E903" s="150" t="s">
        <v>681</v>
      </c>
      <c r="F903" s="150">
        <v>125</v>
      </c>
      <c r="G903" s="150" t="s">
        <v>554</v>
      </c>
      <c r="H903" s="150">
        <v>102</v>
      </c>
      <c r="I903" s="150">
        <v>739203</v>
      </c>
      <c r="J903" s="150">
        <v>1</v>
      </c>
      <c r="K903" s="150">
        <v>86</v>
      </c>
      <c r="L903" s="150">
        <v>2</v>
      </c>
      <c r="M903" s="150">
        <v>0.78</v>
      </c>
      <c r="N903" s="150">
        <v>0</v>
      </c>
      <c r="O903" s="150">
        <v>2089</v>
      </c>
      <c r="P903" s="150">
        <v>2152</v>
      </c>
      <c r="Q903" s="150">
        <v>2225.7800000000002</v>
      </c>
      <c r="R903" s="150">
        <v>2225.7800000000002</v>
      </c>
    </row>
    <row r="904" spans="1:18" x14ac:dyDescent="0.25">
      <c r="A904" t="str">
        <f t="shared" si="14"/>
        <v>35-7-125</v>
      </c>
      <c r="B904">
        <v>35</v>
      </c>
      <c r="C904" s="150" t="s">
        <v>1195</v>
      </c>
      <c r="D904" s="150">
        <v>7</v>
      </c>
      <c r="E904" s="150" t="s">
        <v>681</v>
      </c>
      <c r="F904" s="150">
        <v>125</v>
      </c>
      <c r="G904" s="150" t="s">
        <v>554</v>
      </c>
      <c r="H904" s="150">
        <v>102</v>
      </c>
      <c r="I904" s="150">
        <v>383747</v>
      </c>
      <c r="J904" s="150">
        <v>1</v>
      </c>
      <c r="K904" s="150">
        <v>86</v>
      </c>
      <c r="L904" s="150">
        <v>2</v>
      </c>
      <c r="M904" s="150">
        <v>0.78</v>
      </c>
      <c r="N904" s="150">
        <v>0</v>
      </c>
      <c r="O904" s="150">
        <v>2089</v>
      </c>
      <c r="P904" s="150">
        <v>2152</v>
      </c>
      <c r="Q904" s="150">
        <v>2225.7800000000002</v>
      </c>
      <c r="R904" s="150">
        <v>2225.7800000000002</v>
      </c>
    </row>
    <row r="905" spans="1:18" x14ac:dyDescent="0.25">
      <c r="A905" t="str">
        <f t="shared" si="14"/>
        <v>31-6-2</v>
      </c>
      <c r="B905">
        <v>31</v>
      </c>
      <c r="C905" s="150" t="s">
        <v>1183</v>
      </c>
      <c r="D905" s="150">
        <v>6</v>
      </c>
      <c r="E905" s="150" t="s">
        <v>687</v>
      </c>
      <c r="F905" s="150">
        <v>2</v>
      </c>
      <c r="G905" s="150" t="s">
        <v>1046</v>
      </c>
      <c r="H905" s="150">
        <v>0</v>
      </c>
      <c r="I905" s="150">
        <v>634311</v>
      </c>
      <c r="J905" s="150">
        <v>1</v>
      </c>
      <c r="K905" s="150">
        <v>676</v>
      </c>
      <c r="L905" s="150">
        <v>27</v>
      </c>
      <c r="M905" s="150">
        <v>32.269999999999996</v>
      </c>
      <c r="N905" s="150">
        <v>0</v>
      </c>
      <c r="O905" s="150">
        <v>15209</v>
      </c>
      <c r="P905" s="150">
        <v>15665</v>
      </c>
      <c r="Q905" s="150">
        <v>16176.27</v>
      </c>
      <c r="R905" s="150">
        <v>16176.27</v>
      </c>
    </row>
    <row r="906" spans="1:18" x14ac:dyDescent="0.25">
      <c r="A906" t="str">
        <f t="shared" si="14"/>
        <v>35-6-2</v>
      </c>
      <c r="B906">
        <v>35</v>
      </c>
      <c r="C906" s="150" t="s">
        <v>1195</v>
      </c>
      <c r="D906" s="150">
        <v>6</v>
      </c>
      <c r="E906" s="150" t="s">
        <v>687</v>
      </c>
      <c r="F906" s="150">
        <v>2</v>
      </c>
      <c r="G906" s="150" t="s">
        <v>1046</v>
      </c>
      <c r="H906" s="150">
        <v>0</v>
      </c>
      <c r="I906" s="150">
        <v>315825</v>
      </c>
      <c r="J906" s="150">
        <v>1</v>
      </c>
      <c r="K906" s="150">
        <v>676</v>
      </c>
      <c r="L906" s="150">
        <v>27</v>
      </c>
      <c r="M906" s="150">
        <v>32.269999999999996</v>
      </c>
      <c r="N906" s="150">
        <v>0</v>
      </c>
      <c r="O906" s="150">
        <v>15209</v>
      </c>
      <c r="P906" s="150">
        <v>15681</v>
      </c>
      <c r="Q906" s="150">
        <v>16176.27</v>
      </c>
      <c r="R906" s="150">
        <v>16176.27</v>
      </c>
    </row>
    <row r="907" spans="1:18" x14ac:dyDescent="0.25">
      <c r="A907" t="str">
        <f t="shared" si="14"/>
        <v>33-7-127</v>
      </c>
      <c r="B907">
        <v>33</v>
      </c>
      <c r="C907" s="150" t="s">
        <v>1185</v>
      </c>
      <c r="D907" s="150">
        <v>7</v>
      </c>
      <c r="E907" s="150" t="s">
        <v>681</v>
      </c>
      <c r="F907" s="150">
        <v>127</v>
      </c>
      <c r="G907" s="150" t="s">
        <v>574</v>
      </c>
      <c r="H907" s="150">
        <v>25818</v>
      </c>
      <c r="I907" s="150">
        <v>13019931</v>
      </c>
      <c r="J907" s="150" t="s">
        <v>1203</v>
      </c>
      <c r="K907" s="150">
        <v>140</v>
      </c>
      <c r="L907" s="150">
        <v>833</v>
      </c>
      <c r="M907" s="150">
        <v>226.54999999999998</v>
      </c>
      <c r="N907" s="150">
        <v>0</v>
      </c>
      <c r="O907" s="150">
        <v>69500</v>
      </c>
      <c r="P907" s="150">
        <v>73548</v>
      </c>
      <c r="Q907" s="150">
        <v>73774.55</v>
      </c>
      <c r="R907" s="150">
        <v>73774.55</v>
      </c>
    </row>
    <row r="908" spans="1:18" x14ac:dyDescent="0.25">
      <c r="A908" t="str">
        <f t="shared" si="14"/>
        <v>32-7-128</v>
      </c>
      <c r="B908">
        <v>32</v>
      </c>
      <c r="C908" s="150" t="s">
        <v>1184</v>
      </c>
      <c r="D908" s="150">
        <v>7</v>
      </c>
      <c r="E908" s="150" t="s">
        <v>681</v>
      </c>
      <c r="F908" s="150">
        <v>128</v>
      </c>
      <c r="G908" s="150" t="s">
        <v>562</v>
      </c>
      <c r="H908" s="150">
        <v>0</v>
      </c>
      <c r="I908" s="150">
        <v>3388677</v>
      </c>
      <c r="J908" s="150" t="s">
        <v>1203</v>
      </c>
      <c r="K908" s="150">
        <v>327</v>
      </c>
      <c r="L908" s="150">
        <v>98</v>
      </c>
      <c r="M908" s="150">
        <v>19.37</v>
      </c>
      <c r="N908" s="150">
        <v>0</v>
      </c>
      <c r="O908" s="150">
        <v>11681</v>
      </c>
      <c r="P908" s="150">
        <v>12045</v>
      </c>
      <c r="Q908" s="150">
        <v>12489.37</v>
      </c>
      <c r="R908" s="150">
        <v>12489.37</v>
      </c>
    </row>
    <row r="909" spans="1:18" x14ac:dyDescent="0.25">
      <c r="A909" t="str">
        <f t="shared" si="14"/>
        <v>32-9-142</v>
      </c>
      <c r="B909">
        <v>32</v>
      </c>
      <c r="C909" s="150" t="s">
        <v>1184</v>
      </c>
      <c r="D909" s="150">
        <v>9</v>
      </c>
      <c r="E909" s="150" t="s">
        <v>683</v>
      </c>
      <c r="F909" s="150">
        <v>142</v>
      </c>
      <c r="G909" s="150" t="s">
        <v>1058</v>
      </c>
      <c r="H909" s="150">
        <v>0</v>
      </c>
      <c r="I909" s="150">
        <v>0</v>
      </c>
      <c r="J909" s="150" t="s">
        <v>1203</v>
      </c>
      <c r="K909" s="150">
        <v>648</v>
      </c>
      <c r="L909" s="150">
        <v>183</v>
      </c>
      <c r="M909" s="150">
        <v>39.28</v>
      </c>
      <c r="N909" s="150">
        <v>0</v>
      </c>
      <c r="O909" s="150">
        <v>24237</v>
      </c>
      <c r="P909" s="150">
        <v>24995</v>
      </c>
      <c r="Q909" s="150">
        <v>25928.28</v>
      </c>
      <c r="R909" s="150">
        <v>25928.28</v>
      </c>
    </row>
    <row r="910" spans="1:18" x14ac:dyDescent="0.25">
      <c r="A910" t="str">
        <f t="shared" si="14"/>
        <v>32-11-54</v>
      </c>
      <c r="B910">
        <v>32</v>
      </c>
      <c r="C910" s="150" t="s">
        <v>1184</v>
      </c>
      <c r="D910" s="150">
        <v>11</v>
      </c>
      <c r="E910" s="150" t="s">
        <v>1204</v>
      </c>
      <c r="F910" s="150">
        <v>54</v>
      </c>
      <c r="G910" s="150" t="s">
        <v>565</v>
      </c>
      <c r="H910" s="150">
        <v>0</v>
      </c>
      <c r="I910" s="150">
        <v>3477784</v>
      </c>
      <c r="J910" s="150" t="s">
        <v>1203</v>
      </c>
      <c r="K910" s="150">
        <v>2694</v>
      </c>
      <c r="L910" s="150">
        <v>602</v>
      </c>
      <c r="M910" s="150">
        <v>162.31</v>
      </c>
      <c r="N910" s="150">
        <v>0</v>
      </c>
      <c r="O910" s="150">
        <v>97636</v>
      </c>
      <c r="P910" s="150">
        <v>100683</v>
      </c>
      <c r="Q910" s="150">
        <v>103458.31</v>
      </c>
      <c r="R910" s="150">
        <v>103458.31</v>
      </c>
    </row>
    <row r="911" spans="1:18" x14ac:dyDescent="0.25">
      <c r="A911" t="str">
        <f t="shared" si="14"/>
        <v>32-14-36</v>
      </c>
      <c r="B911">
        <v>32</v>
      </c>
      <c r="C911" s="150" t="s">
        <v>1184</v>
      </c>
      <c r="D911" s="150">
        <v>14</v>
      </c>
      <c r="E911" s="150" t="s">
        <v>665</v>
      </c>
      <c r="F911" s="150">
        <v>36</v>
      </c>
      <c r="G911" s="150" t="s">
        <v>567</v>
      </c>
      <c r="H911" s="150">
        <v>0</v>
      </c>
      <c r="I911" s="150">
        <v>2461369</v>
      </c>
      <c r="J911" s="150" t="s">
        <v>1203</v>
      </c>
      <c r="K911" s="150">
        <v>360</v>
      </c>
      <c r="L911" s="150">
        <v>228</v>
      </c>
      <c r="M911" s="150">
        <v>46.160000000000004</v>
      </c>
      <c r="N911" s="150">
        <v>0</v>
      </c>
      <c r="O911" s="150">
        <v>27024</v>
      </c>
      <c r="P911" s="150">
        <v>27869</v>
      </c>
      <c r="Q911" s="150">
        <v>28903.16</v>
      </c>
      <c r="R911" s="150">
        <v>28903.16</v>
      </c>
    </row>
    <row r="912" spans="1:18" x14ac:dyDescent="0.25">
      <c r="A912" t="str">
        <f t="shared" si="14"/>
        <v>32-4-131</v>
      </c>
      <c r="B912">
        <v>32</v>
      </c>
      <c r="C912" s="150" t="s">
        <v>1184</v>
      </c>
      <c r="D912" s="150">
        <v>4</v>
      </c>
      <c r="E912" s="150" t="s">
        <v>146</v>
      </c>
      <c r="F912" s="150">
        <v>131</v>
      </c>
      <c r="G912" s="150" t="s">
        <v>1055</v>
      </c>
      <c r="H912" s="150">
        <v>0</v>
      </c>
      <c r="I912" s="150">
        <v>11697161</v>
      </c>
      <c r="J912" s="150" t="s">
        <v>1203</v>
      </c>
      <c r="K912" s="150">
        <v>601</v>
      </c>
      <c r="L912" s="150">
        <v>4640</v>
      </c>
      <c r="M912" s="150">
        <v>1381.9099999999999</v>
      </c>
      <c r="N912" s="150">
        <v>0</v>
      </c>
      <c r="O912" s="150">
        <v>12000</v>
      </c>
      <c r="P912" s="150">
        <v>13198</v>
      </c>
      <c r="Q912" s="150">
        <v>12800</v>
      </c>
      <c r="R912" s="150">
        <v>13198</v>
      </c>
    </row>
    <row r="913" spans="1:18" x14ac:dyDescent="0.25">
      <c r="A913" t="str">
        <f t="shared" si="14"/>
        <v>25-7-129</v>
      </c>
      <c r="B913">
        <v>25</v>
      </c>
      <c r="C913" s="150" t="s">
        <v>1177</v>
      </c>
      <c r="D913" s="150">
        <v>7</v>
      </c>
      <c r="E913" s="150" t="s">
        <v>681</v>
      </c>
      <c r="F913" s="150">
        <v>129</v>
      </c>
      <c r="G913" s="150" t="s">
        <v>466</v>
      </c>
      <c r="H913" s="150">
        <v>801</v>
      </c>
      <c r="I913" s="150">
        <v>4253654</v>
      </c>
      <c r="J913" s="150" t="s">
        <v>1203</v>
      </c>
      <c r="K913" s="150">
        <v>28</v>
      </c>
      <c r="L913" s="150">
        <v>172</v>
      </c>
      <c r="M913" s="150">
        <v>7.7200000000000006</v>
      </c>
      <c r="N913" s="150">
        <v>0</v>
      </c>
      <c r="O913" s="150">
        <v>10321</v>
      </c>
      <c r="P913" s="150">
        <v>10732</v>
      </c>
      <c r="Q913" s="150">
        <v>11175.72</v>
      </c>
      <c r="R913" s="150">
        <v>11175.72</v>
      </c>
    </row>
    <row r="914" spans="1:18" x14ac:dyDescent="0.25">
      <c r="A914" t="str">
        <f t="shared" si="14"/>
        <v>10-4-98</v>
      </c>
      <c r="B914">
        <v>10</v>
      </c>
      <c r="C914" s="150" t="s">
        <v>1162</v>
      </c>
      <c r="D914" s="150">
        <v>4</v>
      </c>
      <c r="E914" s="150" t="s">
        <v>146</v>
      </c>
      <c r="F914" s="150">
        <v>98</v>
      </c>
      <c r="G914" s="150" t="s">
        <v>828</v>
      </c>
      <c r="H914" s="150">
        <v>0</v>
      </c>
      <c r="I914" s="150">
        <v>3355497</v>
      </c>
      <c r="J914" s="150">
        <v>1</v>
      </c>
      <c r="K914" s="150">
        <v>20824</v>
      </c>
      <c r="L914" s="150">
        <v>9751</v>
      </c>
      <c r="M914" s="150">
        <v>758.38</v>
      </c>
      <c r="N914" s="150">
        <v>0</v>
      </c>
      <c r="O914" s="150">
        <v>34187</v>
      </c>
      <c r="P914" s="150">
        <v>35681</v>
      </c>
      <c r="Q914" s="150">
        <v>37189</v>
      </c>
      <c r="R914" s="150">
        <v>37189</v>
      </c>
    </row>
    <row r="915" spans="1:18" x14ac:dyDescent="0.25">
      <c r="A915" t="str">
        <f t="shared" si="14"/>
        <v>26-4-98</v>
      </c>
      <c r="B915">
        <v>26</v>
      </c>
      <c r="C915" s="150" t="s">
        <v>1178</v>
      </c>
      <c r="D915" s="150">
        <v>4</v>
      </c>
      <c r="E915" s="150" t="s">
        <v>146</v>
      </c>
      <c r="F915" s="150">
        <v>98</v>
      </c>
      <c r="G915" s="150" t="s">
        <v>828</v>
      </c>
      <c r="H915" s="150">
        <v>0</v>
      </c>
      <c r="I915" s="150">
        <v>2125421</v>
      </c>
      <c r="J915" s="150">
        <v>1</v>
      </c>
      <c r="K915" s="150">
        <v>20824</v>
      </c>
      <c r="L915" s="150">
        <v>9751</v>
      </c>
      <c r="M915" s="150">
        <v>758.38</v>
      </c>
      <c r="N915" s="150">
        <v>0</v>
      </c>
      <c r="O915" s="150">
        <v>34187</v>
      </c>
      <c r="P915" s="150">
        <v>35681</v>
      </c>
      <c r="Q915" s="150">
        <v>37189</v>
      </c>
      <c r="R915" s="150">
        <v>37189</v>
      </c>
    </row>
    <row r="916" spans="1:18" x14ac:dyDescent="0.25">
      <c r="A916" t="str">
        <f t="shared" si="14"/>
        <v>21-7-130</v>
      </c>
      <c r="B916">
        <v>21</v>
      </c>
      <c r="C916" s="150" t="s">
        <v>1173</v>
      </c>
      <c r="D916" s="150">
        <v>7</v>
      </c>
      <c r="E916" s="150" t="s">
        <v>681</v>
      </c>
      <c r="F916" s="150">
        <v>130</v>
      </c>
      <c r="G916" s="150" t="s">
        <v>416</v>
      </c>
      <c r="H916" s="150">
        <v>0</v>
      </c>
      <c r="I916" s="150">
        <v>2758823</v>
      </c>
      <c r="J916" s="150" t="s">
        <v>1203</v>
      </c>
      <c r="K916" s="150">
        <v>149</v>
      </c>
      <c r="L916" s="150">
        <v>9</v>
      </c>
      <c r="M916" s="150">
        <v>2.1</v>
      </c>
      <c r="N916" s="150">
        <v>0</v>
      </c>
      <c r="O916" s="150">
        <v>4623</v>
      </c>
      <c r="P916" s="150">
        <v>4890</v>
      </c>
      <c r="Q916" s="150">
        <v>5102.1000000000004</v>
      </c>
      <c r="R916" s="150">
        <v>5102.1000000000004</v>
      </c>
    </row>
    <row r="917" spans="1:18" x14ac:dyDescent="0.25">
      <c r="A917" t="str">
        <f t="shared" si="14"/>
        <v>38-7-132</v>
      </c>
      <c r="B917">
        <v>38</v>
      </c>
      <c r="C917" s="150" t="s">
        <v>1189</v>
      </c>
      <c r="D917" s="150">
        <v>7</v>
      </c>
      <c r="E917" s="150" t="s">
        <v>681</v>
      </c>
      <c r="F917" s="150">
        <v>132</v>
      </c>
      <c r="G917" s="150" t="s">
        <v>1094</v>
      </c>
      <c r="H917" s="150">
        <v>12135</v>
      </c>
      <c r="I917" s="150">
        <v>45132435</v>
      </c>
      <c r="J917" s="150" t="s">
        <v>1203</v>
      </c>
      <c r="K917" s="150">
        <v>702</v>
      </c>
      <c r="L917" s="150">
        <v>2706</v>
      </c>
      <c r="M917" s="150">
        <v>411.37</v>
      </c>
      <c r="N917" s="150">
        <v>0</v>
      </c>
      <c r="O917" s="150">
        <v>158579</v>
      </c>
      <c r="P917" s="150">
        <v>161402</v>
      </c>
      <c r="Q917" s="150">
        <v>168851.37</v>
      </c>
      <c r="R917" s="150">
        <v>168851.37</v>
      </c>
    </row>
    <row r="918" spans="1:18" x14ac:dyDescent="0.25">
      <c r="A918" t="str">
        <f t="shared" si="14"/>
        <v>37-7-131</v>
      </c>
      <c r="B918">
        <v>37</v>
      </c>
      <c r="C918" s="150" t="s">
        <v>1188</v>
      </c>
      <c r="D918" s="150">
        <v>7</v>
      </c>
      <c r="E918" s="150" t="s">
        <v>681</v>
      </c>
      <c r="F918" s="150">
        <v>131</v>
      </c>
      <c r="G918" s="150" t="s">
        <v>1083</v>
      </c>
      <c r="H918" s="150">
        <v>179</v>
      </c>
      <c r="I918" s="150">
        <v>6550263</v>
      </c>
      <c r="J918" s="150" t="s">
        <v>1203</v>
      </c>
      <c r="K918" s="150">
        <v>570</v>
      </c>
      <c r="L918" s="150">
        <v>63</v>
      </c>
      <c r="M918" s="150">
        <v>11.91</v>
      </c>
      <c r="N918" s="150">
        <v>0</v>
      </c>
      <c r="O918" s="150">
        <v>6477</v>
      </c>
      <c r="P918" s="150">
        <v>6690</v>
      </c>
      <c r="Q918" s="150">
        <v>7034.91</v>
      </c>
      <c r="R918" s="150">
        <v>7034.91</v>
      </c>
    </row>
    <row r="919" spans="1:18" x14ac:dyDescent="0.25">
      <c r="A919" t="str">
        <f t="shared" si="14"/>
        <v>6-7-133</v>
      </c>
      <c r="B919">
        <v>6</v>
      </c>
      <c r="C919" s="150" t="s">
        <v>1159</v>
      </c>
      <c r="D919" s="150">
        <v>7</v>
      </c>
      <c r="E919" s="150" t="s">
        <v>681</v>
      </c>
      <c r="F919" s="150">
        <v>133</v>
      </c>
      <c r="G919" s="150" t="s">
        <v>228</v>
      </c>
      <c r="H919" s="150">
        <v>0</v>
      </c>
      <c r="I919" s="150">
        <v>12844490</v>
      </c>
      <c r="J919" s="150" t="s">
        <v>1203</v>
      </c>
      <c r="K919" s="150">
        <v>3627</v>
      </c>
      <c r="L919" s="150">
        <v>384</v>
      </c>
      <c r="M919" s="150">
        <v>335.8</v>
      </c>
      <c r="N919" s="150">
        <v>0</v>
      </c>
      <c r="O919" s="150">
        <v>58057</v>
      </c>
      <c r="P919" s="150">
        <v>61288</v>
      </c>
      <c r="Q919" s="150">
        <v>61623.8</v>
      </c>
      <c r="R919" s="150">
        <v>61623.8</v>
      </c>
    </row>
    <row r="920" spans="1:18" x14ac:dyDescent="0.25">
      <c r="A920" t="str">
        <f t="shared" si="14"/>
        <v>6-7-134</v>
      </c>
      <c r="B920">
        <v>6</v>
      </c>
      <c r="C920" s="150" t="s">
        <v>1159</v>
      </c>
      <c r="D920" s="150">
        <v>7</v>
      </c>
      <c r="E920" s="150" t="s">
        <v>681</v>
      </c>
      <c r="F920" s="150">
        <v>134</v>
      </c>
      <c r="G920" s="150" t="s">
        <v>778</v>
      </c>
      <c r="H920" s="150">
        <v>0</v>
      </c>
      <c r="I920" s="150">
        <v>3222252</v>
      </c>
      <c r="J920" s="150" t="s">
        <v>1203</v>
      </c>
      <c r="K920" s="150">
        <v>475</v>
      </c>
      <c r="L920" s="150">
        <v>41</v>
      </c>
      <c r="M920" s="150">
        <v>5.0599999999999996</v>
      </c>
      <c r="N920" s="150">
        <v>0</v>
      </c>
      <c r="O920" s="150">
        <v>5754</v>
      </c>
      <c r="P920" s="150">
        <v>5999</v>
      </c>
      <c r="Q920" s="150">
        <v>6256.06</v>
      </c>
      <c r="R920" s="150">
        <v>6256.06</v>
      </c>
    </row>
    <row r="921" spans="1:18" x14ac:dyDescent="0.25">
      <c r="A921" t="str">
        <f t="shared" si="14"/>
        <v>22-7-135</v>
      </c>
      <c r="B921">
        <v>22</v>
      </c>
      <c r="C921" s="150" t="s">
        <v>1174</v>
      </c>
      <c r="D921" s="150">
        <v>7</v>
      </c>
      <c r="E921" s="150" t="s">
        <v>681</v>
      </c>
      <c r="F921" s="150">
        <v>135</v>
      </c>
      <c r="G921" s="150" t="s">
        <v>951</v>
      </c>
      <c r="H921" s="150">
        <v>4260</v>
      </c>
      <c r="I921" s="150">
        <v>8525641</v>
      </c>
      <c r="J921" s="150" t="s">
        <v>1203</v>
      </c>
      <c r="K921" s="150">
        <v>163</v>
      </c>
      <c r="L921" s="150">
        <v>428</v>
      </c>
      <c r="M921" s="150">
        <v>92.51</v>
      </c>
      <c r="N921" s="150">
        <v>0</v>
      </c>
      <c r="O921" s="150">
        <v>22846</v>
      </c>
      <c r="P921" s="150">
        <v>23950</v>
      </c>
      <c r="Q921" s="150">
        <v>25038.51</v>
      </c>
      <c r="R921" s="150">
        <v>25038.51</v>
      </c>
    </row>
    <row r="922" spans="1:18" x14ac:dyDescent="0.25">
      <c r="A922" t="str">
        <f t="shared" si="14"/>
        <v>26-7-136</v>
      </c>
      <c r="B922">
        <v>26</v>
      </c>
      <c r="C922" s="150" t="s">
        <v>1178</v>
      </c>
      <c r="D922" s="150">
        <v>7</v>
      </c>
      <c r="E922" s="150" t="s">
        <v>681</v>
      </c>
      <c r="F922" s="150">
        <v>136</v>
      </c>
      <c r="G922" s="150" t="s">
        <v>990</v>
      </c>
      <c r="H922" s="150">
        <v>0</v>
      </c>
      <c r="I922" s="150">
        <v>18774976</v>
      </c>
      <c r="J922" s="150" t="s">
        <v>1203</v>
      </c>
      <c r="K922" s="150">
        <v>1560</v>
      </c>
      <c r="L922" s="150">
        <v>327</v>
      </c>
      <c r="M922" s="150">
        <v>106.11</v>
      </c>
      <c r="N922" s="150">
        <v>0</v>
      </c>
      <c r="O922" s="150">
        <v>39240</v>
      </c>
      <c r="P922" s="150">
        <v>41402</v>
      </c>
      <c r="Q922" s="150">
        <v>43578.11</v>
      </c>
      <c r="R922" s="150">
        <v>43578.11</v>
      </c>
    </row>
    <row r="923" spans="1:18" x14ac:dyDescent="0.25">
      <c r="A923" t="str">
        <f t="shared" si="14"/>
        <v>26-15-8</v>
      </c>
      <c r="B923">
        <v>26</v>
      </c>
      <c r="C923" s="150" t="s">
        <v>1178</v>
      </c>
      <c r="D923" s="150">
        <v>15</v>
      </c>
      <c r="E923" s="150" t="s">
        <v>237</v>
      </c>
      <c r="F923" s="150">
        <v>8</v>
      </c>
      <c r="G923" s="150" t="s">
        <v>996</v>
      </c>
      <c r="H923" s="150">
        <v>10248</v>
      </c>
      <c r="I923" s="150">
        <v>9428780</v>
      </c>
      <c r="J923" s="150" t="s">
        <v>1203</v>
      </c>
      <c r="K923" s="150">
        <v>968</v>
      </c>
      <c r="L923" s="150">
        <v>831</v>
      </c>
      <c r="M923" s="150">
        <v>213.04</v>
      </c>
      <c r="N923" s="150">
        <v>0</v>
      </c>
      <c r="O923" s="150">
        <v>50386</v>
      </c>
      <c r="P923" s="150">
        <v>51000</v>
      </c>
      <c r="Q923" s="150">
        <v>51000.04</v>
      </c>
      <c r="R923" s="150">
        <v>51000.04</v>
      </c>
    </row>
    <row r="924" spans="1:18" x14ac:dyDescent="0.25">
      <c r="A924" t="str">
        <f t="shared" si="14"/>
        <v>26-9-113</v>
      </c>
      <c r="B924">
        <v>26</v>
      </c>
      <c r="C924" s="150" t="s">
        <v>1178</v>
      </c>
      <c r="D924" s="150">
        <v>9</v>
      </c>
      <c r="E924" s="150" t="s">
        <v>683</v>
      </c>
      <c r="F924" s="150">
        <v>113</v>
      </c>
      <c r="G924" s="150" t="s">
        <v>993</v>
      </c>
      <c r="H924" s="150">
        <v>0</v>
      </c>
      <c r="I924" s="150">
        <v>358000</v>
      </c>
      <c r="J924" s="150" t="s">
        <v>1203</v>
      </c>
      <c r="K924" s="150">
        <v>4191</v>
      </c>
      <c r="L924" s="150">
        <v>442</v>
      </c>
      <c r="M924" s="150">
        <v>102.73</v>
      </c>
      <c r="N924" s="150">
        <v>0</v>
      </c>
      <c r="O924" s="150">
        <v>104743</v>
      </c>
      <c r="P924" s="150">
        <v>110589</v>
      </c>
      <c r="Q924" s="150">
        <v>116775.73</v>
      </c>
      <c r="R924" s="150">
        <v>116775.73</v>
      </c>
    </row>
    <row r="925" spans="1:18" x14ac:dyDescent="0.25">
      <c r="A925" t="str">
        <f t="shared" si="14"/>
        <v>16-9-145</v>
      </c>
      <c r="B925">
        <v>16</v>
      </c>
      <c r="C925" s="150" t="s">
        <v>1168</v>
      </c>
      <c r="D925" s="150">
        <v>9</v>
      </c>
      <c r="E925" s="150" t="s">
        <v>683</v>
      </c>
      <c r="F925" s="150">
        <v>145</v>
      </c>
      <c r="G925" s="150" t="s">
        <v>881</v>
      </c>
      <c r="H925" s="150">
        <v>0</v>
      </c>
      <c r="I925" s="150">
        <v>0</v>
      </c>
      <c r="J925" s="150">
        <v>1</v>
      </c>
      <c r="K925" s="150">
        <v>22579</v>
      </c>
      <c r="L925" s="150">
        <v>4941</v>
      </c>
      <c r="M925" s="150">
        <v>1884.1200000000001</v>
      </c>
      <c r="N925" s="150">
        <v>0</v>
      </c>
      <c r="O925" s="150">
        <v>1007342</v>
      </c>
      <c r="P925" s="150">
        <v>1073554</v>
      </c>
      <c r="Q925" s="150">
        <v>1141756.1200000001</v>
      </c>
      <c r="R925" s="150">
        <v>1141756.1200000001</v>
      </c>
    </row>
    <row r="926" spans="1:18" x14ac:dyDescent="0.25">
      <c r="A926" t="str">
        <f t="shared" si="14"/>
        <v>42-9-145</v>
      </c>
      <c r="B926">
        <v>42</v>
      </c>
      <c r="C926" s="150" t="s">
        <v>1194</v>
      </c>
      <c r="D926" s="150">
        <v>9</v>
      </c>
      <c r="E926" s="150" t="s">
        <v>683</v>
      </c>
      <c r="F926" s="150">
        <v>145</v>
      </c>
      <c r="G926" s="150" t="s">
        <v>881</v>
      </c>
      <c r="H926" s="150">
        <v>0</v>
      </c>
      <c r="I926" s="150">
        <v>6340982</v>
      </c>
      <c r="J926" s="150">
        <v>1</v>
      </c>
      <c r="K926" s="150">
        <v>22579</v>
      </c>
      <c r="L926" s="150">
        <v>4941</v>
      </c>
      <c r="M926" s="150">
        <v>1884.1200000000001</v>
      </c>
      <c r="N926" s="150">
        <v>0</v>
      </c>
      <c r="O926" s="150">
        <v>1007342</v>
      </c>
      <c r="P926" s="150">
        <v>1073554</v>
      </c>
      <c r="Q926" s="150">
        <v>1141756.1200000001</v>
      </c>
      <c r="R926" s="150">
        <v>1141756.1200000001</v>
      </c>
    </row>
    <row r="927" spans="1:18" x14ac:dyDescent="0.25">
      <c r="A927" t="str">
        <f t="shared" si="14"/>
        <v>39-9-161</v>
      </c>
      <c r="B927">
        <v>39</v>
      </c>
      <c r="C927" s="150" t="s">
        <v>164</v>
      </c>
      <c r="D927" s="150">
        <v>9</v>
      </c>
      <c r="E927" s="150" t="s">
        <v>683</v>
      </c>
      <c r="F927" s="150">
        <v>161</v>
      </c>
      <c r="G927" s="150" t="s">
        <v>1104</v>
      </c>
      <c r="H927" s="150">
        <v>0</v>
      </c>
      <c r="I927" s="150">
        <v>0</v>
      </c>
      <c r="J927" s="150" t="s">
        <v>1203</v>
      </c>
      <c r="K927" s="150">
        <v>865</v>
      </c>
      <c r="L927" s="150">
        <v>697</v>
      </c>
      <c r="M927" s="150">
        <v>102.69</v>
      </c>
      <c r="N927" s="150">
        <v>0</v>
      </c>
      <c r="O927" s="150">
        <v>42509</v>
      </c>
      <c r="P927" s="150">
        <v>43822</v>
      </c>
      <c r="Q927" s="150">
        <v>45232.69</v>
      </c>
      <c r="R927" s="150">
        <v>45232.69</v>
      </c>
    </row>
    <row r="928" spans="1:18" x14ac:dyDescent="0.25">
      <c r="A928" t="str">
        <f t="shared" si="14"/>
        <v>39-14-37</v>
      </c>
      <c r="B928">
        <v>39</v>
      </c>
      <c r="C928" s="150" t="s">
        <v>164</v>
      </c>
      <c r="D928" s="150">
        <v>14</v>
      </c>
      <c r="E928" s="150" t="s">
        <v>665</v>
      </c>
      <c r="F928" s="150">
        <v>37</v>
      </c>
      <c r="G928" s="150" t="s">
        <v>623</v>
      </c>
      <c r="H928" s="150">
        <v>1587</v>
      </c>
      <c r="I928" s="150">
        <v>3114315</v>
      </c>
      <c r="J928" s="150" t="s">
        <v>1203</v>
      </c>
      <c r="K928" s="150">
        <v>1735</v>
      </c>
      <c r="L928" s="150">
        <v>402</v>
      </c>
      <c r="M928" s="150">
        <v>75.77</v>
      </c>
      <c r="N928" s="150">
        <v>0</v>
      </c>
      <c r="O928" s="150">
        <v>32378</v>
      </c>
      <c r="P928" s="150">
        <v>34265</v>
      </c>
      <c r="Q928" s="150">
        <v>35692.769999999997</v>
      </c>
      <c r="R928" s="150">
        <v>35692.769999999997</v>
      </c>
    </row>
    <row r="929" spans="1:18" x14ac:dyDescent="0.25">
      <c r="A929" t="str">
        <f t="shared" si="14"/>
        <v>39-4-157</v>
      </c>
      <c r="B929">
        <v>39</v>
      </c>
      <c r="C929" s="150" t="s">
        <v>164</v>
      </c>
      <c r="D929" s="150">
        <v>4</v>
      </c>
      <c r="E929" s="150" t="s">
        <v>146</v>
      </c>
      <c r="F929" s="150">
        <v>157</v>
      </c>
      <c r="G929" s="150" t="s">
        <v>1098</v>
      </c>
      <c r="H929" s="150">
        <v>0</v>
      </c>
      <c r="I929" s="150">
        <v>3114315</v>
      </c>
      <c r="J929" s="150" t="s">
        <v>1203</v>
      </c>
      <c r="K929" s="150">
        <v>25843</v>
      </c>
      <c r="L929" s="150">
        <v>4941</v>
      </c>
      <c r="M929" s="150">
        <v>463.53999999999996</v>
      </c>
      <c r="N929" s="150">
        <v>0</v>
      </c>
      <c r="O929" s="150">
        <v>4069</v>
      </c>
      <c r="P929" s="150">
        <v>17359</v>
      </c>
      <c r="Q929" s="150">
        <v>17904</v>
      </c>
      <c r="R929" s="150">
        <v>17904</v>
      </c>
    </row>
    <row r="930" spans="1:18" x14ac:dyDescent="0.25">
      <c r="A930" t="str">
        <f t="shared" si="14"/>
        <v>14-7-138</v>
      </c>
      <c r="B930">
        <v>14</v>
      </c>
      <c r="C930" s="150" t="s">
        <v>1166</v>
      </c>
      <c r="D930" s="150">
        <v>7</v>
      </c>
      <c r="E930" s="150" t="s">
        <v>681</v>
      </c>
      <c r="F930" s="150">
        <v>138</v>
      </c>
      <c r="G930" s="150" t="s">
        <v>321</v>
      </c>
      <c r="H930" s="150">
        <v>1421</v>
      </c>
      <c r="I930" s="150">
        <v>6060623</v>
      </c>
      <c r="J930" s="150" t="s">
        <v>1203</v>
      </c>
      <c r="K930" s="150">
        <v>974</v>
      </c>
      <c r="L930" s="150">
        <v>143</v>
      </c>
      <c r="M930" s="150">
        <v>13.68</v>
      </c>
      <c r="N930" s="150">
        <v>0</v>
      </c>
      <c r="O930" s="150">
        <v>25312</v>
      </c>
      <c r="P930" s="150">
        <v>26421</v>
      </c>
      <c r="Q930" s="150">
        <v>27622.68</v>
      </c>
      <c r="R930" s="150">
        <v>27622.68</v>
      </c>
    </row>
    <row r="931" spans="1:18" x14ac:dyDescent="0.25">
      <c r="A931" t="str">
        <f t="shared" si="14"/>
        <v>34-7-139</v>
      </c>
      <c r="B931">
        <v>34</v>
      </c>
      <c r="C931" s="150" t="s">
        <v>1186</v>
      </c>
      <c r="D931" s="150">
        <v>7</v>
      </c>
      <c r="E931" s="150" t="s">
        <v>681</v>
      </c>
      <c r="F931" s="150">
        <v>139</v>
      </c>
      <c r="G931" s="150" t="s">
        <v>1068</v>
      </c>
      <c r="H931" s="150">
        <v>0</v>
      </c>
      <c r="I931" s="150">
        <v>58765400</v>
      </c>
      <c r="J931" s="150" t="s">
        <v>1203</v>
      </c>
      <c r="K931" s="150">
        <v>5860</v>
      </c>
      <c r="L931" s="150">
        <v>2410</v>
      </c>
      <c r="M931" s="150">
        <v>865.56999999999994</v>
      </c>
      <c r="N931" s="150">
        <v>0</v>
      </c>
      <c r="O931" s="150">
        <v>209079</v>
      </c>
      <c r="P931" s="150">
        <v>218515</v>
      </c>
      <c r="Q931" s="150">
        <v>227654.57</v>
      </c>
      <c r="R931" s="150">
        <v>227654.57</v>
      </c>
    </row>
    <row r="932" spans="1:18" x14ac:dyDescent="0.25">
      <c r="A932" t="str">
        <f t="shared" si="14"/>
        <v>3-14-39</v>
      </c>
      <c r="B932">
        <v>3</v>
      </c>
      <c r="C932" s="150" t="s">
        <v>1157</v>
      </c>
      <c r="D932" s="150">
        <v>14</v>
      </c>
      <c r="E932" s="150" t="s">
        <v>665</v>
      </c>
      <c r="F932" s="150">
        <v>39</v>
      </c>
      <c r="G932" s="150" t="s">
        <v>749</v>
      </c>
      <c r="H932" s="150">
        <v>0</v>
      </c>
      <c r="I932" s="150">
        <v>345892267</v>
      </c>
      <c r="J932" s="150" t="s">
        <v>1203</v>
      </c>
      <c r="K932" s="150">
        <v>3223</v>
      </c>
      <c r="L932" s="150">
        <v>2935</v>
      </c>
      <c r="M932" s="150">
        <v>1883.81</v>
      </c>
      <c r="N932" s="150">
        <v>0</v>
      </c>
      <c r="O932" s="150">
        <v>383179</v>
      </c>
      <c r="P932" s="150">
        <v>396826</v>
      </c>
      <c r="Q932" s="150">
        <v>412912.81</v>
      </c>
      <c r="R932" s="150">
        <v>412912.81</v>
      </c>
    </row>
    <row r="933" spans="1:18" x14ac:dyDescent="0.25">
      <c r="A933" t="str">
        <f t="shared" si="14"/>
        <v>19-5-8</v>
      </c>
      <c r="B933">
        <v>19</v>
      </c>
      <c r="C933" s="150" t="s">
        <v>1171</v>
      </c>
      <c r="D933" s="150">
        <v>5</v>
      </c>
      <c r="E933" s="150" t="s">
        <v>286</v>
      </c>
      <c r="F933" s="150">
        <v>8</v>
      </c>
      <c r="G933" s="150" t="s">
        <v>918</v>
      </c>
      <c r="H933" s="150">
        <v>0</v>
      </c>
      <c r="I933" s="150">
        <v>7212861</v>
      </c>
      <c r="J933" s="150" t="s">
        <v>1203</v>
      </c>
      <c r="K933" s="150">
        <v>930</v>
      </c>
      <c r="L933" s="150">
        <v>355</v>
      </c>
      <c r="M933" s="150">
        <v>122.4</v>
      </c>
      <c r="N933" s="150">
        <v>0</v>
      </c>
      <c r="O933" s="150">
        <v>51369</v>
      </c>
      <c r="P933" s="150">
        <v>53919</v>
      </c>
      <c r="Q933" s="150">
        <v>56319.4</v>
      </c>
      <c r="R933" s="150">
        <v>56319.4</v>
      </c>
    </row>
    <row r="934" spans="1:18" x14ac:dyDescent="0.25">
      <c r="A934" t="str">
        <f t="shared" si="14"/>
        <v>19-9-101</v>
      </c>
      <c r="B934">
        <v>19</v>
      </c>
      <c r="C934" s="150" t="s">
        <v>1171</v>
      </c>
      <c r="D934" s="150">
        <v>9</v>
      </c>
      <c r="E934" s="150" t="s">
        <v>683</v>
      </c>
      <c r="F934" s="150">
        <v>101</v>
      </c>
      <c r="G934" s="150" t="s">
        <v>920</v>
      </c>
      <c r="H934" s="150">
        <v>0</v>
      </c>
      <c r="I934" s="150">
        <v>272000</v>
      </c>
      <c r="J934" s="150" t="s">
        <v>1203</v>
      </c>
      <c r="K934" s="150">
        <v>2471</v>
      </c>
      <c r="L934" s="150">
        <v>326</v>
      </c>
      <c r="M934" s="150">
        <v>214.44</v>
      </c>
      <c r="N934" s="150">
        <v>0</v>
      </c>
      <c r="O934" s="150">
        <v>119688</v>
      </c>
      <c r="P934" s="150">
        <v>125680</v>
      </c>
      <c r="Q934" s="150">
        <v>131259.44</v>
      </c>
      <c r="R934" s="150">
        <v>131259.44</v>
      </c>
    </row>
    <row r="935" spans="1:18" x14ac:dyDescent="0.25">
      <c r="A935" t="str">
        <f t="shared" si="14"/>
        <v>22-9-80</v>
      </c>
      <c r="B935">
        <v>22</v>
      </c>
      <c r="C935" s="150" t="s">
        <v>1174</v>
      </c>
      <c r="D935" s="150">
        <v>9</v>
      </c>
      <c r="E935" s="150" t="s">
        <v>683</v>
      </c>
      <c r="F935" s="150">
        <v>80</v>
      </c>
      <c r="G935" s="150" t="s">
        <v>956</v>
      </c>
      <c r="H935" s="150">
        <v>0</v>
      </c>
      <c r="I935" s="150">
        <v>1110000</v>
      </c>
      <c r="J935" s="150" t="s">
        <v>1203</v>
      </c>
      <c r="K935" s="150">
        <v>8486</v>
      </c>
      <c r="L935" s="150">
        <v>5067</v>
      </c>
      <c r="M935" s="150">
        <v>991.16</v>
      </c>
      <c r="N935" s="150">
        <v>0</v>
      </c>
      <c r="O935" s="150">
        <v>552737</v>
      </c>
      <c r="P935" s="150">
        <v>566198</v>
      </c>
      <c r="Q935" s="150">
        <v>593126.16</v>
      </c>
      <c r="R935" s="150">
        <v>593126.16</v>
      </c>
    </row>
    <row r="936" spans="1:18" x14ac:dyDescent="0.25">
      <c r="A936" t="str">
        <f t="shared" si="14"/>
        <v>43-20-36</v>
      </c>
      <c r="B936">
        <v>43</v>
      </c>
      <c r="C936" s="150" t="s">
        <v>1192</v>
      </c>
      <c r="D936" s="150">
        <v>20</v>
      </c>
      <c r="E936" s="150" t="s">
        <v>238</v>
      </c>
      <c r="F936" s="150">
        <v>36</v>
      </c>
      <c r="G936" s="150" t="s">
        <v>1145</v>
      </c>
      <c r="H936" s="150">
        <v>1616</v>
      </c>
      <c r="I936" s="150">
        <v>706792</v>
      </c>
      <c r="J936" s="150" t="s">
        <v>1203</v>
      </c>
      <c r="K936" s="150">
        <v>0</v>
      </c>
      <c r="L936" s="150">
        <v>0</v>
      </c>
      <c r="M936" s="150">
        <v>0.16</v>
      </c>
      <c r="N936" s="150">
        <v>0</v>
      </c>
      <c r="O936" s="150">
        <v>18655</v>
      </c>
      <c r="P936" s="150">
        <v>19323</v>
      </c>
      <c r="Q936" s="150">
        <v>20026.16</v>
      </c>
      <c r="R936" s="150">
        <v>20026.16</v>
      </c>
    </row>
    <row r="937" spans="1:18" x14ac:dyDescent="0.25">
      <c r="A937" t="str">
        <f t="shared" si="14"/>
        <v>30-4-119</v>
      </c>
      <c r="B937">
        <v>30</v>
      </c>
      <c r="C937" s="150" t="s">
        <v>1182</v>
      </c>
      <c r="D937" s="150">
        <v>4</v>
      </c>
      <c r="E937" s="150" t="s">
        <v>146</v>
      </c>
      <c r="F937" s="150">
        <v>119</v>
      </c>
      <c r="G937" s="150" t="s">
        <v>1039</v>
      </c>
      <c r="H937" s="150">
        <v>0</v>
      </c>
      <c r="I937" s="150">
        <v>8446847</v>
      </c>
      <c r="J937" s="150" t="s">
        <v>1203</v>
      </c>
      <c r="K937" s="150">
        <v>0</v>
      </c>
      <c r="L937" s="150">
        <v>166</v>
      </c>
      <c r="M937" s="150">
        <v>7.82</v>
      </c>
      <c r="N937" s="150">
        <v>0</v>
      </c>
      <c r="O937" s="150">
        <v>13462</v>
      </c>
      <c r="P937" s="150">
        <v>14007</v>
      </c>
      <c r="Q937" s="150">
        <v>14479</v>
      </c>
      <c r="R937" s="150">
        <v>14479</v>
      </c>
    </row>
    <row r="938" spans="1:18" x14ac:dyDescent="0.25">
      <c r="A938" t="str">
        <f t="shared" si="14"/>
        <v>1-15-5</v>
      </c>
      <c r="B938">
        <v>1</v>
      </c>
      <c r="C938" s="150" t="s">
        <v>1155</v>
      </c>
      <c r="D938" s="150">
        <v>15</v>
      </c>
      <c r="E938" s="150" t="s">
        <v>237</v>
      </c>
      <c r="F938" s="150">
        <v>5</v>
      </c>
      <c r="G938" s="150" t="s">
        <v>712</v>
      </c>
      <c r="H938" s="150">
        <v>320370</v>
      </c>
      <c r="I938" s="150">
        <v>766910950</v>
      </c>
      <c r="J938" s="150" t="s">
        <v>1203</v>
      </c>
      <c r="K938" s="150">
        <v>252</v>
      </c>
      <c r="L938" s="150">
        <v>7299</v>
      </c>
      <c r="M938" s="150">
        <v>1532.63</v>
      </c>
      <c r="N938" s="150">
        <v>666</v>
      </c>
      <c r="O938" s="150">
        <v>1333510</v>
      </c>
      <c r="P938" s="150">
        <v>1409404</v>
      </c>
      <c r="Q938" s="150">
        <v>1481065.63</v>
      </c>
      <c r="R938" s="150">
        <v>1481065.63</v>
      </c>
    </row>
    <row r="939" spans="1:18" x14ac:dyDescent="0.25">
      <c r="A939" t="str">
        <f t="shared" si="14"/>
        <v>9-9-139</v>
      </c>
      <c r="B939">
        <v>9</v>
      </c>
      <c r="C939" s="150" t="s">
        <v>1161</v>
      </c>
      <c r="D939" s="150">
        <v>9</v>
      </c>
      <c r="E939" s="150" t="s">
        <v>683</v>
      </c>
      <c r="F939" s="150">
        <v>139</v>
      </c>
      <c r="G939" s="150" t="s">
        <v>815</v>
      </c>
      <c r="H939" s="150">
        <v>40485</v>
      </c>
      <c r="I939" s="150">
        <v>14289074</v>
      </c>
      <c r="J939" s="150" t="s">
        <v>1203</v>
      </c>
      <c r="K939" s="150">
        <v>0</v>
      </c>
      <c r="L939" s="150">
        <v>0</v>
      </c>
      <c r="M939" s="150">
        <v>29.36</v>
      </c>
      <c r="N939" s="150">
        <v>0</v>
      </c>
      <c r="O939" s="150">
        <v>1531280</v>
      </c>
      <c r="P939" s="150">
        <v>1631611</v>
      </c>
      <c r="Q939" s="150">
        <v>1734694.36</v>
      </c>
      <c r="R939" s="150">
        <v>1734694.36</v>
      </c>
    </row>
    <row r="940" spans="1:18" x14ac:dyDescent="0.25">
      <c r="A940" t="str">
        <f t="shared" si="14"/>
        <v>25-5-33</v>
      </c>
      <c r="B940">
        <v>25</v>
      </c>
      <c r="C940" s="150" t="s">
        <v>1177</v>
      </c>
      <c r="D940" s="150">
        <v>5</v>
      </c>
      <c r="E940" s="150" t="s">
        <v>286</v>
      </c>
      <c r="F940" s="150">
        <v>33</v>
      </c>
      <c r="G940" s="150" t="s">
        <v>1374</v>
      </c>
      <c r="H940" s="150">
        <v>0</v>
      </c>
      <c r="I940" s="150">
        <v>8071817</v>
      </c>
      <c r="J940" s="150"/>
      <c r="K940" s="150">
        <v>0</v>
      </c>
      <c r="L940" s="150">
        <v>0</v>
      </c>
      <c r="M940" s="150">
        <v>0</v>
      </c>
      <c r="N940" s="150">
        <v>0</v>
      </c>
      <c r="O940" s="150">
        <v>0</v>
      </c>
      <c r="P940" s="150">
        <v>0</v>
      </c>
      <c r="Q940" s="150">
        <v>118891</v>
      </c>
      <c r="R940" s="150">
        <v>118891</v>
      </c>
    </row>
    <row r="941" spans="1:18" x14ac:dyDescent="0.25">
      <c r="A941" t="str">
        <f t="shared" si="14"/>
        <v>19-12-11</v>
      </c>
      <c r="B941">
        <v>19</v>
      </c>
      <c r="C941" s="150" t="s">
        <v>1171</v>
      </c>
      <c r="D941" s="150">
        <v>12</v>
      </c>
      <c r="E941" s="150" t="s">
        <v>151</v>
      </c>
      <c r="F941" s="150">
        <v>11</v>
      </c>
      <c r="G941" s="150" t="s">
        <v>393</v>
      </c>
      <c r="H941" s="150">
        <v>35842</v>
      </c>
      <c r="I941" s="150">
        <v>1916127</v>
      </c>
      <c r="J941" s="150" t="s">
        <v>1203</v>
      </c>
      <c r="K941" s="150">
        <v>61</v>
      </c>
      <c r="L941" s="150">
        <v>1129</v>
      </c>
      <c r="M941" s="150">
        <v>370.16999999999996</v>
      </c>
      <c r="N941" s="150">
        <v>0</v>
      </c>
      <c r="O941" s="150">
        <v>130493</v>
      </c>
      <c r="P941" s="150">
        <v>137823</v>
      </c>
      <c r="Q941" s="150">
        <v>145022.17000000001</v>
      </c>
      <c r="R941" s="150">
        <v>145022.17000000001</v>
      </c>
    </row>
    <row r="942" spans="1:18" x14ac:dyDescent="0.25">
      <c r="A942" t="str">
        <f t="shared" si="14"/>
        <v>2-4-202</v>
      </c>
      <c r="B942">
        <v>2</v>
      </c>
      <c r="C942" s="150" t="s">
        <v>1156</v>
      </c>
      <c r="D942" s="150">
        <v>4</v>
      </c>
      <c r="E942" s="150" t="s">
        <v>146</v>
      </c>
      <c r="F942" s="150">
        <v>202</v>
      </c>
      <c r="G942" s="150" t="s">
        <v>724</v>
      </c>
      <c r="H942" s="150">
        <v>0</v>
      </c>
      <c r="I942" s="150">
        <v>322332</v>
      </c>
      <c r="J942" s="150">
        <v>1</v>
      </c>
      <c r="K942" s="150">
        <v>1335</v>
      </c>
      <c r="L942" s="150">
        <v>10213</v>
      </c>
      <c r="M942" s="150">
        <v>492.38</v>
      </c>
      <c r="N942" s="150">
        <v>0</v>
      </c>
      <c r="O942" s="150">
        <v>10194</v>
      </c>
      <c r="P942" s="150">
        <v>10596</v>
      </c>
      <c r="Q942" s="150">
        <v>11023</v>
      </c>
      <c r="R942" s="150">
        <v>11023</v>
      </c>
    </row>
    <row r="943" spans="1:18" x14ac:dyDescent="0.25">
      <c r="A943" t="str">
        <f t="shared" si="14"/>
        <v>25-4-202</v>
      </c>
      <c r="B943">
        <v>25</v>
      </c>
      <c r="C943" s="150" t="s">
        <v>1177</v>
      </c>
      <c r="D943" s="150">
        <v>4</v>
      </c>
      <c r="E943" s="150" t="s">
        <v>146</v>
      </c>
      <c r="F943" s="150">
        <v>202</v>
      </c>
      <c r="G943" s="150" t="s">
        <v>724</v>
      </c>
      <c r="H943" s="150">
        <v>0</v>
      </c>
      <c r="I943" s="150">
        <v>8071817</v>
      </c>
      <c r="J943" s="150">
        <v>1</v>
      </c>
      <c r="K943" s="150">
        <v>1335</v>
      </c>
      <c r="L943" s="150">
        <v>10213</v>
      </c>
      <c r="M943" s="150">
        <v>492.38</v>
      </c>
      <c r="N943" s="150">
        <v>0</v>
      </c>
      <c r="O943" s="150">
        <v>10194</v>
      </c>
      <c r="P943" s="150">
        <v>10596</v>
      </c>
      <c r="Q943" s="150">
        <v>11023</v>
      </c>
      <c r="R943" s="150">
        <v>11023</v>
      </c>
    </row>
    <row r="944" spans="1:18" x14ac:dyDescent="0.25">
      <c r="A944" t="str">
        <f t="shared" si="14"/>
        <v>30-4-118</v>
      </c>
      <c r="B944">
        <v>30</v>
      </c>
      <c r="C944" s="150" t="s">
        <v>1182</v>
      </c>
      <c r="D944" s="150">
        <v>4</v>
      </c>
      <c r="E944" s="150" t="s">
        <v>146</v>
      </c>
      <c r="F944" s="150">
        <v>118</v>
      </c>
      <c r="G944" s="150" t="s">
        <v>1038</v>
      </c>
      <c r="H944" s="150">
        <v>0</v>
      </c>
      <c r="I944" s="150">
        <v>28380299</v>
      </c>
      <c r="J944" s="150" t="s">
        <v>1203</v>
      </c>
      <c r="K944" s="150">
        <v>0</v>
      </c>
      <c r="L944" s="150">
        <v>5764</v>
      </c>
      <c r="M944" s="150">
        <v>835.44999999999993</v>
      </c>
      <c r="N944" s="150">
        <v>0</v>
      </c>
      <c r="O944" s="150">
        <v>39987</v>
      </c>
      <c r="P944" s="150">
        <v>35250</v>
      </c>
      <c r="Q944" s="150">
        <v>41651</v>
      </c>
      <c r="R944" s="150">
        <v>41651</v>
      </c>
    </row>
    <row r="945" spans="1:18" x14ac:dyDescent="0.25">
      <c r="A945" t="str">
        <f t="shared" si="14"/>
        <v>42-9-146</v>
      </c>
      <c r="B945">
        <v>42</v>
      </c>
      <c r="C945" s="150" t="s">
        <v>1194</v>
      </c>
      <c r="D945" s="150">
        <v>9</v>
      </c>
      <c r="E945" s="150" t="s">
        <v>683</v>
      </c>
      <c r="F945" s="150">
        <v>146</v>
      </c>
      <c r="G945" s="150" t="s">
        <v>1132</v>
      </c>
      <c r="H945" s="150">
        <v>1236</v>
      </c>
      <c r="I945" s="150">
        <v>0</v>
      </c>
      <c r="J945" s="150" t="s">
        <v>1203</v>
      </c>
      <c r="K945" s="150">
        <v>0</v>
      </c>
      <c r="L945" s="150">
        <v>0</v>
      </c>
      <c r="M945" s="150">
        <v>0</v>
      </c>
      <c r="N945" s="150">
        <v>381</v>
      </c>
      <c r="O945" s="150">
        <v>102044</v>
      </c>
      <c r="P945" s="150">
        <v>105117</v>
      </c>
      <c r="Q945" s="150">
        <v>105117</v>
      </c>
      <c r="R945" s="150">
        <v>105117</v>
      </c>
    </row>
    <row r="946" spans="1:18" x14ac:dyDescent="0.25">
      <c r="A946" t="str">
        <f t="shared" si="14"/>
        <v>44-7-142</v>
      </c>
      <c r="B946">
        <v>44</v>
      </c>
      <c r="C946" s="150" t="s">
        <v>1193</v>
      </c>
      <c r="D946" s="150">
        <v>7</v>
      </c>
      <c r="E946" s="150" t="s">
        <v>681</v>
      </c>
      <c r="F946" s="150">
        <v>142</v>
      </c>
      <c r="G946" s="150" t="s">
        <v>675</v>
      </c>
      <c r="H946" s="150">
        <v>0</v>
      </c>
      <c r="I946" s="150">
        <v>87414610</v>
      </c>
      <c r="J946" s="150" t="s">
        <v>1203</v>
      </c>
      <c r="K946" s="150">
        <v>718</v>
      </c>
      <c r="L946" s="150">
        <v>298</v>
      </c>
      <c r="M946" s="150">
        <v>102.34</v>
      </c>
      <c r="N946" s="150">
        <v>0</v>
      </c>
      <c r="O946" s="150">
        <v>35410</v>
      </c>
      <c r="P946" s="150">
        <v>36914</v>
      </c>
      <c r="Q946" s="150">
        <v>38296.339999999997</v>
      </c>
      <c r="R946" s="150">
        <v>38296.339999999997</v>
      </c>
    </row>
    <row r="947" spans="1:18" x14ac:dyDescent="0.25">
      <c r="A947" t="str">
        <f t="shared" si="14"/>
        <v>9-9-174</v>
      </c>
      <c r="B947">
        <v>9</v>
      </c>
      <c r="C947" s="150" t="s">
        <v>1161</v>
      </c>
      <c r="D947" s="150">
        <v>9</v>
      </c>
      <c r="E947" s="150" t="s">
        <v>683</v>
      </c>
      <c r="F947" s="150">
        <v>174</v>
      </c>
      <c r="G947" s="150" t="s">
        <v>817</v>
      </c>
      <c r="H947" s="150">
        <v>0</v>
      </c>
      <c r="I947" s="150">
        <v>0</v>
      </c>
      <c r="J947" s="150" t="s">
        <v>1203</v>
      </c>
      <c r="K947" s="150">
        <v>0</v>
      </c>
      <c r="L947" s="150">
        <v>0</v>
      </c>
      <c r="M947" s="150">
        <v>0</v>
      </c>
      <c r="N947" s="150">
        <v>0</v>
      </c>
      <c r="O947" s="150">
        <v>304767</v>
      </c>
      <c r="P947" s="150">
        <v>319620</v>
      </c>
      <c r="Q947" s="150">
        <v>335734</v>
      </c>
      <c r="R947" s="150">
        <v>335734</v>
      </c>
    </row>
    <row r="948" spans="1:18" x14ac:dyDescent="0.25">
      <c r="A948" t="str">
        <f t="shared" si="14"/>
        <v>36-7-143</v>
      </c>
      <c r="B948">
        <v>36</v>
      </c>
      <c r="C948" s="150" t="s">
        <v>1187</v>
      </c>
      <c r="D948" s="150">
        <v>7</v>
      </c>
      <c r="E948" s="150" t="s">
        <v>681</v>
      </c>
      <c r="F948" s="150">
        <v>143</v>
      </c>
      <c r="G948" s="150" t="s">
        <v>596</v>
      </c>
      <c r="H948" s="150">
        <v>0</v>
      </c>
      <c r="I948" s="150">
        <v>3819847</v>
      </c>
      <c r="J948" s="150" t="s">
        <v>1203</v>
      </c>
      <c r="K948" s="150">
        <v>99</v>
      </c>
      <c r="L948" s="150">
        <v>1</v>
      </c>
      <c r="M948" s="150">
        <v>4.3099999999999996</v>
      </c>
      <c r="N948" s="150">
        <v>0</v>
      </c>
      <c r="O948" s="150">
        <v>3984</v>
      </c>
      <c r="P948" s="150">
        <v>4167</v>
      </c>
      <c r="Q948" s="150">
        <v>4469.3100000000004</v>
      </c>
      <c r="R948" s="150">
        <v>4469.3100000000004</v>
      </c>
    </row>
    <row r="949" spans="1:18" x14ac:dyDescent="0.25">
      <c r="A949" t="str">
        <f t="shared" si="14"/>
        <v>36-17-22</v>
      </c>
      <c r="B949">
        <v>36</v>
      </c>
      <c r="C949" s="150" t="s">
        <v>1187</v>
      </c>
      <c r="D949" s="150">
        <v>17</v>
      </c>
      <c r="E949" s="150" t="s">
        <v>688</v>
      </c>
      <c r="F949" s="150">
        <v>22</v>
      </c>
      <c r="G949" s="150" t="s">
        <v>599</v>
      </c>
      <c r="H949" s="150">
        <v>0</v>
      </c>
      <c r="I949" s="150">
        <v>3819847</v>
      </c>
      <c r="J949" s="150" t="s">
        <v>1203</v>
      </c>
      <c r="K949" s="150">
        <v>257</v>
      </c>
      <c r="L949" s="150">
        <v>3</v>
      </c>
      <c r="M949" s="150">
        <v>8.2799999999999994</v>
      </c>
      <c r="N949" s="150">
        <v>0</v>
      </c>
      <c r="O949" s="150">
        <v>9896</v>
      </c>
      <c r="P949" s="150">
        <v>8070</v>
      </c>
      <c r="Q949" s="150">
        <v>10612.28</v>
      </c>
      <c r="R949" s="150">
        <v>10612.28</v>
      </c>
    </row>
    <row r="950" spans="1:18" x14ac:dyDescent="0.25">
      <c r="A950" t="str">
        <f t="shared" si="14"/>
        <v>38-9-119</v>
      </c>
      <c r="B950">
        <v>38</v>
      </c>
      <c r="C950" s="150" t="s">
        <v>1189</v>
      </c>
      <c r="D950" s="150">
        <v>9</v>
      </c>
      <c r="E950" s="150" t="s">
        <v>683</v>
      </c>
      <c r="F950" s="150">
        <v>119</v>
      </c>
      <c r="G950" s="150" t="s">
        <v>616</v>
      </c>
      <c r="H950" s="150">
        <v>1</v>
      </c>
      <c r="I950" s="150">
        <v>0</v>
      </c>
      <c r="J950" s="150" t="s">
        <v>1203</v>
      </c>
      <c r="K950" s="150">
        <v>973</v>
      </c>
      <c r="L950" s="150">
        <v>219</v>
      </c>
      <c r="M950" s="150">
        <v>41.27</v>
      </c>
      <c r="N950" s="150">
        <v>0</v>
      </c>
      <c r="O950" s="150">
        <v>20682</v>
      </c>
      <c r="P950" s="150">
        <v>21778</v>
      </c>
      <c r="Q950" s="150">
        <v>22750.27</v>
      </c>
      <c r="R950" s="150">
        <v>22750.27</v>
      </c>
    </row>
    <row r="951" spans="1:18" x14ac:dyDescent="0.25">
      <c r="A951" t="str">
        <f t="shared" si="14"/>
        <v>18-7-144</v>
      </c>
      <c r="B951">
        <v>18</v>
      </c>
      <c r="C951" s="150" t="s">
        <v>1170</v>
      </c>
      <c r="D951" s="150">
        <v>7</v>
      </c>
      <c r="E951" s="150" t="s">
        <v>681</v>
      </c>
      <c r="F951" s="150">
        <v>144</v>
      </c>
      <c r="G951" s="150" t="s">
        <v>382</v>
      </c>
      <c r="H951" s="150">
        <v>4557</v>
      </c>
      <c r="I951" s="150">
        <v>420873</v>
      </c>
      <c r="J951" s="150" t="s">
        <v>1203</v>
      </c>
      <c r="K951" s="150">
        <v>46</v>
      </c>
      <c r="L951" s="150">
        <v>121</v>
      </c>
      <c r="M951" s="150">
        <v>0.1</v>
      </c>
      <c r="N951" s="150">
        <v>0</v>
      </c>
      <c r="O951" s="150">
        <v>7377</v>
      </c>
      <c r="P951" s="150">
        <v>7587</v>
      </c>
      <c r="Q951" s="150">
        <v>7767.1</v>
      </c>
      <c r="R951" s="150">
        <v>7767.1</v>
      </c>
    </row>
    <row r="952" spans="1:18" x14ac:dyDescent="0.25">
      <c r="A952" t="str">
        <f t="shared" si="14"/>
        <v>9-11-57</v>
      </c>
      <c r="B952">
        <v>9</v>
      </c>
      <c r="C952" s="150" t="s">
        <v>1161</v>
      </c>
      <c r="D952" s="150">
        <v>11</v>
      </c>
      <c r="E952" s="150" t="s">
        <v>1204</v>
      </c>
      <c r="F952" s="150">
        <v>57</v>
      </c>
      <c r="G952" s="150" t="s">
        <v>819</v>
      </c>
      <c r="H952" s="150">
        <v>0</v>
      </c>
      <c r="I952" s="150">
        <v>58555104</v>
      </c>
      <c r="J952" s="150" t="s">
        <v>1203</v>
      </c>
      <c r="K952" s="150">
        <v>501</v>
      </c>
      <c r="L952" s="150">
        <v>16043</v>
      </c>
      <c r="M952" s="150">
        <v>6496.38</v>
      </c>
      <c r="N952" s="150">
        <v>0</v>
      </c>
      <c r="O952" s="150">
        <v>2057009</v>
      </c>
      <c r="P952" s="150">
        <v>2148788</v>
      </c>
      <c r="Q952" s="150">
        <v>2244117.38</v>
      </c>
      <c r="R952" s="150">
        <v>2244117.38</v>
      </c>
    </row>
    <row r="953" spans="1:18" x14ac:dyDescent="0.25">
      <c r="A953" t="str">
        <f t="shared" si="14"/>
        <v>19-9-122</v>
      </c>
      <c r="B953">
        <v>19</v>
      </c>
      <c r="C953" s="150" t="s">
        <v>1171</v>
      </c>
      <c r="D953" s="150">
        <v>9</v>
      </c>
      <c r="E953" s="150" t="s">
        <v>683</v>
      </c>
      <c r="F953" s="150">
        <v>122</v>
      </c>
      <c r="G953" s="150" t="s">
        <v>921</v>
      </c>
      <c r="H953" s="150">
        <v>17030</v>
      </c>
      <c r="I953" s="150">
        <v>0</v>
      </c>
      <c r="J953" s="150" t="s">
        <v>1203</v>
      </c>
      <c r="K953" s="150">
        <v>15</v>
      </c>
      <c r="L953" s="150">
        <v>624</v>
      </c>
      <c r="M953" s="150">
        <v>196.06</v>
      </c>
      <c r="N953" s="150">
        <v>0</v>
      </c>
      <c r="O953" s="150">
        <v>83719</v>
      </c>
      <c r="P953" s="150">
        <v>87529</v>
      </c>
      <c r="Q953" s="150">
        <v>91306.06</v>
      </c>
      <c r="R953" s="150">
        <v>91306.06</v>
      </c>
    </row>
    <row r="954" spans="1:18" x14ac:dyDescent="0.25">
      <c r="A954" t="str">
        <f t="shared" si="14"/>
        <v>9-9-132</v>
      </c>
      <c r="B954">
        <v>9</v>
      </c>
      <c r="C954" s="150" t="s">
        <v>1161</v>
      </c>
      <c r="D954" s="150">
        <v>9</v>
      </c>
      <c r="E954" s="150" t="s">
        <v>683</v>
      </c>
      <c r="F954" s="150">
        <v>132</v>
      </c>
      <c r="G954" s="150" t="s">
        <v>814</v>
      </c>
      <c r="H954" s="150">
        <v>54014</v>
      </c>
      <c r="I954" s="150">
        <v>610192</v>
      </c>
      <c r="J954" s="150" t="s">
        <v>1203</v>
      </c>
      <c r="K954" s="150">
        <v>0</v>
      </c>
      <c r="L954" s="150">
        <v>1126</v>
      </c>
      <c r="M954" s="150">
        <v>203.76999999999998</v>
      </c>
      <c r="N954" s="150">
        <v>0</v>
      </c>
      <c r="O954" s="150">
        <v>319126</v>
      </c>
      <c r="P954" s="150">
        <v>339565</v>
      </c>
      <c r="Q954" s="150">
        <v>348599.77</v>
      </c>
      <c r="R954" s="150">
        <v>348599.77</v>
      </c>
    </row>
    <row r="955" spans="1:18" x14ac:dyDescent="0.25">
      <c r="A955" t="str">
        <f t="shared" si="14"/>
        <v>9-17-27</v>
      </c>
      <c r="B955">
        <v>9</v>
      </c>
      <c r="C955" s="150" t="s">
        <v>1161</v>
      </c>
      <c r="D955" s="150">
        <v>17</v>
      </c>
      <c r="E955" s="150" t="s">
        <v>688</v>
      </c>
      <c r="F955" s="150">
        <v>27</v>
      </c>
      <c r="G955" s="150" t="s">
        <v>278</v>
      </c>
      <c r="H955" s="150">
        <v>52964</v>
      </c>
      <c r="I955" s="150">
        <v>3113306</v>
      </c>
      <c r="J955" s="150" t="s">
        <v>1203</v>
      </c>
      <c r="K955" s="150">
        <v>0</v>
      </c>
      <c r="L955" s="150">
        <v>700</v>
      </c>
      <c r="M955" s="150">
        <v>148.66000000000003</v>
      </c>
      <c r="N955" s="150">
        <v>0</v>
      </c>
      <c r="O955" s="150">
        <v>261000</v>
      </c>
      <c r="P955" s="150">
        <v>261000</v>
      </c>
      <c r="Q955" s="150">
        <v>275369.65999999997</v>
      </c>
      <c r="R955" s="150">
        <v>275369.65999999997</v>
      </c>
    </row>
    <row r="956" spans="1:18" x14ac:dyDescent="0.25">
      <c r="A956" t="str">
        <f t="shared" si="14"/>
        <v>6-7-145</v>
      </c>
      <c r="B956">
        <v>6</v>
      </c>
      <c r="C956" s="150" t="s">
        <v>1159</v>
      </c>
      <c r="D956" s="150">
        <v>7</v>
      </c>
      <c r="E956" s="150" t="s">
        <v>681</v>
      </c>
      <c r="F956" s="150">
        <v>145</v>
      </c>
      <c r="G956" s="150" t="s">
        <v>229</v>
      </c>
      <c r="H956" s="150">
        <v>7992</v>
      </c>
      <c r="I956" s="150">
        <v>15891667</v>
      </c>
      <c r="J956" s="150" t="s">
        <v>1203</v>
      </c>
      <c r="K956" s="150">
        <v>818</v>
      </c>
      <c r="L956" s="150">
        <v>948</v>
      </c>
      <c r="M956" s="150">
        <v>197.91</v>
      </c>
      <c r="N956" s="150">
        <v>0</v>
      </c>
      <c r="O956" s="150">
        <v>79168</v>
      </c>
      <c r="P956" s="150">
        <v>85501</v>
      </c>
      <c r="Q956" s="150">
        <v>90730.91</v>
      </c>
      <c r="R956" s="150">
        <v>90730.91</v>
      </c>
    </row>
    <row r="957" spans="1:18" x14ac:dyDescent="0.25">
      <c r="A957" t="str">
        <f t="shared" si="14"/>
        <v>6-9-79</v>
      </c>
      <c r="B957">
        <v>6</v>
      </c>
      <c r="C957" s="150" t="s">
        <v>1159</v>
      </c>
      <c r="D957" s="150">
        <v>9</v>
      </c>
      <c r="E957" s="150" t="s">
        <v>683</v>
      </c>
      <c r="F957" s="150">
        <v>79</v>
      </c>
      <c r="G957" s="150" t="s">
        <v>781</v>
      </c>
      <c r="H957" s="150">
        <v>0</v>
      </c>
      <c r="I957" s="150">
        <v>0</v>
      </c>
      <c r="J957" s="150" t="s">
        <v>1203</v>
      </c>
      <c r="K957" s="150">
        <v>7205</v>
      </c>
      <c r="L957" s="150">
        <v>3613</v>
      </c>
      <c r="M957" s="150">
        <v>705.24</v>
      </c>
      <c r="N957" s="150">
        <v>0</v>
      </c>
      <c r="O957" s="150">
        <v>391677</v>
      </c>
      <c r="P957" s="150">
        <v>419112</v>
      </c>
      <c r="Q957" s="150">
        <v>445674.23999999999</v>
      </c>
      <c r="R957" s="150">
        <v>445674.23999999999</v>
      </c>
    </row>
    <row r="958" spans="1:18" x14ac:dyDescent="0.25">
      <c r="A958" t="str">
        <f t="shared" si="14"/>
        <v>6-4-22</v>
      </c>
      <c r="B958">
        <v>6</v>
      </c>
      <c r="C958" s="150" t="s">
        <v>1159</v>
      </c>
      <c r="D958" s="150">
        <v>4</v>
      </c>
      <c r="E958" s="150" t="s">
        <v>146</v>
      </c>
      <c r="F958" s="150">
        <v>22</v>
      </c>
      <c r="G958" s="150" t="s">
        <v>775</v>
      </c>
      <c r="H958" s="150">
        <v>0</v>
      </c>
      <c r="I958" s="150">
        <v>26024701</v>
      </c>
      <c r="J958" s="150">
        <v>1</v>
      </c>
      <c r="K958" s="150">
        <v>18695</v>
      </c>
      <c r="L958" s="150">
        <v>20733</v>
      </c>
      <c r="M958" s="150">
        <v>7522.55</v>
      </c>
      <c r="N958" s="150">
        <v>0</v>
      </c>
      <c r="O958" s="150">
        <v>71555</v>
      </c>
      <c r="P958" s="150">
        <v>76941</v>
      </c>
      <c r="Q958" s="150">
        <v>82304</v>
      </c>
      <c r="R958" s="150">
        <v>82304</v>
      </c>
    </row>
    <row r="959" spans="1:18" x14ac:dyDescent="0.25">
      <c r="A959" t="str">
        <f t="shared" si="14"/>
        <v>10-4-22</v>
      </c>
      <c r="B959">
        <v>10</v>
      </c>
      <c r="C959" s="150" t="s">
        <v>1162</v>
      </c>
      <c r="D959" s="150">
        <v>4</v>
      </c>
      <c r="E959" s="150" t="s">
        <v>146</v>
      </c>
      <c r="F959" s="150">
        <v>22</v>
      </c>
      <c r="G959" s="150" t="s">
        <v>775</v>
      </c>
      <c r="H959" s="150">
        <v>0</v>
      </c>
      <c r="I959" s="150">
        <v>5277045</v>
      </c>
      <c r="J959" s="150">
        <v>1</v>
      </c>
      <c r="K959" s="150">
        <v>18695</v>
      </c>
      <c r="L959" s="150">
        <v>20733</v>
      </c>
      <c r="M959" s="150">
        <v>7522.55</v>
      </c>
      <c r="N959" s="150">
        <v>0</v>
      </c>
      <c r="O959" s="150">
        <v>71555</v>
      </c>
      <c r="P959" s="150">
        <v>76941</v>
      </c>
      <c r="Q959" s="150">
        <v>82304</v>
      </c>
      <c r="R959" s="150">
        <v>82304</v>
      </c>
    </row>
    <row r="960" spans="1:18" x14ac:dyDescent="0.25">
      <c r="A960" t="str">
        <f t="shared" si="14"/>
        <v>10-7-147</v>
      </c>
      <c r="B960">
        <v>10</v>
      </c>
      <c r="C960" s="150" t="s">
        <v>1162</v>
      </c>
      <c r="D960" s="150">
        <v>7</v>
      </c>
      <c r="E960" s="150" t="s">
        <v>681</v>
      </c>
      <c r="F960" s="150">
        <v>147</v>
      </c>
      <c r="G960" s="150" t="s">
        <v>292</v>
      </c>
      <c r="H960" s="150">
        <v>174</v>
      </c>
      <c r="I960" s="150">
        <v>4490337</v>
      </c>
      <c r="J960" s="150">
        <v>1</v>
      </c>
      <c r="K960" s="150">
        <v>1580</v>
      </c>
      <c r="L960" s="150">
        <v>284</v>
      </c>
      <c r="M960" s="150">
        <v>121.46000000000001</v>
      </c>
      <c r="N960" s="150">
        <v>0</v>
      </c>
      <c r="O960" s="150">
        <v>49033</v>
      </c>
      <c r="P960" s="150">
        <v>50964</v>
      </c>
      <c r="Q960" s="150">
        <v>53222.46</v>
      </c>
      <c r="R960" s="150">
        <v>53222.46</v>
      </c>
    </row>
    <row r="961" spans="1:19" x14ac:dyDescent="0.25">
      <c r="A961" t="str">
        <f t="shared" si="14"/>
        <v>26-7-147</v>
      </c>
      <c r="B961">
        <v>26</v>
      </c>
      <c r="C961" s="150" t="s">
        <v>1178</v>
      </c>
      <c r="D961" s="150">
        <v>7</v>
      </c>
      <c r="E961" s="150" t="s">
        <v>681</v>
      </c>
      <c r="F961" s="150">
        <v>147</v>
      </c>
      <c r="G961" s="150" t="s">
        <v>292</v>
      </c>
      <c r="H961" s="150">
        <v>174</v>
      </c>
      <c r="I961" s="150">
        <v>2421500</v>
      </c>
      <c r="J961" s="150">
        <v>1</v>
      </c>
      <c r="K961" s="150">
        <v>1580</v>
      </c>
      <c r="L961" s="150">
        <v>284</v>
      </c>
      <c r="M961" s="150">
        <v>121.46000000000001</v>
      </c>
      <c r="N961" s="150">
        <v>0</v>
      </c>
      <c r="O961" s="150">
        <v>49033</v>
      </c>
      <c r="P961" s="150">
        <v>50964</v>
      </c>
      <c r="Q961" s="150">
        <v>53222.46</v>
      </c>
      <c r="R961" s="150">
        <v>53222.46</v>
      </c>
    </row>
    <row r="962" spans="1:19" x14ac:dyDescent="0.25">
      <c r="A962" t="str">
        <f t="shared" si="14"/>
        <v>32-9-98</v>
      </c>
      <c r="B962">
        <v>32</v>
      </c>
      <c r="C962" s="150" t="s">
        <v>1184</v>
      </c>
      <c r="D962" s="150">
        <v>9</v>
      </c>
      <c r="E962" s="150" t="s">
        <v>683</v>
      </c>
      <c r="F962" s="150">
        <v>98</v>
      </c>
      <c r="G962" s="150" t="s">
        <v>1057</v>
      </c>
      <c r="H962" s="150">
        <v>172</v>
      </c>
      <c r="I962" s="150">
        <v>1320135</v>
      </c>
      <c r="J962" s="150" t="s">
        <v>1203</v>
      </c>
      <c r="K962" s="150">
        <v>10396</v>
      </c>
      <c r="L962" s="150">
        <v>4249</v>
      </c>
      <c r="M962" s="150">
        <v>999.1</v>
      </c>
      <c r="N962" s="150">
        <v>0</v>
      </c>
      <c r="O962" s="150">
        <v>205889</v>
      </c>
      <c r="P962" s="150">
        <v>216779</v>
      </c>
      <c r="Q962" s="150">
        <v>226966.04</v>
      </c>
      <c r="R962" s="150">
        <v>226966.1</v>
      </c>
    </row>
    <row r="963" spans="1:19" x14ac:dyDescent="0.25">
      <c r="A963" t="str">
        <f t="shared" si="14"/>
        <v>40-2-40</v>
      </c>
      <c r="B963">
        <v>40</v>
      </c>
      <c r="C963" s="150" t="s">
        <v>1190</v>
      </c>
      <c r="D963" s="150">
        <v>2</v>
      </c>
      <c r="E963" s="150" t="s">
        <v>110</v>
      </c>
      <c r="F963" s="150">
        <v>40</v>
      </c>
      <c r="G963" s="150" t="s">
        <v>624</v>
      </c>
      <c r="H963" s="150">
        <v>510382</v>
      </c>
      <c r="I963" s="150">
        <v>86610786</v>
      </c>
      <c r="J963" s="150" t="s">
        <v>1203</v>
      </c>
      <c r="K963" s="150">
        <v>819</v>
      </c>
      <c r="L963" s="150">
        <v>69398</v>
      </c>
      <c r="M963" s="150">
        <v>13306.75</v>
      </c>
      <c r="N963" s="150">
        <v>0</v>
      </c>
      <c r="O963" s="150">
        <v>5028369</v>
      </c>
      <c r="P963" s="150">
        <v>5124488</v>
      </c>
      <c r="Q963" s="150">
        <v>5358849.99</v>
      </c>
      <c r="R963" s="150" t="s">
        <v>1314</v>
      </c>
      <c r="S963" s="150" t="s">
        <v>1314</v>
      </c>
    </row>
    <row r="964" spans="1:19" x14ac:dyDescent="0.25">
      <c r="A964" t="str">
        <f t="shared" si="14"/>
        <v>28-9-21</v>
      </c>
      <c r="B964">
        <v>28</v>
      </c>
      <c r="C964" s="150" t="s">
        <v>1180</v>
      </c>
      <c r="D964" s="150">
        <v>9</v>
      </c>
      <c r="E964" s="150" t="s">
        <v>683</v>
      </c>
      <c r="F964" s="150">
        <v>21</v>
      </c>
      <c r="G964" s="150" t="s">
        <v>1011</v>
      </c>
      <c r="H964" s="150">
        <v>103</v>
      </c>
      <c r="I964" s="150">
        <v>23320140</v>
      </c>
      <c r="J964" s="150">
        <v>1</v>
      </c>
      <c r="K964" s="150">
        <v>1083</v>
      </c>
      <c r="L964" s="150">
        <v>16628</v>
      </c>
      <c r="M964" s="150">
        <v>3196.3599999999997</v>
      </c>
      <c r="N964" s="150">
        <v>0</v>
      </c>
      <c r="O964" s="150">
        <v>1190356</v>
      </c>
      <c r="P964" s="150">
        <v>1231121</v>
      </c>
      <c r="Q964" s="150">
        <v>1235024.3600000001</v>
      </c>
      <c r="R964" s="150">
        <v>1235024.3600000001</v>
      </c>
    </row>
    <row r="965" spans="1:19" x14ac:dyDescent="0.25">
      <c r="A965" t="str">
        <f t="shared" si="14"/>
        <v>40-9-21</v>
      </c>
      <c r="B965">
        <v>40</v>
      </c>
      <c r="C965" s="150" t="s">
        <v>1190</v>
      </c>
      <c r="D965" s="150">
        <v>9</v>
      </c>
      <c r="E965" s="150" t="s">
        <v>683</v>
      </c>
      <c r="F965" s="150">
        <v>21</v>
      </c>
      <c r="G965" s="150" t="s">
        <v>1011</v>
      </c>
      <c r="H965" s="150">
        <v>103</v>
      </c>
      <c r="I965" s="150">
        <v>23864805</v>
      </c>
      <c r="J965" s="150">
        <v>1</v>
      </c>
      <c r="K965" s="150">
        <v>1083</v>
      </c>
      <c r="L965" s="150">
        <v>16628</v>
      </c>
      <c r="M965" s="150">
        <v>3196.3599999999997</v>
      </c>
      <c r="N965" s="150">
        <v>0</v>
      </c>
      <c r="O965" s="150">
        <v>1190356</v>
      </c>
      <c r="P965" s="150">
        <v>1231121</v>
      </c>
      <c r="Q965" s="150">
        <v>1235024.3600000001</v>
      </c>
      <c r="R965" s="150">
        <v>1235024.3600000001</v>
      </c>
    </row>
    <row r="966" spans="1:19" x14ac:dyDescent="0.25">
      <c r="A966" t="str">
        <f t="shared" ref="A966:A1029" si="15">B966&amp;"-"&amp;D966&amp;"-"&amp;F966</f>
        <v>40-5-32</v>
      </c>
      <c r="B966">
        <v>40</v>
      </c>
      <c r="C966" s="150" t="s">
        <v>1190</v>
      </c>
      <c r="D966" s="150">
        <v>5</v>
      </c>
      <c r="E966" s="150" t="s">
        <v>286</v>
      </c>
      <c r="F966" s="150">
        <v>32</v>
      </c>
      <c r="G966" s="150" t="s">
        <v>1397</v>
      </c>
      <c r="H966" s="150">
        <v>0</v>
      </c>
      <c r="I966" s="150">
        <v>86610786</v>
      </c>
      <c r="J966" s="150" t="s">
        <v>1203</v>
      </c>
      <c r="K966" s="150">
        <v>0</v>
      </c>
      <c r="L966" s="150">
        <v>0</v>
      </c>
      <c r="M966" s="150">
        <v>1257.01</v>
      </c>
      <c r="N966" s="150">
        <v>0</v>
      </c>
      <c r="O966" s="150">
        <v>473690</v>
      </c>
      <c r="P966" s="150">
        <v>489805</v>
      </c>
      <c r="Q966" s="150">
        <v>507134.01</v>
      </c>
      <c r="R966" s="150">
        <v>507134.01</v>
      </c>
      <c r="S966" s="150"/>
    </row>
    <row r="967" spans="1:19" x14ac:dyDescent="0.25">
      <c r="A967" t="str">
        <f t="shared" si="15"/>
        <v>40-11-100</v>
      </c>
      <c r="B967">
        <v>40</v>
      </c>
      <c r="C967" s="150" t="s">
        <v>1190</v>
      </c>
      <c r="D967" s="150">
        <v>11</v>
      </c>
      <c r="E967" s="150" t="s">
        <v>1204</v>
      </c>
      <c r="F967" s="150">
        <v>100</v>
      </c>
      <c r="G967" s="150" t="s">
        <v>1281</v>
      </c>
      <c r="H967" s="150">
        <v>0</v>
      </c>
      <c r="I967" s="150">
        <v>86293796</v>
      </c>
      <c r="J967" s="150"/>
      <c r="K967" s="150">
        <v>0</v>
      </c>
      <c r="L967" s="150">
        <v>0</v>
      </c>
      <c r="M967" s="150">
        <v>0</v>
      </c>
      <c r="N967" s="150">
        <v>0</v>
      </c>
      <c r="O967" s="150">
        <v>0</v>
      </c>
      <c r="P967" s="150">
        <v>0</v>
      </c>
      <c r="Q967" s="150">
        <v>0</v>
      </c>
    </row>
    <row r="968" spans="1:19" x14ac:dyDescent="0.25">
      <c r="A968" t="str">
        <f t="shared" si="15"/>
        <v>40-9-18</v>
      </c>
      <c r="B968">
        <v>40</v>
      </c>
      <c r="C968" s="150" t="s">
        <v>1190</v>
      </c>
      <c r="D968" s="150">
        <v>9</v>
      </c>
      <c r="E968" s="150" t="s">
        <v>683</v>
      </c>
      <c r="F968" s="150">
        <v>18</v>
      </c>
      <c r="G968" s="150" t="s">
        <v>633</v>
      </c>
      <c r="H968" s="150">
        <v>14805</v>
      </c>
      <c r="I968" s="150">
        <v>15228417</v>
      </c>
      <c r="J968" s="150" t="s">
        <v>1203</v>
      </c>
      <c r="K968" s="150">
        <v>0</v>
      </c>
      <c r="L968" s="150">
        <v>4092</v>
      </c>
      <c r="M968" s="150">
        <v>1731.47</v>
      </c>
      <c r="N968" s="150">
        <v>0</v>
      </c>
      <c r="O968" s="150">
        <v>459295</v>
      </c>
      <c r="P968" s="150">
        <v>474937</v>
      </c>
      <c r="Q968" s="150">
        <v>490124.47</v>
      </c>
      <c r="R968" s="150">
        <v>490124.47</v>
      </c>
    </row>
    <row r="969" spans="1:19" x14ac:dyDescent="0.25">
      <c r="A969" t="str">
        <f t="shared" si="15"/>
        <v>40-9-23</v>
      </c>
      <c r="B969">
        <v>40</v>
      </c>
      <c r="C969" s="150" t="s">
        <v>1190</v>
      </c>
      <c r="D969" s="150">
        <v>9</v>
      </c>
      <c r="E969" s="150" t="s">
        <v>683</v>
      </c>
      <c r="F969" s="150">
        <v>23</v>
      </c>
      <c r="G969" s="150" t="s">
        <v>1111</v>
      </c>
      <c r="H969" s="150">
        <v>6627</v>
      </c>
      <c r="I969" s="150">
        <v>1632675</v>
      </c>
      <c r="J969" s="150" t="s">
        <v>1203</v>
      </c>
      <c r="K969" s="150">
        <v>37</v>
      </c>
      <c r="L969" s="150">
        <v>784</v>
      </c>
      <c r="M969" s="150">
        <v>8.74</v>
      </c>
      <c r="N969" s="150">
        <v>0</v>
      </c>
      <c r="O969" s="150">
        <v>38960</v>
      </c>
      <c r="P969" s="150">
        <v>40129</v>
      </c>
      <c r="Q969" s="150">
        <v>40479.74</v>
      </c>
      <c r="R969" s="150">
        <v>40479.74</v>
      </c>
    </row>
    <row r="970" spans="1:19" x14ac:dyDescent="0.25">
      <c r="A970" t="str">
        <f t="shared" si="15"/>
        <v>32-11-60</v>
      </c>
      <c r="B970">
        <v>32</v>
      </c>
      <c r="C970" s="150" t="s">
        <v>1184</v>
      </c>
      <c r="D970" s="150">
        <v>11</v>
      </c>
      <c r="E970" s="150" t="s">
        <v>1204</v>
      </c>
      <c r="F970" s="150">
        <v>60</v>
      </c>
      <c r="G970" s="150" t="s">
        <v>566</v>
      </c>
      <c r="H970" s="150">
        <v>0</v>
      </c>
      <c r="I970" s="150">
        <v>68966387</v>
      </c>
      <c r="J970" s="150" t="s">
        <v>1203</v>
      </c>
      <c r="K970" s="150">
        <v>7321</v>
      </c>
      <c r="L970" s="150">
        <v>4281</v>
      </c>
      <c r="M970" s="150">
        <v>1802.63</v>
      </c>
      <c r="N970" s="150">
        <v>0</v>
      </c>
      <c r="O970" s="150">
        <v>297832</v>
      </c>
      <c r="P970" s="150">
        <v>310626</v>
      </c>
      <c r="Q970" s="150">
        <v>321374.97000000003</v>
      </c>
      <c r="R970" s="150">
        <v>321374.63</v>
      </c>
    </row>
    <row r="971" spans="1:19" x14ac:dyDescent="0.25">
      <c r="A971" t="str">
        <f t="shared" si="15"/>
        <v>27-4-128</v>
      </c>
      <c r="B971">
        <v>27</v>
      </c>
      <c r="C971" s="150" t="s">
        <v>1179</v>
      </c>
      <c r="D971" s="150">
        <v>4</v>
      </c>
      <c r="E971" s="150" t="s">
        <v>146</v>
      </c>
      <c r="F971" s="150">
        <v>128</v>
      </c>
      <c r="G971" s="150" t="s">
        <v>999</v>
      </c>
      <c r="H971" s="150">
        <v>0</v>
      </c>
      <c r="I971" s="150">
        <v>5540467</v>
      </c>
      <c r="J971" s="150">
        <v>1</v>
      </c>
      <c r="K971" s="150">
        <v>30114</v>
      </c>
      <c r="L971" s="150">
        <v>14676</v>
      </c>
      <c r="M971" s="150">
        <v>1987.1200000000001</v>
      </c>
      <c r="N971" s="150">
        <v>0</v>
      </c>
      <c r="O971" s="150">
        <v>46655</v>
      </c>
      <c r="P971" s="150">
        <v>48616</v>
      </c>
      <c r="Q971" s="150">
        <v>50472</v>
      </c>
      <c r="R971" s="150">
        <v>50472</v>
      </c>
    </row>
    <row r="972" spans="1:19" x14ac:dyDescent="0.25">
      <c r="A972" t="str">
        <f t="shared" si="15"/>
        <v>32-4-128</v>
      </c>
      <c r="B972">
        <v>32</v>
      </c>
      <c r="C972" s="150" t="s">
        <v>1184</v>
      </c>
      <c r="D972" s="150">
        <v>4</v>
      </c>
      <c r="E972" s="150" t="s">
        <v>146</v>
      </c>
      <c r="F972" s="150">
        <v>128</v>
      </c>
      <c r="G972" s="150" t="s">
        <v>999</v>
      </c>
      <c r="H972" s="150">
        <v>0</v>
      </c>
      <c r="I972" s="150">
        <v>81793121</v>
      </c>
      <c r="J972" s="150">
        <v>1</v>
      </c>
      <c r="K972" s="150">
        <v>30114</v>
      </c>
      <c r="L972" s="150">
        <v>14676</v>
      </c>
      <c r="M972" s="150">
        <v>1987.1200000000001</v>
      </c>
      <c r="N972" s="150">
        <v>0</v>
      </c>
      <c r="O972" s="150">
        <v>46655</v>
      </c>
      <c r="P972" s="150">
        <v>48616</v>
      </c>
      <c r="Q972" s="150">
        <v>50472</v>
      </c>
      <c r="R972" s="150">
        <v>50472</v>
      </c>
    </row>
    <row r="973" spans="1:19" x14ac:dyDescent="0.25">
      <c r="A973" t="str">
        <f t="shared" si="15"/>
        <v>7-9-178</v>
      </c>
      <c r="B973">
        <v>7</v>
      </c>
      <c r="C973" s="150" t="s">
        <v>1199</v>
      </c>
      <c r="D973" s="150">
        <v>9</v>
      </c>
      <c r="E973" s="150" t="s">
        <v>683</v>
      </c>
      <c r="F973" s="150">
        <v>178</v>
      </c>
      <c r="G973" s="150" t="s">
        <v>791</v>
      </c>
      <c r="H973" s="150">
        <v>0</v>
      </c>
      <c r="I973" s="150">
        <v>0</v>
      </c>
      <c r="J973" s="150" t="s">
        <v>1203</v>
      </c>
      <c r="K973" s="150">
        <v>0</v>
      </c>
      <c r="L973" s="150">
        <v>77</v>
      </c>
      <c r="M973" s="150">
        <v>0</v>
      </c>
      <c r="N973" s="150">
        <v>0</v>
      </c>
      <c r="O973" s="150">
        <v>71021</v>
      </c>
      <c r="P973" s="150">
        <v>73152</v>
      </c>
      <c r="Q973" s="150">
        <v>76552</v>
      </c>
      <c r="R973" s="150">
        <v>76552</v>
      </c>
    </row>
    <row r="974" spans="1:19" x14ac:dyDescent="0.25">
      <c r="A974" t="str">
        <f t="shared" si="15"/>
        <v>6-14-38</v>
      </c>
      <c r="B974">
        <v>6</v>
      </c>
      <c r="C974" s="150" t="s">
        <v>1159</v>
      </c>
      <c r="D974" s="150">
        <v>14</v>
      </c>
      <c r="E974" s="150" t="s">
        <v>665</v>
      </c>
      <c r="F974" s="150">
        <v>38</v>
      </c>
      <c r="G974" s="150" t="s">
        <v>236</v>
      </c>
      <c r="H974" s="150">
        <v>0</v>
      </c>
      <c r="I974" s="150">
        <v>43901682</v>
      </c>
      <c r="J974" s="150" t="s">
        <v>1203</v>
      </c>
      <c r="K974" s="150">
        <v>15186</v>
      </c>
      <c r="L974" s="150">
        <v>2577</v>
      </c>
      <c r="M974" s="150">
        <v>1284.8499999999999</v>
      </c>
      <c r="N974" s="150">
        <v>0</v>
      </c>
      <c r="O974" s="150">
        <v>289967</v>
      </c>
      <c r="P974" s="150">
        <v>303675</v>
      </c>
      <c r="Q974" s="150">
        <v>317612.84999999998</v>
      </c>
      <c r="R974" s="150">
        <v>317612.84999999998</v>
      </c>
    </row>
    <row r="975" spans="1:19" x14ac:dyDescent="0.25">
      <c r="A975" t="str">
        <f t="shared" si="15"/>
        <v>6-4-18</v>
      </c>
      <c r="B975">
        <v>6</v>
      </c>
      <c r="C975" s="150" t="s">
        <v>1159</v>
      </c>
      <c r="D975" s="150">
        <v>4</v>
      </c>
      <c r="E975" s="150" t="s">
        <v>146</v>
      </c>
      <c r="F975" s="150">
        <v>18</v>
      </c>
      <c r="G975" s="150" t="s">
        <v>771</v>
      </c>
      <c r="H975" s="150">
        <v>0</v>
      </c>
      <c r="I975" s="150">
        <v>43901682</v>
      </c>
      <c r="J975" s="150" t="s">
        <v>1203</v>
      </c>
      <c r="K975" s="150">
        <v>157066</v>
      </c>
      <c r="L975" s="150">
        <v>29000</v>
      </c>
      <c r="M975" s="150">
        <v>10335.849999999999</v>
      </c>
      <c r="N975" s="150">
        <v>0</v>
      </c>
      <c r="O975" s="150">
        <v>157066</v>
      </c>
      <c r="P975" s="150">
        <v>157066</v>
      </c>
      <c r="Q975" s="150">
        <v>164275</v>
      </c>
      <c r="R975" s="150">
        <v>164275</v>
      </c>
    </row>
    <row r="976" spans="1:19" x14ac:dyDescent="0.25">
      <c r="A976" t="str">
        <f t="shared" si="15"/>
        <v>27-13-4</v>
      </c>
      <c r="B976">
        <v>27</v>
      </c>
      <c r="C976" s="150" t="s">
        <v>1179</v>
      </c>
      <c r="D976" s="150">
        <v>13</v>
      </c>
      <c r="E976" s="150" t="s">
        <v>295</v>
      </c>
      <c r="F976" s="150">
        <v>4</v>
      </c>
      <c r="G976" s="150" t="s">
        <v>1005</v>
      </c>
      <c r="H976" s="150">
        <v>0</v>
      </c>
      <c r="I976" s="150">
        <v>129701380</v>
      </c>
      <c r="J976" s="150">
        <v>1</v>
      </c>
      <c r="K976" s="150">
        <v>151485</v>
      </c>
      <c r="L976" s="150">
        <v>68611</v>
      </c>
      <c r="M976" s="150">
        <v>24271.05</v>
      </c>
      <c r="N976" s="150">
        <v>349</v>
      </c>
      <c r="O976" s="150">
        <v>9073295</v>
      </c>
      <c r="P976" s="150">
        <v>9644496</v>
      </c>
      <c r="Q976" s="150">
        <v>10232688.050000001</v>
      </c>
      <c r="R976" s="150">
        <v>10232688.050000001</v>
      </c>
    </row>
    <row r="977" spans="1:18" x14ac:dyDescent="0.25">
      <c r="A977" t="str">
        <f t="shared" si="15"/>
        <v>42-13-4</v>
      </c>
      <c r="B977">
        <v>42</v>
      </c>
      <c r="C977" s="150" t="s">
        <v>1194</v>
      </c>
      <c r="D977" s="150">
        <v>13</v>
      </c>
      <c r="E977" s="150" t="s">
        <v>295</v>
      </c>
      <c r="F977" s="150">
        <v>4</v>
      </c>
      <c r="G977" s="150" t="s">
        <v>1005</v>
      </c>
      <c r="H977" s="150">
        <v>0</v>
      </c>
      <c r="I977" s="150">
        <v>239460403</v>
      </c>
      <c r="J977" s="150">
        <v>1</v>
      </c>
      <c r="K977" s="150">
        <v>151485</v>
      </c>
      <c r="L977" s="150">
        <v>68611</v>
      </c>
      <c r="M977" s="150">
        <v>24271.05</v>
      </c>
      <c r="N977" s="150">
        <v>349</v>
      </c>
      <c r="O977" s="150">
        <v>9073295</v>
      </c>
      <c r="P977" s="150">
        <v>9644496</v>
      </c>
      <c r="Q977" s="150">
        <v>10232688.050000001</v>
      </c>
      <c r="R977" s="150">
        <v>10232688.050000001</v>
      </c>
    </row>
    <row r="978" spans="1:18" x14ac:dyDescent="0.25">
      <c r="A978" t="str">
        <f t="shared" si="15"/>
        <v>4-4-54</v>
      </c>
      <c r="B978">
        <v>4</v>
      </c>
      <c r="C978" s="150" t="s">
        <v>1196</v>
      </c>
      <c r="D978" s="150">
        <v>4</v>
      </c>
      <c r="E978" s="150" t="s">
        <v>146</v>
      </c>
      <c r="F978" s="150">
        <v>54</v>
      </c>
      <c r="G978" s="150" t="s">
        <v>753</v>
      </c>
      <c r="H978" s="150">
        <v>0</v>
      </c>
      <c r="I978" s="150">
        <v>5379730</v>
      </c>
      <c r="J978" s="150">
        <v>1</v>
      </c>
      <c r="K978" s="150">
        <v>22469</v>
      </c>
      <c r="L978" s="150">
        <v>20696</v>
      </c>
      <c r="M978" s="150">
        <v>7697.59</v>
      </c>
      <c r="N978" s="150">
        <v>0</v>
      </c>
      <c r="O978" s="150">
        <v>45936</v>
      </c>
      <c r="P978" s="150">
        <v>47480</v>
      </c>
      <c r="Q978" s="150">
        <v>49148</v>
      </c>
      <c r="R978" s="150">
        <v>49148</v>
      </c>
    </row>
    <row r="979" spans="1:18" x14ac:dyDescent="0.25">
      <c r="A979" t="str">
        <f t="shared" si="15"/>
        <v>10-4-54</v>
      </c>
      <c r="B979">
        <v>10</v>
      </c>
      <c r="C979" s="150" t="s">
        <v>1162</v>
      </c>
      <c r="D979" s="150">
        <v>4</v>
      </c>
      <c r="E979" s="150" t="s">
        <v>146</v>
      </c>
      <c r="F979" s="150">
        <v>54</v>
      </c>
      <c r="G979" s="150" t="s">
        <v>753</v>
      </c>
      <c r="H979" s="150">
        <v>0</v>
      </c>
      <c r="I979" s="150">
        <v>212759</v>
      </c>
      <c r="J979" s="150">
        <v>1</v>
      </c>
      <c r="K979" s="150">
        <v>22469</v>
      </c>
      <c r="L979" s="150">
        <v>20696</v>
      </c>
      <c r="M979" s="150">
        <v>7697.59</v>
      </c>
      <c r="N979" s="150">
        <v>0</v>
      </c>
      <c r="O979" s="150">
        <v>45936</v>
      </c>
      <c r="P979" s="150">
        <v>47480</v>
      </c>
      <c r="Q979" s="150">
        <v>49148</v>
      </c>
      <c r="R979" s="150">
        <v>49148</v>
      </c>
    </row>
    <row r="980" spans="1:18" x14ac:dyDescent="0.25">
      <c r="A980" t="str">
        <f t="shared" si="15"/>
        <v>15-4-54</v>
      </c>
      <c r="B980">
        <v>15</v>
      </c>
      <c r="C980" s="150" t="s">
        <v>1167</v>
      </c>
      <c r="D980" s="150">
        <v>4</v>
      </c>
      <c r="E980" s="150" t="s">
        <v>146</v>
      </c>
      <c r="F980" s="150">
        <v>54</v>
      </c>
      <c r="G980" s="150" t="s">
        <v>753</v>
      </c>
      <c r="H980" s="150">
        <v>0</v>
      </c>
      <c r="I980" s="150">
        <v>91692355</v>
      </c>
      <c r="J980" s="150">
        <v>1</v>
      </c>
      <c r="K980" s="150">
        <v>22469</v>
      </c>
      <c r="L980" s="150">
        <v>20696</v>
      </c>
      <c r="M980" s="150">
        <v>7697.59</v>
      </c>
      <c r="N980" s="150">
        <v>0</v>
      </c>
      <c r="O980" s="150">
        <v>45936</v>
      </c>
      <c r="P980" s="150">
        <v>47480</v>
      </c>
      <c r="Q980" s="150">
        <v>49148</v>
      </c>
      <c r="R980" s="150">
        <v>49148</v>
      </c>
    </row>
    <row r="981" spans="1:18" x14ac:dyDescent="0.25">
      <c r="A981" t="str">
        <f t="shared" si="15"/>
        <v>11-9-175</v>
      </c>
      <c r="B981">
        <v>11</v>
      </c>
      <c r="C981" s="150" t="s">
        <v>1163</v>
      </c>
      <c r="D981" s="150">
        <v>9</v>
      </c>
      <c r="E981" s="150" t="s">
        <v>683</v>
      </c>
      <c r="F981" s="150">
        <v>175</v>
      </c>
      <c r="G981" s="150" t="s">
        <v>842</v>
      </c>
      <c r="H981" s="150">
        <v>183</v>
      </c>
      <c r="I981" s="150">
        <v>1051511</v>
      </c>
      <c r="J981" s="150" t="s">
        <v>1203</v>
      </c>
      <c r="K981" s="150">
        <v>0</v>
      </c>
      <c r="L981" s="150">
        <v>1293</v>
      </c>
      <c r="M981" s="150">
        <v>223.98999999999998</v>
      </c>
      <c r="N981" s="150">
        <v>0</v>
      </c>
      <c r="O981" s="150">
        <v>220820</v>
      </c>
      <c r="P981" s="150">
        <v>229199</v>
      </c>
      <c r="Q981" s="150">
        <v>237598.99</v>
      </c>
      <c r="R981" s="150">
        <v>237598.99</v>
      </c>
    </row>
    <row r="982" spans="1:18" x14ac:dyDescent="0.25">
      <c r="A982" t="str">
        <f t="shared" si="15"/>
        <v>29-11-58</v>
      </c>
      <c r="B982">
        <v>29</v>
      </c>
      <c r="C982" s="150" t="s">
        <v>1181</v>
      </c>
      <c r="D982" s="150">
        <v>11</v>
      </c>
      <c r="E982" s="150" t="s">
        <v>1204</v>
      </c>
      <c r="F982" s="150">
        <v>58</v>
      </c>
      <c r="G982" s="150" t="s">
        <v>1035</v>
      </c>
      <c r="H982" s="150">
        <v>23890</v>
      </c>
      <c r="I982" s="150">
        <v>10019312</v>
      </c>
      <c r="J982" s="150">
        <v>1</v>
      </c>
      <c r="K982" s="150">
        <v>14777</v>
      </c>
      <c r="L982" s="150">
        <v>1972</v>
      </c>
      <c r="M982" s="150">
        <v>1288.71</v>
      </c>
      <c r="N982" s="150">
        <v>0</v>
      </c>
      <c r="O982" s="150">
        <v>425807</v>
      </c>
      <c r="P982" s="150">
        <v>442159</v>
      </c>
      <c r="Q982" s="150">
        <v>445076.71</v>
      </c>
      <c r="R982" s="150">
        <v>445076.71</v>
      </c>
    </row>
    <row r="983" spans="1:18" x14ac:dyDescent="0.25">
      <c r="A983" t="str">
        <f t="shared" si="15"/>
        <v>35-11-58</v>
      </c>
      <c r="B983">
        <v>35</v>
      </c>
      <c r="C983" s="150" t="s">
        <v>1195</v>
      </c>
      <c r="D983" s="150">
        <v>11</v>
      </c>
      <c r="E983" s="150" t="s">
        <v>1204</v>
      </c>
      <c r="F983" s="150">
        <v>58</v>
      </c>
      <c r="G983" s="150" t="s">
        <v>1035</v>
      </c>
      <c r="H983" s="150">
        <v>23890</v>
      </c>
      <c r="I983" s="150">
        <v>1304493</v>
      </c>
      <c r="J983" s="150">
        <v>1</v>
      </c>
      <c r="K983" s="150">
        <v>14777</v>
      </c>
      <c r="L983" s="150">
        <v>1972</v>
      </c>
      <c r="M983" s="150">
        <v>1288.71</v>
      </c>
      <c r="N983" s="150">
        <v>0</v>
      </c>
      <c r="O983" s="150">
        <v>425807</v>
      </c>
      <c r="P983" s="150">
        <v>442159</v>
      </c>
      <c r="Q983" s="150">
        <v>445076.71</v>
      </c>
      <c r="R983" s="150">
        <v>445076.71</v>
      </c>
    </row>
    <row r="984" spans="1:18" x14ac:dyDescent="0.25">
      <c r="A984" t="str">
        <f t="shared" si="15"/>
        <v>9-20-20</v>
      </c>
      <c r="B984">
        <v>9</v>
      </c>
      <c r="C984" s="150" t="s">
        <v>1161</v>
      </c>
      <c r="D984" s="150">
        <v>20</v>
      </c>
      <c r="E984" s="150" t="s">
        <v>238</v>
      </c>
      <c r="F984" s="150">
        <v>20</v>
      </c>
      <c r="G984" s="150" t="s">
        <v>1275</v>
      </c>
      <c r="H984" s="150">
        <v>0</v>
      </c>
      <c r="I984" s="150">
        <v>6752626</v>
      </c>
      <c r="J984" s="150" t="s">
        <v>1203</v>
      </c>
      <c r="K984" s="150">
        <v>0</v>
      </c>
      <c r="L984" s="150">
        <v>0</v>
      </c>
      <c r="M984" s="150">
        <v>27</v>
      </c>
      <c r="N984" s="150">
        <v>0</v>
      </c>
      <c r="O984" s="283">
        <v>0</v>
      </c>
      <c r="P984" s="283">
        <v>125000</v>
      </c>
      <c r="Q984" s="283">
        <v>125004</v>
      </c>
      <c r="R984" s="283">
        <v>125004</v>
      </c>
    </row>
    <row r="985" spans="1:18" x14ac:dyDescent="0.25">
      <c r="A985" t="str">
        <f t="shared" si="15"/>
        <v>18-7-148</v>
      </c>
      <c r="B985">
        <v>18</v>
      </c>
      <c r="C985" s="150" t="s">
        <v>1170</v>
      </c>
      <c r="D985" s="150">
        <v>7</v>
      </c>
      <c r="E985" s="150" t="s">
        <v>681</v>
      </c>
      <c r="F985" s="150">
        <v>148</v>
      </c>
      <c r="G985" s="150" t="s">
        <v>383</v>
      </c>
      <c r="H985" s="150">
        <v>1514</v>
      </c>
      <c r="I985" s="150">
        <v>180789</v>
      </c>
      <c r="J985" s="150">
        <v>1</v>
      </c>
      <c r="K985" s="150">
        <v>44</v>
      </c>
      <c r="L985" s="150">
        <v>26</v>
      </c>
      <c r="M985" s="150">
        <v>6.6499999999999995</v>
      </c>
      <c r="N985" s="150">
        <v>0</v>
      </c>
      <c r="O985" s="150">
        <v>1570</v>
      </c>
      <c r="P985" s="150">
        <v>1570</v>
      </c>
      <c r="Q985" s="150">
        <v>1499.65</v>
      </c>
      <c r="R985" s="150">
        <v>1570</v>
      </c>
    </row>
    <row r="986" spans="1:18" x14ac:dyDescent="0.25">
      <c r="A986" t="str">
        <f t="shared" si="15"/>
        <v>35-7-148</v>
      </c>
      <c r="B986">
        <v>35</v>
      </c>
      <c r="C986" s="150" t="s">
        <v>1195</v>
      </c>
      <c r="D986" s="150">
        <v>7</v>
      </c>
      <c r="E986" s="150" t="s">
        <v>681</v>
      </c>
      <c r="F986" s="150">
        <v>148</v>
      </c>
      <c r="G986" s="150" t="s">
        <v>383</v>
      </c>
      <c r="H986" s="150">
        <v>1514</v>
      </c>
      <c r="I986" s="150">
        <v>180339</v>
      </c>
      <c r="J986" s="150">
        <v>1</v>
      </c>
      <c r="K986" s="150">
        <v>44</v>
      </c>
      <c r="L986" s="150">
        <v>26</v>
      </c>
      <c r="M986" s="150">
        <v>6.6499999999999995</v>
      </c>
      <c r="N986" s="150">
        <v>0</v>
      </c>
      <c r="O986" s="150">
        <v>1570</v>
      </c>
      <c r="P986" s="150">
        <v>1570</v>
      </c>
      <c r="Q986" s="150">
        <v>1499.65</v>
      </c>
      <c r="R986" s="150">
        <v>1570</v>
      </c>
    </row>
    <row r="987" spans="1:18" x14ac:dyDescent="0.25">
      <c r="A987" t="str">
        <f t="shared" si="15"/>
        <v>9-9-81</v>
      </c>
      <c r="B987">
        <v>9</v>
      </c>
      <c r="C987" s="150" t="s">
        <v>1161</v>
      </c>
      <c r="D987" s="150">
        <v>9</v>
      </c>
      <c r="E987" s="150" t="s">
        <v>683</v>
      </c>
      <c r="F987" s="150">
        <v>81</v>
      </c>
      <c r="G987" s="150" t="s">
        <v>512</v>
      </c>
      <c r="H987" s="150">
        <v>0</v>
      </c>
      <c r="I987" s="150">
        <v>16825862</v>
      </c>
      <c r="J987" s="150">
        <v>1</v>
      </c>
      <c r="K987" s="150">
        <v>767</v>
      </c>
      <c r="L987" s="150">
        <v>3674</v>
      </c>
      <c r="M987" s="150">
        <v>216.94</v>
      </c>
      <c r="N987" s="150">
        <v>0</v>
      </c>
      <c r="O987" s="150">
        <v>842688</v>
      </c>
      <c r="P987" s="150">
        <v>897473</v>
      </c>
      <c r="Q987" s="150">
        <v>954269.94</v>
      </c>
      <c r="R987" s="150">
        <v>954269.94</v>
      </c>
    </row>
    <row r="988" spans="1:18" x14ac:dyDescent="0.25">
      <c r="A988" t="str">
        <f t="shared" si="15"/>
        <v>28-9-81</v>
      </c>
      <c r="B988">
        <v>28</v>
      </c>
      <c r="C988" s="150" t="s">
        <v>1180</v>
      </c>
      <c r="D988" s="150">
        <v>9</v>
      </c>
      <c r="E988" s="150" t="s">
        <v>683</v>
      </c>
      <c r="F988" s="150">
        <v>81</v>
      </c>
      <c r="G988" s="150" t="s">
        <v>512</v>
      </c>
      <c r="H988" s="150">
        <v>0</v>
      </c>
      <c r="I988" s="150">
        <v>6460319</v>
      </c>
      <c r="J988" s="150">
        <v>1</v>
      </c>
      <c r="K988" s="150">
        <v>767</v>
      </c>
      <c r="L988" s="150">
        <v>3674</v>
      </c>
      <c r="M988" s="150">
        <v>216.94</v>
      </c>
      <c r="N988" s="150">
        <v>0</v>
      </c>
      <c r="O988" s="150">
        <v>842688</v>
      </c>
      <c r="P988" s="150">
        <v>897473</v>
      </c>
      <c r="Q988" s="150">
        <v>954269.94</v>
      </c>
      <c r="R988" s="150">
        <v>954269.94</v>
      </c>
    </row>
    <row r="989" spans="1:18" x14ac:dyDescent="0.25">
      <c r="A989" t="str">
        <f t="shared" si="15"/>
        <v>1-30-2</v>
      </c>
      <c r="B989">
        <v>1</v>
      </c>
      <c r="C989" s="150" t="s">
        <v>1155</v>
      </c>
      <c r="D989" s="150">
        <v>30</v>
      </c>
      <c r="E989" s="150" t="s">
        <v>685</v>
      </c>
      <c r="F989" s="150">
        <v>2</v>
      </c>
      <c r="G989" s="150" t="s">
        <v>716</v>
      </c>
      <c r="H989" s="150">
        <v>0</v>
      </c>
      <c r="I989" s="150">
        <v>0</v>
      </c>
      <c r="J989" s="150" t="s">
        <v>1203</v>
      </c>
      <c r="K989" s="150">
        <v>0</v>
      </c>
      <c r="L989" s="150">
        <v>0</v>
      </c>
      <c r="M989" s="150">
        <v>0</v>
      </c>
      <c r="N989" s="150">
        <v>0</v>
      </c>
      <c r="O989" s="150">
        <v>0</v>
      </c>
      <c r="P989" s="150">
        <v>0</v>
      </c>
      <c r="Q989" s="150">
        <v>0</v>
      </c>
      <c r="R989" s="150">
        <v>0</v>
      </c>
    </row>
    <row r="990" spans="1:18" x14ac:dyDescent="0.25">
      <c r="A990" t="str">
        <f t="shared" si="15"/>
        <v>6-7-150</v>
      </c>
      <c r="B990">
        <v>6</v>
      </c>
      <c r="C990" s="150" t="s">
        <v>1159</v>
      </c>
      <c r="D990" s="150">
        <v>7</v>
      </c>
      <c r="E990" s="150" t="s">
        <v>681</v>
      </c>
      <c r="F990" s="150">
        <v>150</v>
      </c>
      <c r="G990" s="150" t="s">
        <v>230</v>
      </c>
      <c r="H990" s="150">
        <v>59</v>
      </c>
      <c r="I990" s="150">
        <v>13390838</v>
      </c>
      <c r="J990" s="150" t="s">
        <v>1203</v>
      </c>
      <c r="K990" s="150">
        <v>526</v>
      </c>
      <c r="L990" s="150">
        <v>100</v>
      </c>
      <c r="M990" s="150">
        <v>51.35</v>
      </c>
      <c r="N990" s="150">
        <v>0</v>
      </c>
      <c r="O990" s="150">
        <v>9819</v>
      </c>
      <c r="P990" s="150">
        <v>9368</v>
      </c>
      <c r="Q990" s="150">
        <v>9419.35</v>
      </c>
      <c r="R990" s="150">
        <v>9819</v>
      </c>
    </row>
    <row r="991" spans="1:18" x14ac:dyDescent="0.25">
      <c r="A991" t="str">
        <f t="shared" si="15"/>
        <v>22-7-152</v>
      </c>
      <c r="B991">
        <v>22</v>
      </c>
      <c r="C991" s="150" t="s">
        <v>1174</v>
      </c>
      <c r="D991" s="150">
        <v>7</v>
      </c>
      <c r="E991" s="150" t="s">
        <v>681</v>
      </c>
      <c r="F991" s="150">
        <v>152</v>
      </c>
      <c r="G991" s="150" t="s">
        <v>952</v>
      </c>
      <c r="H991" s="150">
        <v>2770</v>
      </c>
      <c r="I991" s="150">
        <v>2504020</v>
      </c>
      <c r="J991" s="150" t="s">
        <v>1203</v>
      </c>
      <c r="K991" s="150">
        <v>679</v>
      </c>
      <c r="L991" s="150">
        <v>15</v>
      </c>
      <c r="M991" s="150">
        <v>0</v>
      </c>
      <c r="N991" s="150">
        <v>0</v>
      </c>
      <c r="O991" s="150">
        <v>12034</v>
      </c>
      <c r="P991" s="150">
        <v>11694</v>
      </c>
      <c r="Q991" s="150">
        <v>12668</v>
      </c>
      <c r="R991" s="150">
        <v>12668</v>
      </c>
    </row>
    <row r="992" spans="1:18" x14ac:dyDescent="0.25">
      <c r="A992" t="str">
        <f t="shared" si="15"/>
        <v>5-4-14</v>
      </c>
      <c r="B992">
        <v>5</v>
      </c>
      <c r="C992" s="150" t="s">
        <v>1158</v>
      </c>
      <c r="D992" s="150">
        <v>4</v>
      </c>
      <c r="E992" s="150" t="s">
        <v>146</v>
      </c>
      <c r="F992" s="150">
        <v>14</v>
      </c>
      <c r="G992" s="150" t="s">
        <v>761</v>
      </c>
      <c r="H992" s="150">
        <v>0</v>
      </c>
      <c r="I992" s="150">
        <v>13592796</v>
      </c>
      <c r="J992" s="150">
        <v>1</v>
      </c>
      <c r="K992" s="150">
        <v>3048</v>
      </c>
      <c r="L992" s="150">
        <v>43285</v>
      </c>
      <c r="M992" s="150">
        <v>6007.37</v>
      </c>
      <c r="N992" s="150">
        <v>0</v>
      </c>
      <c r="O992" s="150">
        <v>67319</v>
      </c>
      <c r="P992" s="150">
        <v>69873</v>
      </c>
      <c r="Q992" s="150">
        <v>72863</v>
      </c>
      <c r="R992" s="150">
        <v>72863</v>
      </c>
    </row>
    <row r="993" spans="1:18" x14ac:dyDescent="0.25">
      <c r="A993" t="str">
        <f t="shared" si="15"/>
        <v>40-4-14</v>
      </c>
      <c r="B993">
        <v>40</v>
      </c>
      <c r="C993" s="150" t="s">
        <v>1190</v>
      </c>
      <c r="D993" s="150">
        <v>4</v>
      </c>
      <c r="E993" s="150" t="s">
        <v>146</v>
      </c>
      <c r="F993" s="150">
        <v>14</v>
      </c>
      <c r="G993" s="150" t="s">
        <v>761</v>
      </c>
      <c r="H993" s="150">
        <v>0</v>
      </c>
      <c r="I993" s="150">
        <v>158506</v>
      </c>
      <c r="J993" s="150">
        <v>1</v>
      </c>
      <c r="K993" s="150">
        <v>3048</v>
      </c>
      <c r="L993" s="150">
        <v>43285</v>
      </c>
      <c r="M993" s="150">
        <v>6007.37</v>
      </c>
      <c r="N993" s="150">
        <v>0</v>
      </c>
      <c r="O993" s="150">
        <v>67319</v>
      </c>
      <c r="P993" s="150">
        <v>69873</v>
      </c>
      <c r="Q993" s="150">
        <v>72863</v>
      </c>
      <c r="R993" s="150">
        <v>72863</v>
      </c>
    </row>
    <row r="994" spans="1:18" x14ac:dyDescent="0.25">
      <c r="A994" t="str">
        <f t="shared" si="15"/>
        <v>4-7-140</v>
      </c>
      <c r="B994">
        <v>4</v>
      </c>
      <c r="C994" s="150" t="s">
        <v>1196</v>
      </c>
      <c r="D994" s="150">
        <v>7</v>
      </c>
      <c r="E994" s="150" t="s">
        <v>681</v>
      </c>
      <c r="F994" s="150">
        <v>140</v>
      </c>
      <c r="G994" s="150" t="s">
        <v>212</v>
      </c>
      <c r="H994" s="150">
        <v>0</v>
      </c>
      <c r="I994" s="150">
        <v>2535790</v>
      </c>
      <c r="J994" s="150" t="s">
        <v>1203</v>
      </c>
      <c r="K994" s="150">
        <v>60</v>
      </c>
      <c r="L994" s="150">
        <v>17</v>
      </c>
      <c r="M994" s="150">
        <v>1.96</v>
      </c>
      <c r="N994" s="150">
        <v>0</v>
      </c>
      <c r="O994" s="150">
        <v>9949</v>
      </c>
      <c r="P994" s="150">
        <v>10592</v>
      </c>
      <c r="Q994" s="150">
        <v>11196.96</v>
      </c>
      <c r="R994" s="150">
        <v>11196.96</v>
      </c>
    </row>
    <row r="995" spans="1:18" x14ac:dyDescent="0.25">
      <c r="A995" t="str">
        <f t="shared" si="15"/>
        <v>40-9-82</v>
      </c>
      <c r="B995">
        <v>40</v>
      </c>
      <c r="C995" s="150" t="s">
        <v>1190</v>
      </c>
      <c r="D995" s="150">
        <v>9</v>
      </c>
      <c r="E995" s="150" t="s">
        <v>683</v>
      </c>
      <c r="F995" s="150">
        <v>82</v>
      </c>
      <c r="G995" s="150" t="s">
        <v>1112</v>
      </c>
      <c r="H995" s="150">
        <v>5431</v>
      </c>
      <c r="I995" s="150">
        <v>3314993</v>
      </c>
      <c r="J995" s="150" t="s">
        <v>1203</v>
      </c>
      <c r="K995" s="150">
        <v>0</v>
      </c>
      <c r="L995" s="150">
        <v>11</v>
      </c>
      <c r="M995" s="150">
        <v>1.52</v>
      </c>
      <c r="N995" s="150">
        <v>0</v>
      </c>
      <c r="O995" s="150">
        <v>12415</v>
      </c>
      <c r="P995" s="150">
        <v>12193</v>
      </c>
      <c r="Q995" s="150">
        <v>12914.52</v>
      </c>
      <c r="R995" s="150">
        <v>12914.52</v>
      </c>
    </row>
    <row r="996" spans="1:18" x14ac:dyDescent="0.25">
      <c r="A996" t="str">
        <f t="shared" si="15"/>
        <v>36-7-141</v>
      </c>
      <c r="B996">
        <v>36</v>
      </c>
      <c r="C996" s="150" t="s">
        <v>1187</v>
      </c>
      <c r="D996" s="150">
        <v>7</v>
      </c>
      <c r="E996" s="150" t="s">
        <v>681</v>
      </c>
      <c r="F996" s="150">
        <v>141</v>
      </c>
      <c r="G996" s="150" t="s">
        <v>597</v>
      </c>
      <c r="H996" s="150">
        <v>293</v>
      </c>
      <c r="I996" s="150">
        <v>4401837</v>
      </c>
      <c r="J996" s="150" t="s">
        <v>1203</v>
      </c>
      <c r="K996" s="150">
        <v>303</v>
      </c>
      <c r="L996" s="150">
        <v>15</v>
      </c>
      <c r="M996" s="150">
        <v>15.37</v>
      </c>
      <c r="N996" s="150">
        <v>0</v>
      </c>
      <c r="O996" s="150">
        <v>7639</v>
      </c>
      <c r="P996" s="150">
        <v>7681</v>
      </c>
      <c r="Q996" s="150">
        <v>8125.37</v>
      </c>
      <c r="R996" s="150">
        <v>8125.37</v>
      </c>
    </row>
    <row r="997" spans="1:18" x14ac:dyDescent="0.25">
      <c r="A997" t="str">
        <f t="shared" si="15"/>
        <v>5-9-83</v>
      </c>
      <c r="B997">
        <v>5</v>
      </c>
      <c r="C997" s="150" t="s">
        <v>1158</v>
      </c>
      <c r="D997" s="150">
        <v>9</v>
      </c>
      <c r="E997" s="150" t="s">
        <v>683</v>
      </c>
      <c r="F997" s="150">
        <v>83</v>
      </c>
      <c r="G997" s="150" t="s">
        <v>513</v>
      </c>
      <c r="H997" s="150">
        <v>7931</v>
      </c>
      <c r="I997" s="150">
        <v>7237442</v>
      </c>
      <c r="J997" s="150">
        <v>1</v>
      </c>
      <c r="K997" s="150">
        <v>352</v>
      </c>
      <c r="L997" s="150">
        <v>6674</v>
      </c>
      <c r="M997" s="150">
        <v>950.68000000000006</v>
      </c>
      <c r="N997" s="150">
        <v>0</v>
      </c>
      <c r="O997" s="150">
        <v>451026</v>
      </c>
      <c r="P997" s="150">
        <v>467026</v>
      </c>
      <c r="Q997" s="150">
        <v>485977.68</v>
      </c>
      <c r="R997" s="150">
        <v>485977.68</v>
      </c>
    </row>
    <row r="998" spans="1:18" x14ac:dyDescent="0.25">
      <c r="A998" t="str">
        <f t="shared" si="15"/>
        <v>28-9-83</v>
      </c>
      <c r="B998">
        <v>28</v>
      </c>
      <c r="C998" s="150" t="s">
        <v>1180</v>
      </c>
      <c r="D998" s="150">
        <v>9</v>
      </c>
      <c r="E998" s="150" t="s">
        <v>683</v>
      </c>
      <c r="F998" s="150">
        <v>83</v>
      </c>
      <c r="G998" s="150" t="s">
        <v>513</v>
      </c>
      <c r="H998" s="150">
        <v>7931</v>
      </c>
      <c r="I998" s="150">
        <v>8954117</v>
      </c>
      <c r="J998" s="150">
        <v>1</v>
      </c>
      <c r="K998" s="150">
        <v>352</v>
      </c>
      <c r="L998" s="150">
        <v>6674</v>
      </c>
      <c r="M998" s="150">
        <v>950.68000000000006</v>
      </c>
      <c r="N998" s="150">
        <v>0</v>
      </c>
      <c r="O998" s="150">
        <v>451026</v>
      </c>
      <c r="P998" s="150">
        <v>467026</v>
      </c>
      <c r="Q998" s="150">
        <v>485977.68</v>
      </c>
      <c r="R998" s="150">
        <v>485977.68</v>
      </c>
    </row>
    <row r="999" spans="1:18" x14ac:dyDescent="0.25">
      <c r="A999" t="str">
        <f t="shared" si="15"/>
        <v>19-14-59</v>
      </c>
      <c r="B999">
        <v>19</v>
      </c>
      <c r="C999" s="150" t="s">
        <v>1171</v>
      </c>
      <c r="D999" s="150">
        <v>14</v>
      </c>
      <c r="E999" s="150" t="s">
        <v>665</v>
      </c>
      <c r="F999" s="150">
        <v>59</v>
      </c>
      <c r="G999" s="150" t="s">
        <v>394</v>
      </c>
      <c r="H999" s="150">
        <v>2064</v>
      </c>
      <c r="I999" s="150">
        <v>1916127</v>
      </c>
      <c r="J999" s="150" t="s">
        <v>1203</v>
      </c>
      <c r="K999" s="150">
        <v>24</v>
      </c>
      <c r="L999" s="150">
        <v>453</v>
      </c>
      <c r="M999" s="150">
        <v>181.72</v>
      </c>
      <c r="N999" s="150">
        <v>0</v>
      </c>
      <c r="O999" s="150">
        <v>64598</v>
      </c>
      <c r="P999" s="150">
        <v>67551</v>
      </c>
      <c r="Q999" s="150">
        <v>70375.72</v>
      </c>
      <c r="R999" s="150">
        <v>70375.72</v>
      </c>
    </row>
    <row r="1000" spans="1:18" x14ac:dyDescent="0.25">
      <c r="A1000" t="str">
        <f t="shared" si="15"/>
        <v>1-7-151</v>
      </c>
      <c r="B1000">
        <v>1</v>
      </c>
      <c r="C1000" s="150" t="s">
        <v>1155</v>
      </c>
      <c r="D1000" s="150">
        <v>7</v>
      </c>
      <c r="E1000" s="150" t="s">
        <v>681</v>
      </c>
      <c r="F1000" s="150">
        <v>151</v>
      </c>
      <c r="G1000" s="150" t="s">
        <v>173</v>
      </c>
      <c r="H1000" s="150">
        <v>45058</v>
      </c>
      <c r="I1000" s="150">
        <v>65671002</v>
      </c>
      <c r="J1000" s="150" t="s">
        <v>1203</v>
      </c>
      <c r="K1000" s="150">
        <v>309</v>
      </c>
      <c r="L1000" s="150">
        <v>193</v>
      </c>
      <c r="M1000" s="150">
        <v>35.869999999999997</v>
      </c>
      <c r="N1000" s="150">
        <v>0</v>
      </c>
      <c r="O1000" s="150">
        <v>128191</v>
      </c>
      <c r="P1000" s="150">
        <v>138446</v>
      </c>
      <c r="Q1000" s="150">
        <v>149151.87</v>
      </c>
      <c r="R1000" s="150">
        <v>149151.87</v>
      </c>
    </row>
    <row r="1001" spans="1:18" x14ac:dyDescent="0.25">
      <c r="A1001" t="str">
        <f t="shared" si="15"/>
        <v>1-9-84</v>
      </c>
      <c r="B1001">
        <v>1</v>
      </c>
      <c r="C1001" s="150" t="s">
        <v>1155</v>
      </c>
      <c r="D1001" s="150">
        <v>9</v>
      </c>
      <c r="E1001" s="150" t="s">
        <v>683</v>
      </c>
      <c r="F1001" s="150">
        <v>84</v>
      </c>
      <c r="G1001" s="150" t="s">
        <v>329</v>
      </c>
      <c r="H1001" s="150">
        <v>0</v>
      </c>
      <c r="I1001" s="150">
        <v>0</v>
      </c>
      <c r="J1001" s="150">
        <v>1</v>
      </c>
      <c r="K1001" s="150">
        <v>5201</v>
      </c>
      <c r="L1001" s="150">
        <v>5978</v>
      </c>
      <c r="M1001" s="150">
        <v>1002.59</v>
      </c>
      <c r="N1001" s="150">
        <v>0</v>
      </c>
      <c r="O1001" s="150">
        <v>3231047</v>
      </c>
      <c r="P1001" s="150">
        <v>3489531</v>
      </c>
      <c r="Q1001" s="150">
        <v>3768692.59</v>
      </c>
      <c r="R1001" s="150">
        <v>3768692.59</v>
      </c>
    </row>
    <row r="1002" spans="1:18" x14ac:dyDescent="0.25">
      <c r="A1002" t="str">
        <f t="shared" si="15"/>
        <v>14-9-84</v>
      </c>
      <c r="B1002">
        <v>14</v>
      </c>
      <c r="C1002" s="150" t="s">
        <v>1166</v>
      </c>
      <c r="D1002" s="150">
        <v>9</v>
      </c>
      <c r="E1002" s="150" t="s">
        <v>683</v>
      </c>
      <c r="F1002" s="150">
        <v>84</v>
      </c>
      <c r="G1002" s="150" t="s">
        <v>329</v>
      </c>
      <c r="H1002" s="150">
        <v>0</v>
      </c>
      <c r="I1002" s="150">
        <v>0</v>
      </c>
      <c r="J1002" s="150">
        <v>1</v>
      </c>
      <c r="K1002" s="150">
        <v>5201</v>
      </c>
      <c r="L1002" s="150">
        <v>5978</v>
      </c>
      <c r="M1002" s="150">
        <v>1002.59</v>
      </c>
      <c r="N1002" s="150">
        <v>0</v>
      </c>
      <c r="O1002" s="150">
        <v>3231047</v>
      </c>
      <c r="P1002" s="150">
        <v>3489531</v>
      </c>
      <c r="Q1002" s="150">
        <v>3768692.59</v>
      </c>
      <c r="R1002" s="150">
        <v>3768692.59</v>
      </c>
    </row>
    <row r="1003" spans="1:18" x14ac:dyDescent="0.25">
      <c r="A1003" t="str">
        <f t="shared" si="15"/>
        <v>1-20-17</v>
      </c>
      <c r="B1003">
        <v>1</v>
      </c>
      <c r="C1003" s="150" t="s">
        <v>1155</v>
      </c>
      <c r="D1003" s="150">
        <v>20</v>
      </c>
      <c r="E1003" s="150" t="s">
        <v>238</v>
      </c>
      <c r="F1003" s="150">
        <v>17</v>
      </c>
      <c r="G1003" s="150" t="s">
        <v>714</v>
      </c>
      <c r="H1003" s="150">
        <v>1111</v>
      </c>
      <c r="I1003" s="150">
        <v>17482867</v>
      </c>
      <c r="J1003" s="150">
        <v>1</v>
      </c>
      <c r="K1003" s="150">
        <v>131</v>
      </c>
      <c r="L1003" s="150">
        <v>1100</v>
      </c>
      <c r="M1003" s="150">
        <v>198.2</v>
      </c>
      <c r="N1003" s="150">
        <v>0</v>
      </c>
      <c r="O1003" s="150">
        <v>819159</v>
      </c>
      <c r="P1003" s="150">
        <v>884692</v>
      </c>
      <c r="Q1003" s="150">
        <v>955467.2</v>
      </c>
      <c r="R1003" s="150">
        <v>955467.2</v>
      </c>
    </row>
    <row r="1004" spans="1:18" x14ac:dyDescent="0.25">
      <c r="A1004" t="str">
        <f t="shared" si="15"/>
        <v>14-20-17</v>
      </c>
      <c r="B1004">
        <v>14</v>
      </c>
      <c r="C1004" s="150" t="s">
        <v>1166</v>
      </c>
      <c r="D1004" s="150">
        <v>20</v>
      </c>
      <c r="E1004" s="150" t="s">
        <v>238</v>
      </c>
      <c r="F1004" s="150">
        <v>17</v>
      </c>
      <c r="G1004" s="150" t="s">
        <v>714</v>
      </c>
      <c r="H1004" s="150">
        <v>1111</v>
      </c>
      <c r="I1004" s="150">
        <v>421235</v>
      </c>
      <c r="J1004" s="150">
        <v>1</v>
      </c>
      <c r="K1004" s="150">
        <v>131</v>
      </c>
      <c r="L1004" s="150">
        <v>1100</v>
      </c>
      <c r="M1004" s="150">
        <v>198.2</v>
      </c>
      <c r="N1004" s="150">
        <v>0</v>
      </c>
      <c r="O1004" s="150">
        <v>819159</v>
      </c>
      <c r="P1004" s="150">
        <v>884692</v>
      </c>
      <c r="Q1004" s="150">
        <v>955467.2</v>
      </c>
      <c r="R1004" s="150">
        <v>955467.2</v>
      </c>
    </row>
    <row r="1005" spans="1:18" x14ac:dyDescent="0.25">
      <c r="A1005" t="str">
        <f t="shared" si="15"/>
        <v>16-7-194</v>
      </c>
      <c r="B1005">
        <v>16</v>
      </c>
      <c r="C1005" s="150" t="s">
        <v>1168</v>
      </c>
      <c r="D1005" s="150">
        <v>7</v>
      </c>
      <c r="E1005" s="150" t="s">
        <v>681</v>
      </c>
      <c r="F1005" s="150">
        <v>194</v>
      </c>
      <c r="G1005" s="150" t="s">
        <v>362</v>
      </c>
      <c r="H1005" s="150">
        <v>0</v>
      </c>
      <c r="I1005" s="150">
        <v>2264959</v>
      </c>
      <c r="J1005" s="150" t="s">
        <v>1203</v>
      </c>
      <c r="K1005" s="150">
        <v>0</v>
      </c>
      <c r="L1005" s="150">
        <v>22</v>
      </c>
      <c r="M1005" s="150">
        <v>2.06</v>
      </c>
      <c r="N1005" s="150">
        <v>0</v>
      </c>
      <c r="O1005" s="150">
        <v>1469</v>
      </c>
      <c r="P1005" s="150">
        <v>1513</v>
      </c>
      <c r="Q1005" s="150">
        <v>1558.06</v>
      </c>
      <c r="R1005" s="150">
        <v>1558.06</v>
      </c>
    </row>
    <row r="1006" spans="1:18" x14ac:dyDescent="0.25">
      <c r="A1006" t="str">
        <f t="shared" si="15"/>
        <v>33-7-153</v>
      </c>
      <c r="B1006">
        <v>33</v>
      </c>
      <c r="C1006" s="150" t="s">
        <v>1185</v>
      </c>
      <c r="D1006" s="150">
        <v>7</v>
      </c>
      <c r="E1006" s="150" t="s">
        <v>681</v>
      </c>
      <c r="F1006" s="150">
        <v>153</v>
      </c>
      <c r="G1006" s="150" t="s">
        <v>575</v>
      </c>
      <c r="H1006" s="150">
        <v>0</v>
      </c>
      <c r="I1006" s="150">
        <v>6896546</v>
      </c>
      <c r="J1006" s="150" t="s">
        <v>1203</v>
      </c>
      <c r="K1006" s="150">
        <v>269</v>
      </c>
      <c r="L1006" s="150">
        <v>202</v>
      </c>
      <c r="M1006" s="150">
        <v>71.789999999999992</v>
      </c>
      <c r="N1006" s="150">
        <v>0</v>
      </c>
      <c r="O1006" s="150">
        <v>27705</v>
      </c>
      <c r="P1006" s="150">
        <v>29499</v>
      </c>
      <c r="Q1006" s="150">
        <v>31010.79</v>
      </c>
      <c r="R1006" s="150">
        <v>31010.79</v>
      </c>
    </row>
    <row r="1007" spans="1:18" x14ac:dyDescent="0.25">
      <c r="A1007" t="str">
        <f t="shared" si="15"/>
        <v>22-14-47</v>
      </c>
      <c r="B1007">
        <v>22</v>
      </c>
      <c r="C1007" s="150" t="s">
        <v>1174</v>
      </c>
      <c r="D1007" s="150">
        <v>14</v>
      </c>
      <c r="E1007" s="150" t="s">
        <v>665</v>
      </c>
      <c r="F1007" s="150">
        <v>47</v>
      </c>
      <c r="G1007" s="150" t="s">
        <v>961</v>
      </c>
      <c r="H1007" s="150">
        <v>38736</v>
      </c>
      <c r="I1007" s="150">
        <v>3942421</v>
      </c>
      <c r="J1007" s="150">
        <v>1</v>
      </c>
      <c r="K1007" s="150">
        <v>3865</v>
      </c>
      <c r="L1007" s="150">
        <v>405</v>
      </c>
      <c r="M1007" s="150">
        <v>134.37</v>
      </c>
      <c r="N1007" s="150">
        <v>0</v>
      </c>
      <c r="O1007" s="150">
        <v>60900</v>
      </c>
      <c r="P1007" s="150">
        <v>60800</v>
      </c>
      <c r="Q1007" s="150">
        <v>60800.37</v>
      </c>
      <c r="R1007" s="150">
        <v>60900</v>
      </c>
    </row>
    <row r="1008" spans="1:18" x14ac:dyDescent="0.25">
      <c r="A1008" t="str">
        <f t="shared" si="15"/>
        <v>33-14-47</v>
      </c>
      <c r="B1008">
        <v>33</v>
      </c>
      <c r="C1008" s="150" t="s">
        <v>1185</v>
      </c>
      <c r="D1008" s="150">
        <v>14</v>
      </c>
      <c r="E1008" s="150" t="s">
        <v>665</v>
      </c>
      <c r="F1008" s="150">
        <v>47</v>
      </c>
      <c r="G1008" s="150" t="s">
        <v>961</v>
      </c>
      <c r="H1008" s="150">
        <v>38736</v>
      </c>
      <c r="I1008" s="150">
        <v>12674607</v>
      </c>
      <c r="J1008" s="150">
        <v>1</v>
      </c>
      <c r="K1008" s="150">
        <v>3865</v>
      </c>
      <c r="L1008" s="150">
        <v>405</v>
      </c>
      <c r="M1008" s="150">
        <v>134.37</v>
      </c>
      <c r="N1008" s="150">
        <v>0</v>
      </c>
      <c r="O1008" s="150">
        <v>60900</v>
      </c>
      <c r="P1008" s="150">
        <v>60800</v>
      </c>
      <c r="Q1008" s="150">
        <v>60800.37</v>
      </c>
      <c r="R1008" s="150">
        <v>60900</v>
      </c>
    </row>
    <row r="1009" spans="1:18" x14ac:dyDescent="0.25">
      <c r="A1009" t="str">
        <f t="shared" si="15"/>
        <v>22-4-133</v>
      </c>
      <c r="B1009">
        <v>22</v>
      </c>
      <c r="C1009" s="150" t="s">
        <v>1174</v>
      </c>
      <c r="D1009" s="150">
        <v>4</v>
      </c>
      <c r="E1009" s="150" t="s">
        <v>146</v>
      </c>
      <c r="F1009" s="150">
        <v>133</v>
      </c>
      <c r="G1009" s="150" t="s">
        <v>947</v>
      </c>
      <c r="H1009" s="150">
        <v>0</v>
      </c>
      <c r="I1009" s="150">
        <v>3942421</v>
      </c>
      <c r="J1009" s="150">
        <v>1</v>
      </c>
      <c r="K1009" s="150">
        <v>33191</v>
      </c>
      <c r="L1009" s="150">
        <v>7435</v>
      </c>
      <c r="M1009" s="150">
        <v>2666.3599999999997</v>
      </c>
      <c r="N1009" s="150">
        <v>0</v>
      </c>
      <c r="O1009" s="150">
        <v>58626</v>
      </c>
      <c r="P1009" s="150">
        <v>62086</v>
      </c>
      <c r="Q1009" s="150">
        <v>43292</v>
      </c>
      <c r="R1009" s="150">
        <v>62086</v>
      </c>
    </row>
    <row r="1010" spans="1:18" x14ac:dyDescent="0.25">
      <c r="A1010" t="str">
        <f t="shared" si="15"/>
        <v>33-4-133</v>
      </c>
      <c r="B1010">
        <v>33</v>
      </c>
      <c r="C1010" s="150" t="s">
        <v>1185</v>
      </c>
      <c r="D1010" s="150">
        <v>4</v>
      </c>
      <c r="E1010" s="150" t="s">
        <v>146</v>
      </c>
      <c r="F1010" s="150">
        <v>133</v>
      </c>
      <c r="G1010" s="150" t="s">
        <v>947</v>
      </c>
      <c r="H1010" s="150">
        <v>0</v>
      </c>
      <c r="I1010" s="150">
        <v>12674607</v>
      </c>
      <c r="J1010" s="150">
        <v>1</v>
      </c>
      <c r="K1010" s="150">
        <v>33191</v>
      </c>
      <c r="L1010" s="150">
        <v>7435</v>
      </c>
      <c r="M1010" s="150">
        <v>2666.3599999999997</v>
      </c>
      <c r="N1010" s="150">
        <v>0</v>
      </c>
      <c r="O1010" s="150">
        <v>58626</v>
      </c>
      <c r="P1010" s="150">
        <v>62086</v>
      </c>
      <c r="Q1010" s="150">
        <v>43292</v>
      </c>
      <c r="R1010" s="150">
        <v>62086</v>
      </c>
    </row>
    <row r="1011" spans="1:18" x14ac:dyDescent="0.25">
      <c r="A1011" t="str">
        <f t="shared" si="15"/>
        <v>7-20-21</v>
      </c>
      <c r="B1011">
        <v>7</v>
      </c>
      <c r="C1011" s="150" t="s">
        <v>1199</v>
      </c>
      <c r="D1011" s="150">
        <v>20</v>
      </c>
      <c r="E1011" s="150" t="s">
        <v>238</v>
      </c>
      <c r="F1011" s="150">
        <v>21</v>
      </c>
      <c r="G1011" s="150" t="s">
        <v>795</v>
      </c>
      <c r="H1011" s="150">
        <v>0</v>
      </c>
      <c r="I1011" s="150">
        <v>4311114</v>
      </c>
      <c r="J1011" s="150" t="s">
        <v>1203</v>
      </c>
      <c r="K1011" s="150">
        <v>0</v>
      </c>
      <c r="L1011" s="150">
        <v>851</v>
      </c>
      <c r="M1011" s="150">
        <v>107.46000000000001</v>
      </c>
      <c r="N1011" s="150">
        <v>0</v>
      </c>
      <c r="O1011" s="150">
        <v>1072007</v>
      </c>
      <c r="P1011" s="150">
        <v>1110117</v>
      </c>
      <c r="Q1011" s="150">
        <v>1151629.46</v>
      </c>
      <c r="R1011" s="150">
        <v>1151629.46</v>
      </c>
    </row>
    <row r="1012" spans="1:18" x14ac:dyDescent="0.25">
      <c r="A1012" t="str">
        <f t="shared" si="15"/>
        <v>18-9-155</v>
      </c>
      <c r="B1012">
        <v>18</v>
      </c>
      <c r="C1012" s="150" t="s">
        <v>1170</v>
      </c>
      <c r="D1012" s="150">
        <v>9</v>
      </c>
      <c r="E1012" s="150" t="s">
        <v>683</v>
      </c>
      <c r="F1012" s="150">
        <v>155</v>
      </c>
      <c r="G1012" s="150" t="s">
        <v>905</v>
      </c>
      <c r="H1012" s="150">
        <v>1428</v>
      </c>
      <c r="I1012" s="150">
        <v>416559</v>
      </c>
      <c r="J1012" s="150">
        <v>1</v>
      </c>
      <c r="K1012" s="150">
        <v>0</v>
      </c>
      <c r="L1012" s="150">
        <v>0</v>
      </c>
      <c r="M1012" s="150">
        <v>2.15</v>
      </c>
      <c r="N1012" s="150">
        <v>0</v>
      </c>
      <c r="O1012" s="150">
        <v>30631</v>
      </c>
      <c r="P1012" s="150">
        <v>32946</v>
      </c>
      <c r="Q1012" s="150">
        <v>34536.15</v>
      </c>
      <c r="R1012" s="150">
        <v>34536.15</v>
      </c>
    </row>
    <row r="1013" spans="1:18" x14ac:dyDescent="0.25">
      <c r="A1013" t="str">
        <f t="shared" si="15"/>
        <v>35-9-155</v>
      </c>
      <c r="B1013">
        <v>35</v>
      </c>
      <c r="C1013" s="150" t="s">
        <v>1195</v>
      </c>
      <c r="D1013" s="150">
        <v>9</v>
      </c>
      <c r="E1013" s="150" t="s">
        <v>683</v>
      </c>
      <c r="F1013" s="150">
        <v>155</v>
      </c>
      <c r="G1013" s="150" t="s">
        <v>905</v>
      </c>
      <c r="H1013" s="150">
        <v>1428</v>
      </c>
      <c r="I1013" s="150">
        <v>524234</v>
      </c>
      <c r="J1013" s="150">
        <v>1</v>
      </c>
      <c r="K1013" s="150">
        <v>0</v>
      </c>
      <c r="L1013" s="150">
        <v>0</v>
      </c>
      <c r="M1013" s="150">
        <v>2.15</v>
      </c>
      <c r="N1013" s="150">
        <v>0</v>
      </c>
      <c r="O1013" s="150">
        <v>30631</v>
      </c>
      <c r="P1013" s="150">
        <v>32946</v>
      </c>
      <c r="Q1013" s="150">
        <v>34536.15</v>
      </c>
      <c r="R1013" s="150">
        <v>34536.15</v>
      </c>
    </row>
    <row r="1014" spans="1:18" x14ac:dyDescent="0.25">
      <c r="A1014" t="str">
        <f t="shared" si="15"/>
        <v>1-9-187</v>
      </c>
      <c r="B1014">
        <v>1</v>
      </c>
      <c r="C1014" s="150" t="s">
        <v>1155</v>
      </c>
      <c r="D1014" s="150">
        <v>9</v>
      </c>
      <c r="E1014" s="150" t="s">
        <v>683</v>
      </c>
      <c r="F1014" s="150">
        <v>187</v>
      </c>
      <c r="G1014" s="150" t="s">
        <v>709</v>
      </c>
      <c r="H1014" s="150">
        <v>0</v>
      </c>
      <c r="I1014" s="150">
        <v>0</v>
      </c>
      <c r="J1014" s="150" t="s">
        <v>1203</v>
      </c>
      <c r="K1014" s="150">
        <v>0</v>
      </c>
      <c r="L1014" s="150">
        <v>0</v>
      </c>
      <c r="M1014" s="150">
        <v>0</v>
      </c>
      <c r="N1014" s="150">
        <v>0</v>
      </c>
      <c r="O1014" s="150">
        <v>60723</v>
      </c>
      <c r="P1014" s="150">
        <v>62545</v>
      </c>
      <c r="Q1014" s="150">
        <v>65565</v>
      </c>
      <c r="R1014" s="150">
        <v>65565</v>
      </c>
    </row>
    <row r="1015" spans="1:18" x14ac:dyDescent="0.25">
      <c r="A1015" t="str">
        <f t="shared" si="15"/>
        <v>33-7-154</v>
      </c>
      <c r="B1015">
        <v>33</v>
      </c>
      <c r="C1015" s="150" t="s">
        <v>1185</v>
      </c>
      <c r="D1015" s="150">
        <v>7</v>
      </c>
      <c r="E1015" s="150" t="s">
        <v>681</v>
      </c>
      <c r="F1015" s="150">
        <v>154</v>
      </c>
      <c r="G1015" s="150" t="s">
        <v>576</v>
      </c>
      <c r="H1015" s="150">
        <v>0</v>
      </c>
      <c r="I1015" s="150">
        <v>7567005</v>
      </c>
      <c r="J1015" s="150" t="s">
        <v>1203</v>
      </c>
      <c r="K1015" s="150">
        <v>717</v>
      </c>
      <c r="L1015" s="150">
        <v>93</v>
      </c>
      <c r="M1015" s="150">
        <v>35.83</v>
      </c>
      <c r="N1015" s="150">
        <v>0</v>
      </c>
      <c r="O1015" s="150">
        <v>25024</v>
      </c>
      <c r="P1015" s="150">
        <v>26245</v>
      </c>
      <c r="Q1015" s="150">
        <v>27211.83</v>
      </c>
      <c r="R1015" s="150">
        <v>27211.83</v>
      </c>
    </row>
    <row r="1016" spans="1:18" x14ac:dyDescent="0.25">
      <c r="A1016" t="str">
        <f t="shared" si="15"/>
        <v>3-7-155</v>
      </c>
      <c r="B1016">
        <v>3</v>
      </c>
      <c r="C1016" s="150" t="s">
        <v>1157</v>
      </c>
      <c r="D1016" s="150">
        <v>7</v>
      </c>
      <c r="E1016" s="150" t="s">
        <v>681</v>
      </c>
      <c r="F1016" s="150">
        <v>155</v>
      </c>
      <c r="G1016" s="150" t="s">
        <v>196</v>
      </c>
      <c r="H1016" s="150">
        <v>100</v>
      </c>
      <c r="I1016" s="150">
        <v>36169655</v>
      </c>
      <c r="J1016" s="150" t="s">
        <v>1203</v>
      </c>
      <c r="K1016" s="150">
        <v>227</v>
      </c>
      <c r="L1016" s="150">
        <v>17</v>
      </c>
      <c r="M1016" s="150">
        <v>23.92</v>
      </c>
      <c r="N1016" s="150">
        <v>0</v>
      </c>
      <c r="O1016" s="150">
        <v>4298</v>
      </c>
      <c r="P1016" s="150">
        <v>4427</v>
      </c>
      <c r="Q1016" s="150">
        <v>4559.92</v>
      </c>
      <c r="R1016" s="150">
        <v>4559.92</v>
      </c>
    </row>
    <row r="1017" spans="1:18" x14ac:dyDescent="0.25">
      <c r="A1017" t="str">
        <f t="shared" si="15"/>
        <v>10-7-203</v>
      </c>
      <c r="B1017">
        <v>10</v>
      </c>
      <c r="C1017" s="150" t="s">
        <v>1162</v>
      </c>
      <c r="D1017" s="150">
        <v>7</v>
      </c>
      <c r="E1017" s="150" t="s">
        <v>681</v>
      </c>
      <c r="F1017" s="150">
        <v>203</v>
      </c>
      <c r="G1017" s="150" t="s">
        <v>293</v>
      </c>
      <c r="H1017" s="150">
        <v>0</v>
      </c>
      <c r="I1017" s="150">
        <v>2101889</v>
      </c>
      <c r="J1017" s="150" t="s">
        <v>1203</v>
      </c>
      <c r="K1017" s="150">
        <v>0</v>
      </c>
      <c r="L1017" s="150">
        <v>24</v>
      </c>
      <c r="M1017" s="150">
        <v>6.58</v>
      </c>
      <c r="N1017" s="150">
        <v>0</v>
      </c>
      <c r="O1017" s="150">
        <v>8014</v>
      </c>
      <c r="P1017" s="150">
        <v>8482</v>
      </c>
      <c r="Q1017" s="150">
        <v>9023.58</v>
      </c>
      <c r="R1017" s="150">
        <v>9023.58</v>
      </c>
    </row>
    <row r="1018" spans="1:18" x14ac:dyDescent="0.25">
      <c r="A1018" t="str">
        <f t="shared" si="15"/>
        <v>10-4-30</v>
      </c>
      <c r="B1018">
        <v>10</v>
      </c>
      <c r="C1018" s="150" t="s">
        <v>1162</v>
      </c>
      <c r="D1018" s="150">
        <v>4</v>
      </c>
      <c r="E1018" s="150" t="s">
        <v>146</v>
      </c>
      <c r="F1018" s="150">
        <v>30</v>
      </c>
      <c r="G1018" s="150" t="s">
        <v>827</v>
      </c>
      <c r="H1018" s="150">
        <v>0</v>
      </c>
      <c r="I1018" s="150">
        <v>2629793</v>
      </c>
      <c r="J1018" s="150" t="s">
        <v>1203</v>
      </c>
      <c r="K1018" s="150">
        <v>1076</v>
      </c>
      <c r="L1018" s="150">
        <v>1225</v>
      </c>
      <c r="M1018" s="150">
        <v>264.88</v>
      </c>
      <c r="N1018" s="150">
        <v>0</v>
      </c>
      <c r="O1018" s="150">
        <v>21590</v>
      </c>
      <c r="P1018" s="150">
        <v>22815</v>
      </c>
      <c r="Q1018" s="150">
        <v>22815</v>
      </c>
      <c r="R1018" s="150">
        <v>22815</v>
      </c>
    </row>
    <row r="1019" spans="1:18" x14ac:dyDescent="0.25">
      <c r="A1019" t="str">
        <f t="shared" si="15"/>
        <v>23-7-156</v>
      </c>
      <c r="B1019">
        <v>23</v>
      </c>
      <c r="C1019" s="150" t="s">
        <v>1175</v>
      </c>
      <c r="D1019" s="150">
        <v>7</v>
      </c>
      <c r="E1019" s="150" t="s">
        <v>681</v>
      </c>
      <c r="F1019" s="150">
        <v>156</v>
      </c>
      <c r="G1019" s="150" t="s">
        <v>431</v>
      </c>
      <c r="H1019" s="150">
        <v>0</v>
      </c>
      <c r="I1019" s="150">
        <v>4409794</v>
      </c>
      <c r="J1019" s="150" t="s">
        <v>1203</v>
      </c>
      <c r="K1019" s="150">
        <v>78</v>
      </c>
      <c r="L1019" s="150">
        <v>55</v>
      </c>
      <c r="M1019" s="150">
        <v>0.79</v>
      </c>
      <c r="N1019" s="150">
        <v>0</v>
      </c>
      <c r="O1019" s="150">
        <v>8759</v>
      </c>
      <c r="P1019" s="150">
        <v>9017</v>
      </c>
      <c r="Q1019" s="150">
        <v>9655.7900000000009</v>
      </c>
      <c r="R1019" s="150">
        <v>9655.7900000000009</v>
      </c>
    </row>
    <row r="1020" spans="1:18" x14ac:dyDescent="0.25">
      <c r="A1020" t="str">
        <f t="shared" si="15"/>
        <v>25-12-9</v>
      </c>
      <c r="B1020">
        <v>25</v>
      </c>
      <c r="C1020" s="150" t="s">
        <v>1177</v>
      </c>
      <c r="D1020" s="150">
        <v>12</v>
      </c>
      <c r="E1020" s="150" t="s">
        <v>151</v>
      </c>
      <c r="F1020" s="150">
        <v>9</v>
      </c>
      <c r="G1020" s="150" t="s">
        <v>479</v>
      </c>
      <c r="H1020" s="150">
        <v>24514</v>
      </c>
      <c r="I1020" s="150">
        <v>30965770</v>
      </c>
      <c r="J1020" s="150" t="s">
        <v>1203</v>
      </c>
      <c r="K1020" s="150">
        <v>4686</v>
      </c>
      <c r="L1020" s="150">
        <v>6625</v>
      </c>
      <c r="M1020" s="150">
        <v>736.41</v>
      </c>
      <c r="N1020" s="150">
        <v>0</v>
      </c>
      <c r="O1020" s="150">
        <v>520147</v>
      </c>
      <c r="P1020" s="150">
        <v>539729</v>
      </c>
      <c r="Q1020" s="150">
        <v>560608.41</v>
      </c>
      <c r="R1020" s="150">
        <v>560608.41</v>
      </c>
    </row>
    <row r="1021" spans="1:18" x14ac:dyDescent="0.25">
      <c r="A1021" t="str">
        <f t="shared" si="15"/>
        <v>6-7-158</v>
      </c>
      <c r="B1021">
        <v>6</v>
      </c>
      <c r="C1021" s="150" t="s">
        <v>1159</v>
      </c>
      <c r="D1021" s="150">
        <v>7</v>
      </c>
      <c r="E1021" s="150" t="s">
        <v>681</v>
      </c>
      <c r="F1021" s="150">
        <v>158</v>
      </c>
      <c r="G1021" s="150" t="s">
        <v>231</v>
      </c>
      <c r="H1021" s="150">
        <v>15181</v>
      </c>
      <c r="I1021" s="150">
        <v>4659456</v>
      </c>
      <c r="J1021" s="150">
        <v>1</v>
      </c>
      <c r="K1021" s="150">
        <v>499</v>
      </c>
      <c r="L1021" s="150">
        <v>179</v>
      </c>
      <c r="M1021" s="150">
        <v>56.339999999999996</v>
      </c>
      <c r="N1021" s="150">
        <v>0</v>
      </c>
      <c r="O1021" s="150">
        <v>66000</v>
      </c>
      <c r="P1021" s="150">
        <v>66000</v>
      </c>
      <c r="Q1021" s="150">
        <v>69000.34</v>
      </c>
      <c r="R1021" s="150">
        <v>69000.34</v>
      </c>
    </row>
    <row r="1022" spans="1:18" x14ac:dyDescent="0.25">
      <c r="A1022" t="str">
        <f t="shared" si="15"/>
        <v>10-7-158</v>
      </c>
      <c r="B1022">
        <v>10</v>
      </c>
      <c r="C1022" s="150" t="s">
        <v>1162</v>
      </c>
      <c r="D1022" s="150">
        <v>7</v>
      </c>
      <c r="E1022" s="150" t="s">
        <v>681</v>
      </c>
      <c r="F1022" s="150">
        <v>158</v>
      </c>
      <c r="G1022" s="150" t="s">
        <v>231</v>
      </c>
      <c r="H1022" s="150">
        <v>15181</v>
      </c>
      <c r="I1022" s="150">
        <v>5514396</v>
      </c>
      <c r="J1022" s="150">
        <v>1</v>
      </c>
      <c r="K1022" s="150">
        <v>499</v>
      </c>
      <c r="L1022" s="150">
        <v>179</v>
      </c>
      <c r="M1022" s="150">
        <v>56.339999999999996</v>
      </c>
      <c r="N1022" s="150">
        <v>0</v>
      </c>
      <c r="O1022" s="150">
        <v>66000</v>
      </c>
      <c r="P1022" s="150">
        <v>66000</v>
      </c>
      <c r="Q1022" s="150">
        <v>69000.34</v>
      </c>
      <c r="R1022" s="150">
        <v>69000.34</v>
      </c>
    </row>
    <row r="1023" spans="1:18" x14ac:dyDescent="0.25">
      <c r="A1023" t="str">
        <f t="shared" si="15"/>
        <v>10-20-64</v>
      </c>
      <c r="B1023">
        <v>10</v>
      </c>
      <c r="C1023" s="150" t="s">
        <v>1162</v>
      </c>
      <c r="D1023" s="150">
        <v>20</v>
      </c>
      <c r="E1023" s="150" t="s">
        <v>238</v>
      </c>
      <c r="F1023" s="150">
        <v>64</v>
      </c>
      <c r="G1023" s="150" t="s">
        <v>1277</v>
      </c>
      <c r="H1023" s="150">
        <v>2613</v>
      </c>
      <c r="I1023" s="150">
        <v>495980</v>
      </c>
      <c r="J1023" s="150"/>
      <c r="K1023" s="150">
        <v>0</v>
      </c>
      <c r="L1023" s="150">
        <v>0</v>
      </c>
      <c r="M1023" s="150">
        <v>0</v>
      </c>
      <c r="N1023" s="150">
        <v>0</v>
      </c>
      <c r="O1023" s="150">
        <v>0</v>
      </c>
      <c r="P1023" s="150">
        <v>0</v>
      </c>
      <c r="Q1023" s="150">
        <v>0</v>
      </c>
      <c r="R1023" s="150">
        <v>0</v>
      </c>
    </row>
    <row r="1024" spans="1:18" x14ac:dyDescent="0.25">
      <c r="A1024" t="str">
        <f t="shared" si="15"/>
        <v>14-17-33</v>
      </c>
      <c r="B1024">
        <v>14</v>
      </c>
      <c r="C1024" s="150" t="s">
        <v>1166</v>
      </c>
      <c r="D1024" s="150">
        <v>17</v>
      </c>
      <c r="E1024" s="150" t="s">
        <v>688</v>
      </c>
      <c r="F1024" s="150">
        <v>33</v>
      </c>
      <c r="G1024" s="150" t="s">
        <v>340</v>
      </c>
      <c r="H1024" s="150">
        <v>0</v>
      </c>
      <c r="I1024" s="150">
        <v>14718916</v>
      </c>
      <c r="J1024" s="150" t="s">
        <v>1203</v>
      </c>
      <c r="K1024" s="150">
        <v>0</v>
      </c>
      <c r="L1024" s="150">
        <v>113</v>
      </c>
      <c r="M1024" s="150">
        <v>22.75</v>
      </c>
      <c r="N1024" s="150">
        <v>0</v>
      </c>
      <c r="O1024" s="150">
        <v>15156</v>
      </c>
      <c r="P1024" s="150">
        <v>15822</v>
      </c>
      <c r="Q1024" s="150">
        <v>16504.75</v>
      </c>
      <c r="R1024" s="150">
        <v>16504.75</v>
      </c>
    </row>
    <row r="1025" spans="1:18" x14ac:dyDescent="0.25">
      <c r="A1025" t="str">
        <f t="shared" si="15"/>
        <v>5-9-86</v>
      </c>
      <c r="B1025">
        <v>5</v>
      </c>
      <c r="C1025" s="150" t="s">
        <v>1158</v>
      </c>
      <c r="D1025" s="150">
        <v>9</v>
      </c>
      <c r="E1025" s="150" t="s">
        <v>683</v>
      </c>
      <c r="F1025" s="150">
        <v>86</v>
      </c>
      <c r="G1025" s="150" t="s">
        <v>765</v>
      </c>
      <c r="H1025" s="150">
        <v>14</v>
      </c>
      <c r="I1025" s="150">
        <v>0</v>
      </c>
      <c r="J1025" s="150" t="s">
        <v>1203</v>
      </c>
      <c r="K1025" s="150">
        <v>937</v>
      </c>
      <c r="L1025" s="150">
        <v>82</v>
      </c>
      <c r="M1025" s="150">
        <v>5.84</v>
      </c>
      <c r="N1025" s="150">
        <v>0</v>
      </c>
      <c r="O1025" s="150">
        <v>20307</v>
      </c>
      <c r="P1025" s="150">
        <v>21542</v>
      </c>
      <c r="Q1025" s="150">
        <v>21547.84</v>
      </c>
      <c r="R1025" s="150">
        <v>21547.84</v>
      </c>
    </row>
    <row r="1026" spans="1:18" x14ac:dyDescent="0.25">
      <c r="A1026" t="str">
        <f t="shared" si="15"/>
        <v>41-15-23</v>
      </c>
      <c r="B1026">
        <v>41</v>
      </c>
      <c r="C1026" s="150" t="s">
        <v>1191</v>
      </c>
      <c r="D1026" s="150">
        <v>15</v>
      </c>
      <c r="E1026" s="150" t="s">
        <v>237</v>
      </c>
      <c r="F1026" s="150">
        <v>23</v>
      </c>
      <c r="G1026" s="150" t="s">
        <v>1122</v>
      </c>
      <c r="H1026" s="150">
        <v>111618</v>
      </c>
      <c r="I1026" s="150">
        <v>11725319</v>
      </c>
      <c r="J1026" s="150" t="s">
        <v>1203</v>
      </c>
      <c r="K1026" s="150">
        <v>0</v>
      </c>
      <c r="L1026" s="150">
        <v>1451</v>
      </c>
      <c r="M1026" s="150">
        <v>139.02000000000001</v>
      </c>
      <c r="N1026" s="150">
        <v>0</v>
      </c>
      <c r="O1026" s="150">
        <v>349698</v>
      </c>
      <c r="P1026" s="150">
        <v>369186</v>
      </c>
      <c r="Q1026" s="150">
        <v>391631.02</v>
      </c>
      <c r="R1026" s="150">
        <v>391631.02</v>
      </c>
    </row>
    <row r="1027" spans="1:18" x14ac:dyDescent="0.25">
      <c r="A1027" t="str">
        <f t="shared" si="15"/>
        <v>41-11-101</v>
      </c>
      <c r="B1027">
        <v>41</v>
      </c>
      <c r="C1027" s="150" t="s">
        <v>1191</v>
      </c>
      <c r="D1027" s="150">
        <v>11</v>
      </c>
      <c r="E1027" s="150" t="s">
        <v>1204</v>
      </c>
      <c r="F1027" s="150">
        <v>101</v>
      </c>
      <c r="G1027" s="150" t="s">
        <v>1120</v>
      </c>
      <c r="H1027" s="150">
        <v>0</v>
      </c>
      <c r="I1027" s="150">
        <v>11725319</v>
      </c>
      <c r="J1027" s="150" t="s">
        <v>1203</v>
      </c>
      <c r="K1027" s="150">
        <v>0</v>
      </c>
      <c r="L1027" s="150">
        <v>0</v>
      </c>
      <c r="M1027" s="150">
        <v>0</v>
      </c>
      <c r="N1027" s="150">
        <v>0</v>
      </c>
      <c r="O1027" s="150">
        <v>261363</v>
      </c>
      <c r="P1027" s="150">
        <v>406055</v>
      </c>
      <c r="Q1027" s="150">
        <v>0</v>
      </c>
    </row>
    <row r="1028" spans="1:18" x14ac:dyDescent="0.25">
      <c r="A1028" t="str">
        <f t="shared" si="15"/>
        <v>41-2-41</v>
      </c>
      <c r="B1028">
        <v>41</v>
      </c>
      <c r="C1028" s="150" t="s">
        <v>1191</v>
      </c>
      <c r="D1028" s="150">
        <v>2</v>
      </c>
      <c r="E1028" s="150" t="s">
        <v>110</v>
      </c>
      <c r="F1028" s="150">
        <v>41</v>
      </c>
      <c r="G1028" s="150" t="s">
        <v>635</v>
      </c>
      <c r="H1028" s="150">
        <v>0</v>
      </c>
      <c r="I1028" s="150">
        <v>11725319</v>
      </c>
      <c r="J1028" s="150" t="s">
        <v>1203</v>
      </c>
      <c r="K1028" s="150">
        <v>24943</v>
      </c>
      <c r="L1028" s="150">
        <v>26933</v>
      </c>
      <c r="M1028" s="150">
        <v>2732.54</v>
      </c>
      <c r="N1028" s="150">
        <v>0</v>
      </c>
      <c r="O1028" s="150">
        <f>5148276+O1027</f>
        <v>5409639</v>
      </c>
      <c r="P1028" s="150">
        <f>5366596+P1027</f>
        <v>5772651</v>
      </c>
      <c r="Q1028" s="150">
        <v>6123591.54</v>
      </c>
      <c r="R1028" s="150">
        <v>6123591.54</v>
      </c>
    </row>
    <row r="1029" spans="1:18" x14ac:dyDescent="0.25">
      <c r="A1029" t="str">
        <f t="shared" si="15"/>
        <v>41-9-162</v>
      </c>
      <c r="B1029">
        <v>41</v>
      </c>
      <c r="C1029" s="150" t="s">
        <v>1191</v>
      </c>
      <c r="D1029" s="150">
        <v>9</v>
      </c>
      <c r="E1029" s="150" t="s">
        <v>683</v>
      </c>
      <c r="F1029" s="150">
        <v>162</v>
      </c>
      <c r="G1029" s="150" t="s">
        <v>1119</v>
      </c>
      <c r="H1029" s="150">
        <v>0</v>
      </c>
      <c r="I1029" s="150">
        <v>0</v>
      </c>
      <c r="J1029" s="150" t="s">
        <v>1203</v>
      </c>
      <c r="K1029" s="150">
        <v>0</v>
      </c>
      <c r="L1029" s="150">
        <v>0</v>
      </c>
      <c r="M1029" s="150">
        <v>0</v>
      </c>
      <c r="N1029" s="150">
        <v>0</v>
      </c>
      <c r="O1029" s="150">
        <v>3247537</v>
      </c>
      <c r="P1029" s="150">
        <v>3430538</v>
      </c>
      <c r="Q1029" s="150">
        <v>3640998</v>
      </c>
      <c r="R1029" s="150">
        <v>3640998</v>
      </c>
    </row>
    <row r="1030" spans="1:18" x14ac:dyDescent="0.25">
      <c r="A1030" t="str">
        <f t="shared" ref="A1030:A1093" si="16">B1030&amp;"-"&amp;D1030&amp;"-"&amp;F1030</f>
        <v>41-10-21</v>
      </c>
      <c r="B1030">
        <v>41</v>
      </c>
      <c r="C1030" s="150" t="s">
        <v>1191</v>
      </c>
      <c r="D1030" s="150">
        <v>10</v>
      </c>
      <c r="E1030" s="150" t="s">
        <v>684</v>
      </c>
      <c r="F1030" s="150">
        <v>21</v>
      </c>
      <c r="G1030" s="150" t="s">
        <v>642</v>
      </c>
      <c r="H1030" s="150">
        <v>0</v>
      </c>
      <c r="I1030" s="150">
        <v>0</v>
      </c>
      <c r="J1030" s="150" t="s">
        <v>1203</v>
      </c>
      <c r="K1030" s="150">
        <v>0</v>
      </c>
      <c r="L1030" s="150">
        <v>0</v>
      </c>
      <c r="M1030" s="150">
        <v>0</v>
      </c>
      <c r="N1030" s="150">
        <v>0</v>
      </c>
      <c r="O1030" s="150">
        <v>22412</v>
      </c>
      <c r="P1030" s="150">
        <v>23224</v>
      </c>
      <c r="Q1030" s="150">
        <v>24405</v>
      </c>
      <c r="R1030" s="150">
        <v>24405</v>
      </c>
    </row>
    <row r="1031" spans="1:18" x14ac:dyDescent="0.25">
      <c r="A1031" t="str">
        <f t="shared" si="16"/>
        <v>41-4-164</v>
      </c>
      <c r="B1031">
        <v>41</v>
      </c>
      <c r="C1031" s="150" t="s">
        <v>1191</v>
      </c>
      <c r="D1031" s="150">
        <v>4</v>
      </c>
      <c r="E1031" s="150" t="s">
        <v>146</v>
      </c>
      <c r="F1031" s="150">
        <v>164</v>
      </c>
      <c r="G1031" s="150" t="s">
        <v>1116</v>
      </c>
      <c r="H1031" s="150">
        <v>0</v>
      </c>
      <c r="I1031" s="150">
        <v>11725319</v>
      </c>
      <c r="J1031" s="150" t="s">
        <v>1203</v>
      </c>
      <c r="K1031" s="150">
        <v>5121</v>
      </c>
      <c r="L1031" s="150">
        <v>30410</v>
      </c>
      <c r="M1031" s="150">
        <v>3050.16</v>
      </c>
      <c r="N1031" s="150">
        <v>0</v>
      </c>
      <c r="O1031" s="150">
        <v>46274</v>
      </c>
      <c r="P1031" s="150">
        <v>48852</v>
      </c>
      <c r="Q1031" s="150">
        <v>51822</v>
      </c>
      <c r="R1031" s="150">
        <v>51822</v>
      </c>
    </row>
    <row r="1032" spans="1:18" x14ac:dyDescent="0.25">
      <c r="A1032" t="str">
        <f t="shared" si="16"/>
        <v>22-7-160</v>
      </c>
      <c r="B1032">
        <v>22</v>
      </c>
      <c r="C1032" s="150" t="s">
        <v>1174</v>
      </c>
      <c r="D1032" s="150">
        <v>7</v>
      </c>
      <c r="E1032" s="150" t="s">
        <v>681</v>
      </c>
      <c r="F1032" s="150">
        <v>160</v>
      </c>
      <c r="G1032" s="150" t="s">
        <v>577</v>
      </c>
      <c r="H1032" s="150">
        <v>2388</v>
      </c>
      <c r="I1032" s="150">
        <v>1118671</v>
      </c>
      <c r="J1032" s="150">
        <v>1</v>
      </c>
      <c r="K1032" s="150">
        <v>1750</v>
      </c>
      <c r="L1032" s="150">
        <v>101</v>
      </c>
      <c r="M1032" s="150">
        <v>78.14</v>
      </c>
      <c r="N1032" s="150">
        <v>0</v>
      </c>
      <c r="O1032" s="150">
        <v>33586</v>
      </c>
      <c r="P1032" s="150">
        <v>34941</v>
      </c>
      <c r="Q1032" s="150">
        <v>36150.14</v>
      </c>
      <c r="R1032" s="150">
        <v>36150.14</v>
      </c>
    </row>
    <row r="1033" spans="1:18" x14ac:dyDescent="0.25">
      <c r="A1033" t="str">
        <f t="shared" si="16"/>
        <v>33-7-160</v>
      </c>
      <c r="B1033">
        <v>33</v>
      </c>
      <c r="C1033" s="150" t="s">
        <v>1185</v>
      </c>
      <c r="D1033" s="150">
        <v>7</v>
      </c>
      <c r="E1033" s="150" t="s">
        <v>681</v>
      </c>
      <c r="F1033" s="150">
        <v>160</v>
      </c>
      <c r="G1033" s="150" t="s">
        <v>577</v>
      </c>
      <c r="H1033" s="150">
        <v>2388</v>
      </c>
      <c r="I1033" s="150">
        <v>8422110</v>
      </c>
      <c r="J1033" s="150">
        <v>1</v>
      </c>
      <c r="K1033" s="150">
        <v>1750</v>
      </c>
      <c r="L1033" s="150">
        <v>101</v>
      </c>
      <c r="M1033" s="150">
        <v>78.14</v>
      </c>
      <c r="N1033" s="150">
        <v>0</v>
      </c>
      <c r="O1033" s="150">
        <v>33586</v>
      </c>
      <c r="P1033" s="150">
        <v>34941</v>
      </c>
      <c r="Q1033" s="150">
        <v>36150.14</v>
      </c>
      <c r="R1033" s="150">
        <v>36150.14</v>
      </c>
    </row>
    <row r="1034" spans="1:18" x14ac:dyDescent="0.25">
      <c r="A1034" t="str">
        <f t="shared" si="16"/>
        <v>15-7-162</v>
      </c>
      <c r="B1034">
        <v>15</v>
      </c>
      <c r="C1034" s="150" t="s">
        <v>1167</v>
      </c>
      <c r="D1034" s="150">
        <v>7</v>
      </c>
      <c r="E1034" s="150" t="s">
        <v>681</v>
      </c>
      <c r="F1034" s="150">
        <v>162</v>
      </c>
      <c r="G1034" s="150" t="s">
        <v>350</v>
      </c>
      <c r="H1034" s="150">
        <v>0</v>
      </c>
      <c r="I1034" s="150">
        <v>5014114</v>
      </c>
      <c r="J1034" s="150">
        <v>1</v>
      </c>
      <c r="K1034" s="150">
        <v>174</v>
      </c>
      <c r="L1034" s="150">
        <v>6</v>
      </c>
      <c r="M1034" s="150">
        <v>16.43</v>
      </c>
      <c r="N1034" s="150">
        <v>0</v>
      </c>
      <c r="O1034" s="150">
        <v>5889</v>
      </c>
      <c r="P1034" s="150">
        <v>6066</v>
      </c>
      <c r="Q1034" s="150">
        <v>6248.43</v>
      </c>
      <c r="R1034" s="150">
        <v>6248.43</v>
      </c>
    </row>
    <row r="1035" spans="1:18" x14ac:dyDescent="0.25">
      <c r="A1035" t="str">
        <f t="shared" si="16"/>
        <v>21-7-162</v>
      </c>
      <c r="B1035">
        <v>21</v>
      </c>
      <c r="C1035" s="150" t="s">
        <v>1173</v>
      </c>
      <c r="D1035" s="150">
        <v>7</v>
      </c>
      <c r="E1035" s="150" t="s">
        <v>681</v>
      </c>
      <c r="F1035" s="150">
        <v>162</v>
      </c>
      <c r="G1035" s="150" t="s">
        <v>350</v>
      </c>
      <c r="H1035" s="150">
        <v>0</v>
      </c>
      <c r="I1035" s="150">
        <v>2737717</v>
      </c>
      <c r="J1035" s="150">
        <v>1</v>
      </c>
      <c r="K1035" s="150">
        <v>174</v>
      </c>
      <c r="L1035" s="150">
        <v>6</v>
      </c>
      <c r="M1035" s="150">
        <v>16.43</v>
      </c>
      <c r="N1035" s="150">
        <v>0</v>
      </c>
      <c r="O1035" s="150">
        <v>5889</v>
      </c>
      <c r="P1035" s="150">
        <v>6066</v>
      </c>
      <c r="Q1035" s="150">
        <v>6248.43</v>
      </c>
      <c r="R1035" s="150">
        <v>6248.43</v>
      </c>
    </row>
    <row r="1036" spans="1:18" x14ac:dyDescent="0.25">
      <c r="A1036" t="str">
        <f t="shared" si="16"/>
        <v>37-11-56</v>
      </c>
      <c r="B1036">
        <v>37</v>
      </c>
      <c r="C1036" s="150" t="s">
        <v>1188</v>
      </c>
      <c r="D1036" s="150">
        <v>11</v>
      </c>
      <c r="E1036" s="150" t="s">
        <v>1204</v>
      </c>
      <c r="F1036" s="150">
        <v>56</v>
      </c>
      <c r="G1036" s="150" t="s">
        <v>1088</v>
      </c>
      <c r="H1036" s="150">
        <v>3522</v>
      </c>
      <c r="I1036" s="150">
        <v>16698128</v>
      </c>
      <c r="J1036" s="150" t="s">
        <v>1203</v>
      </c>
      <c r="K1036" s="150">
        <v>801</v>
      </c>
      <c r="L1036" s="150">
        <v>40</v>
      </c>
      <c r="M1036" s="150">
        <v>20.69</v>
      </c>
      <c r="N1036" s="150">
        <v>0</v>
      </c>
      <c r="O1036" s="150">
        <v>17799</v>
      </c>
      <c r="P1036" s="150">
        <v>18841</v>
      </c>
      <c r="Q1036" s="150">
        <v>18861.689999999999</v>
      </c>
      <c r="R1036" s="150">
        <v>18861.689999999999</v>
      </c>
    </row>
    <row r="1037" spans="1:18" x14ac:dyDescent="0.25">
      <c r="A1037" t="str">
        <f t="shared" si="16"/>
        <v>37-4-171</v>
      </c>
      <c r="B1037">
        <v>37</v>
      </c>
      <c r="C1037" s="150" t="s">
        <v>1188</v>
      </c>
      <c r="D1037" s="150">
        <v>4</v>
      </c>
      <c r="E1037" s="150" t="s">
        <v>146</v>
      </c>
      <c r="F1037" s="150">
        <v>171</v>
      </c>
      <c r="G1037" s="150" t="s">
        <v>1081</v>
      </c>
      <c r="H1037" s="150">
        <v>0</v>
      </c>
      <c r="I1037" s="150">
        <v>10673926</v>
      </c>
      <c r="J1037" s="150">
        <v>1</v>
      </c>
      <c r="K1037" s="150">
        <v>0</v>
      </c>
      <c r="L1037" s="150">
        <v>113</v>
      </c>
      <c r="M1037" s="150">
        <v>40.33</v>
      </c>
      <c r="N1037" s="150">
        <v>0</v>
      </c>
      <c r="O1037" s="150">
        <v>0</v>
      </c>
      <c r="P1037" s="150">
        <v>0</v>
      </c>
      <c r="Q1037" s="150">
        <v>0</v>
      </c>
      <c r="R1037" s="150">
        <v>0</v>
      </c>
    </row>
    <row r="1038" spans="1:18" x14ac:dyDescent="0.25">
      <c r="A1038" t="str">
        <f t="shared" si="16"/>
        <v>42-4-171</v>
      </c>
      <c r="B1038">
        <v>42</v>
      </c>
      <c r="C1038" s="150" t="s">
        <v>1194</v>
      </c>
      <c r="D1038" s="150">
        <v>4</v>
      </c>
      <c r="E1038" s="150" t="s">
        <v>146</v>
      </c>
      <c r="F1038" s="150">
        <v>171</v>
      </c>
      <c r="G1038" s="150" t="s">
        <v>1081</v>
      </c>
      <c r="H1038" s="150">
        <v>0</v>
      </c>
      <c r="I1038" s="150">
        <v>336213</v>
      </c>
      <c r="J1038" s="150">
        <v>1</v>
      </c>
      <c r="K1038" s="150">
        <v>0</v>
      </c>
      <c r="L1038" s="150">
        <v>113</v>
      </c>
      <c r="M1038" s="150">
        <v>40.33</v>
      </c>
      <c r="N1038" s="150">
        <v>0</v>
      </c>
      <c r="O1038" s="150">
        <v>0</v>
      </c>
      <c r="P1038" s="150">
        <v>0</v>
      </c>
      <c r="Q1038" s="150">
        <v>0</v>
      </c>
      <c r="R1038" s="150">
        <v>0</v>
      </c>
    </row>
    <row r="1039" spans="1:18" x14ac:dyDescent="0.25">
      <c r="A1039" t="str">
        <f t="shared" si="16"/>
        <v>9-9-167</v>
      </c>
      <c r="B1039">
        <v>9</v>
      </c>
      <c r="C1039" s="150" t="s">
        <v>1161</v>
      </c>
      <c r="D1039" s="150">
        <v>9</v>
      </c>
      <c r="E1039" s="150" t="s">
        <v>683</v>
      </c>
      <c r="F1039" s="150">
        <v>167</v>
      </c>
      <c r="G1039" s="150" t="s">
        <v>514</v>
      </c>
      <c r="H1039" s="150">
        <v>6</v>
      </c>
      <c r="I1039" s="150">
        <v>0</v>
      </c>
      <c r="J1039" s="150">
        <v>1</v>
      </c>
      <c r="K1039" s="150">
        <v>520</v>
      </c>
      <c r="L1039" s="150">
        <v>5395</v>
      </c>
      <c r="M1039" s="150">
        <v>475.15</v>
      </c>
      <c r="N1039" s="150">
        <v>0</v>
      </c>
      <c r="O1039" s="150">
        <v>1099814</v>
      </c>
      <c r="P1039" s="150">
        <v>1165945</v>
      </c>
      <c r="Q1039" s="150">
        <v>1232825.1499999999</v>
      </c>
      <c r="R1039" s="150">
        <v>1232825.1499999999</v>
      </c>
    </row>
    <row r="1040" spans="1:18" x14ac:dyDescent="0.25">
      <c r="A1040" t="str">
        <f t="shared" si="16"/>
        <v>28-9-167</v>
      </c>
      <c r="B1040">
        <v>28</v>
      </c>
      <c r="C1040" s="150" t="s">
        <v>1180</v>
      </c>
      <c r="D1040" s="150">
        <v>9</v>
      </c>
      <c r="E1040" s="150" t="s">
        <v>683</v>
      </c>
      <c r="F1040" s="150">
        <v>167</v>
      </c>
      <c r="G1040" s="150" t="s">
        <v>514</v>
      </c>
      <c r="H1040" s="150">
        <v>6</v>
      </c>
      <c r="I1040" s="150">
        <v>12374643</v>
      </c>
      <c r="J1040" s="150">
        <v>1</v>
      </c>
      <c r="K1040" s="150">
        <v>520</v>
      </c>
      <c r="L1040" s="150">
        <v>5395</v>
      </c>
      <c r="M1040" s="150">
        <v>475.15</v>
      </c>
      <c r="N1040" s="150">
        <v>0</v>
      </c>
      <c r="O1040" s="150">
        <v>1099814</v>
      </c>
      <c r="P1040" s="150">
        <v>1165945</v>
      </c>
      <c r="Q1040" s="150">
        <v>1232825.1499999999</v>
      </c>
      <c r="R1040" s="150">
        <v>1232825.1499999999</v>
      </c>
    </row>
    <row r="1041" spans="1:18" x14ac:dyDescent="0.25">
      <c r="A1041" t="str">
        <f t="shared" si="16"/>
        <v>21-7-164</v>
      </c>
      <c r="B1041">
        <v>21</v>
      </c>
      <c r="C1041" s="150" t="s">
        <v>1173</v>
      </c>
      <c r="D1041" s="150">
        <v>7</v>
      </c>
      <c r="E1041" s="150" t="s">
        <v>681</v>
      </c>
      <c r="F1041" s="150">
        <v>164</v>
      </c>
      <c r="G1041" s="150" t="s">
        <v>417</v>
      </c>
      <c r="H1041" s="150">
        <v>0</v>
      </c>
      <c r="I1041" s="150">
        <v>3755816</v>
      </c>
      <c r="J1041" s="150" t="s">
        <v>1203</v>
      </c>
      <c r="K1041" s="150">
        <v>108</v>
      </c>
      <c r="L1041" s="150">
        <v>4</v>
      </c>
      <c r="M1041" s="150">
        <v>2.8</v>
      </c>
      <c r="N1041" s="150">
        <v>0</v>
      </c>
      <c r="O1041" s="150">
        <v>2320</v>
      </c>
      <c r="P1041" s="150">
        <v>2390</v>
      </c>
      <c r="Q1041" s="150">
        <v>2465.8000000000002</v>
      </c>
      <c r="R1041" s="150">
        <v>2465.8000000000002</v>
      </c>
    </row>
    <row r="1042" spans="1:18" x14ac:dyDescent="0.25">
      <c r="A1042" t="str">
        <f t="shared" si="16"/>
        <v>29-7-165</v>
      </c>
      <c r="B1042">
        <v>29</v>
      </c>
      <c r="C1042" s="150" t="s">
        <v>1181</v>
      </c>
      <c r="D1042" s="150">
        <v>7</v>
      </c>
      <c r="E1042" s="150" t="s">
        <v>681</v>
      </c>
      <c r="F1042" s="150">
        <v>165</v>
      </c>
      <c r="G1042" s="150" t="s">
        <v>538</v>
      </c>
      <c r="H1042" s="150">
        <v>1200</v>
      </c>
      <c r="I1042" s="150">
        <v>7255432</v>
      </c>
      <c r="J1042" s="150" t="s">
        <v>1203</v>
      </c>
      <c r="K1042" s="150">
        <v>260</v>
      </c>
      <c r="L1042" s="150">
        <v>113</v>
      </c>
      <c r="M1042" s="150">
        <v>22.27</v>
      </c>
      <c r="N1042" s="150">
        <v>0</v>
      </c>
      <c r="O1042" s="150">
        <v>11262</v>
      </c>
      <c r="P1042" s="150">
        <v>11717</v>
      </c>
      <c r="Q1042" s="150">
        <v>11739.130000000001</v>
      </c>
      <c r="R1042" s="150">
        <v>11739.27</v>
      </c>
    </row>
    <row r="1043" spans="1:18" x14ac:dyDescent="0.25">
      <c r="A1043" t="str">
        <f t="shared" si="16"/>
        <v>29-9-87</v>
      </c>
      <c r="B1043">
        <v>29</v>
      </c>
      <c r="C1043" s="150" t="s">
        <v>1181</v>
      </c>
      <c r="D1043" s="150">
        <v>9</v>
      </c>
      <c r="E1043" s="150" t="s">
        <v>683</v>
      </c>
      <c r="F1043" s="150">
        <v>87</v>
      </c>
      <c r="G1043" s="150" t="s">
        <v>1032</v>
      </c>
      <c r="H1043" s="150">
        <v>2966</v>
      </c>
      <c r="I1043" s="150">
        <v>3220583</v>
      </c>
      <c r="J1043" s="150" t="s">
        <v>1203</v>
      </c>
      <c r="K1043" s="150">
        <v>446</v>
      </c>
      <c r="L1043" s="150">
        <v>102</v>
      </c>
      <c r="M1043" s="150">
        <v>1.75</v>
      </c>
      <c r="N1043" s="150">
        <v>0</v>
      </c>
      <c r="O1043" s="150">
        <v>12300</v>
      </c>
      <c r="P1043" s="150">
        <f>12154+446+102+26</f>
        <v>12728</v>
      </c>
      <c r="Q1043" s="150">
        <v>12536.17</v>
      </c>
      <c r="R1043" s="150">
        <v>12728</v>
      </c>
    </row>
    <row r="1044" spans="1:18" x14ac:dyDescent="0.25">
      <c r="A1044" t="str">
        <f t="shared" si="16"/>
        <v>29-17-34</v>
      </c>
      <c r="B1044">
        <v>29</v>
      </c>
      <c r="C1044" s="150" t="s">
        <v>1181</v>
      </c>
      <c r="D1044" s="150">
        <v>17</v>
      </c>
      <c r="E1044" s="150" t="s">
        <v>688</v>
      </c>
      <c r="F1044" s="150">
        <v>34</v>
      </c>
      <c r="G1044" s="150" t="s">
        <v>542</v>
      </c>
      <c r="H1044" s="150">
        <v>21891</v>
      </c>
      <c r="I1044" s="150">
        <v>6525750</v>
      </c>
      <c r="J1044" s="150" t="s">
        <v>1203</v>
      </c>
      <c r="K1044" s="150">
        <v>0</v>
      </c>
      <c r="L1044" s="150">
        <v>489</v>
      </c>
      <c r="M1044" s="150">
        <v>88.199999999999989</v>
      </c>
      <c r="N1044" s="150">
        <v>0</v>
      </c>
      <c r="O1044" s="150">
        <v>40489</v>
      </c>
      <c r="P1044" s="150">
        <f>40000+489+98</f>
        <v>40587</v>
      </c>
      <c r="Q1044" s="150">
        <v>39999.539999999994</v>
      </c>
      <c r="R1044" s="150">
        <v>40587</v>
      </c>
    </row>
    <row r="1045" spans="1:18" x14ac:dyDescent="0.25">
      <c r="A1045" t="str">
        <f t="shared" si="16"/>
        <v>29-4-200</v>
      </c>
      <c r="B1045">
        <v>29</v>
      </c>
      <c r="C1045" s="150" t="s">
        <v>1181</v>
      </c>
      <c r="D1045" s="150">
        <v>4</v>
      </c>
      <c r="E1045" s="150" t="s">
        <v>146</v>
      </c>
      <c r="F1045" s="150">
        <v>200</v>
      </c>
      <c r="G1045" s="150" t="s">
        <v>1023</v>
      </c>
      <c r="H1045" s="150">
        <v>0</v>
      </c>
      <c r="I1045" s="150">
        <v>7177072</v>
      </c>
      <c r="J1045" s="150" t="s">
        <v>1203</v>
      </c>
      <c r="K1045" s="150">
        <v>9787</v>
      </c>
      <c r="L1045" s="150">
        <v>13815</v>
      </c>
      <c r="M1045" s="150">
        <v>1973</v>
      </c>
      <c r="N1045" s="150">
        <v>0</v>
      </c>
      <c r="O1045" s="150">
        <v>18169</v>
      </c>
      <c r="P1045" s="150">
        <v>18970</v>
      </c>
      <c r="Q1045" s="150">
        <v>19760</v>
      </c>
      <c r="R1045" s="150">
        <v>19760</v>
      </c>
    </row>
    <row r="1046" spans="1:18" x14ac:dyDescent="0.25">
      <c r="A1046" t="str">
        <f t="shared" si="16"/>
        <v>15-7-166</v>
      </c>
      <c r="B1046">
        <v>15</v>
      </c>
      <c r="C1046" s="150" t="s">
        <v>1167</v>
      </c>
      <c r="D1046" s="150">
        <v>7</v>
      </c>
      <c r="E1046" s="150" t="s">
        <v>681</v>
      </c>
      <c r="F1046" s="150">
        <v>166</v>
      </c>
      <c r="G1046" s="150" t="s">
        <v>351</v>
      </c>
      <c r="H1046" s="150">
        <v>375</v>
      </c>
      <c r="I1046" s="150">
        <v>3182570</v>
      </c>
      <c r="J1046" s="150" t="s">
        <v>1203</v>
      </c>
      <c r="K1046" s="150">
        <v>142</v>
      </c>
      <c r="L1046" s="150">
        <v>4</v>
      </c>
      <c r="M1046" s="150">
        <v>7.82</v>
      </c>
      <c r="N1046" s="150">
        <v>0</v>
      </c>
      <c r="O1046" s="150">
        <v>5278</v>
      </c>
      <c r="P1046" s="150">
        <v>5750</v>
      </c>
      <c r="Q1046" s="150">
        <v>6107.82</v>
      </c>
      <c r="R1046" s="150">
        <v>6107.82</v>
      </c>
    </row>
    <row r="1047" spans="1:18" x14ac:dyDescent="0.25">
      <c r="A1047" t="str">
        <f t="shared" si="16"/>
        <v>42-15-18</v>
      </c>
      <c r="B1047">
        <v>42</v>
      </c>
      <c r="C1047" s="150" t="s">
        <v>1194</v>
      </c>
      <c r="D1047" s="150">
        <v>15</v>
      </c>
      <c r="E1047" s="150" t="s">
        <v>237</v>
      </c>
      <c r="F1047" s="150">
        <v>18</v>
      </c>
      <c r="G1047" s="150" t="s">
        <v>1137</v>
      </c>
      <c r="H1047" s="150">
        <v>126526</v>
      </c>
      <c r="I1047" s="150">
        <v>239436568</v>
      </c>
      <c r="J1047" s="150" t="s">
        <v>1203</v>
      </c>
      <c r="K1047" s="150">
        <v>0</v>
      </c>
      <c r="L1047" s="150">
        <v>6671</v>
      </c>
      <c r="M1047" s="150">
        <v>1489.3000000000002</v>
      </c>
      <c r="N1047" s="150">
        <v>31</v>
      </c>
      <c r="O1047" s="150">
        <v>662237</v>
      </c>
      <c r="P1047" s="150">
        <v>681894</v>
      </c>
      <c r="Q1047" s="150">
        <v>724090.3</v>
      </c>
      <c r="R1047" s="150">
        <v>724090.3</v>
      </c>
    </row>
    <row r="1048" spans="1:18" x14ac:dyDescent="0.25">
      <c r="A1048" t="str">
        <f t="shared" si="16"/>
        <v>42-5-23</v>
      </c>
      <c r="B1048">
        <v>42</v>
      </c>
      <c r="C1048" s="150" t="s">
        <v>1194</v>
      </c>
      <c r="D1048" s="150">
        <v>5</v>
      </c>
      <c r="E1048" s="150" t="s">
        <v>286</v>
      </c>
      <c r="F1048" s="150">
        <v>23</v>
      </c>
      <c r="G1048" s="150" t="s">
        <v>1127</v>
      </c>
      <c r="H1048" s="150">
        <v>129409</v>
      </c>
      <c r="I1048" s="150">
        <v>239460403</v>
      </c>
      <c r="J1048" s="150" t="s">
        <v>1203</v>
      </c>
      <c r="K1048" s="150">
        <v>0</v>
      </c>
      <c r="L1048" s="150">
        <v>207</v>
      </c>
      <c r="M1048" s="150">
        <v>184.78</v>
      </c>
      <c r="N1048" s="150">
        <v>54</v>
      </c>
      <c r="O1048" s="150">
        <v>1045032</v>
      </c>
      <c r="P1048" s="150">
        <v>1099590</v>
      </c>
      <c r="Q1048" s="150">
        <v>1170973.78</v>
      </c>
      <c r="R1048" s="150">
        <v>1170973.78</v>
      </c>
    </row>
    <row r="1049" spans="1:18" x14ac:dyDescent="0.25">
      <c r="A1049" t="str">
        <f t="shared" si="16"/>
        <v>42-2-42</v>
      </c>
      <c r="B1049">
        <v>42</v>
      </c>
      <c r="C1049" s="150" t="s">
        <v>1194</v>
      </c>
      <c r="D1049" s="150">
        <v>2</v>
      </c>
      <c r="E1049" s="150" t="s">
        <v>110</v>
      </c>
      <c r="F1049" s="150">
        <v>42</v>
      </c>
      <c r="G1049" s="150" t="s">
        <v>643</v>
      </c>
      <c r="H1049" s="150">
        <v>0</v>
      </c>
      <c r="I1049" s="150">
        <v>239460403</v>
      </c>
      <c r="J1049" s="150" t="s">
        <v>1203</v>
      </c>
      <c r="K1049" s="150">
        <v>263998</v>
      </c>
      <c r="L1049" s="150">
        <v>246075</v>
      </c>
      <c r="M1049" s="150">
        <v>64484.57</v>
      </c>
      <c r="N1049" s="150">
        <v>1332</v>
      </c>
      <c r="O1049" s="150">
        <v>26496239</v>
      </c>
      <c r="P1049" s="150">
        <v>28160167</v>
      </c>
      <c r="Q1049" s="150">
        <v>30002222.57</v>
      </c>
      <c r="R1049" s="150">
        <v>30002222.57</v>
      </c>
    </row>
    <row r="1050" spans="1:18" x14ac:dyDescent="0.25">
      <c r="A1050" t="str">
        <f t="shared" si="16"/>
        <v>42-11-61</v>
      </c>
      <c r="B1050">
        <v>42</v>
      </c>
      <c r="C1050" s="150" t="s">
        <v>1194</v>
      </c>
      <c r="D1050" s="150">
        <v>11</v>
      </c>
      <c r="E1050" s="150" t="s">
        <v>1204</v>
      </c>
      <c r="F1050" s="150">
        <v>61</v>
      </c>
      <c r="G1050" s="150" t="s">
        <v>1136</v>
      </c>
      <c r="H1050" s="150">
        <v>178828</v>
      </c>
      <c r="I1050" s="150">
        <v>147318268</v>
      </c>
      <c r="J1050" s="150" t="s">
        <v>1203</v>
      </c>
      <c r="K1050" s="150">
        <v>28644</v>
      </c>
      <c r="L1050" s="150">
        <v>40011</v>
      </c>
      <c r="M1050" s="150">
        <v>14003.210000000001</v>
      </c>
      <c r="N1050" s="150">
        <v>343</v>
      </c>
      <c r="O1050" s="150">
        <v>5846976</v>
      </c>
      <c r="P1050" s="150">
        <v>6154616</v>
      </c>
      <c r="Q1050" s="150">
        <v>6585245.21</v>
      </c>
      <c r="R1050" s="150">
        <v>6585245.21</v>
      </c>
    </row>
    <row r="1051" spans="1:18" x14ac:dyDescent="0.25">
      <c r="A1051" t="str">
        <f t="shared" si="16"/>
        <v>42-9-141</v>
      </c>
      <c r="B1051">
        <v>42</v>
      </c>
      <c r="C1051" s="150" t="s">
        <v>1194</v>
      </c>
      <c r="D1051" s="150">
        <v>9</v>
      </c>
      <c r="E1051" s="150" t="s">
        <v>683</v>
      </c>
      <c r="F1051" s="150">
        <v>141</v>
      </c>
      <c r="G1051" s="150" t="s">
        <v>1129</v>
      </c>
      <c r="H1051" s="150">
        <v>250992</v>
      </c>
      <c r="I1051" s="150">
        <v>2238797</v>
      </c>
      <c r="J1051" s="150" t="s">
        <v>1203</v>
      </c>
      <c r="K1051" s="150">
        <v>0</v>
      </c>
      <c r="L1051" s="150">
        <v>4345</v>
      </c>
      <c r="M1051" s="150">
        <v>0</v>
      </c>
      <c r="N1051" s="150">
        <v>0</v>
      </c>
      <c r="O1051" s="150">
        <v>770425</v>
      </c>
      <c r="P1051" s="150">
        <v>801957</v>
      </c>
      <c r="Q1051" s="150">
        <v>837355</v>
      </c>
      <c r="R1051" s="150">
        <v>837355</v>
      </c>
    </row>
    <row r="1052" spans="1:18" x14ac:dyDescent="0.25">
      <c r="A1052" t="str">
        <f t="shared" si="16"/>
        <v>42-4-165</v>
      </c>
      <c r="B1052">
        <v>42</v>
      </c>
      <c r="C1052" s="150" t="s">
        <v>1194</v>
      </c>
      <c r="D1052" s="150">
        <v>4</v>
      </c>
      <c r="E1052" s="150" t="s">
        <v>146</v>
      </c>
      <c r="F1052" s="150">
        <v>165</v>
      </c>
      <c r="G1052" s="150" t="s">
        <v>1123</v>
      </c>
      <c r="H1052" s="150">
        <v>0</v>
      </c>
      <c r="I1052" s="150">
        <v>56473079</v>
      </c>
      <c r="J1052" s="150" t="s">
        <v>1203</v>
      </c>
      <c r="K1052" s="150">
        <v>3945</v>
      </c>
      <c r="L1052" s="150">
        <v>186843</v>
      </c>
      <c r="M1052" s="150">
        <v>46490.36</v>
      </c>
      <c r="N1052" s="150">
        <v>0</v>
      </c>
      <c r="O1052" s="150">
        <v>295476</v>
      </c>
      <c r="P1052" s="150">
        <v>310140</v>
      </c>
      <c r="Q1052" s="150">
        <v>332453</v>
      </c>
      <c r="R1052" s="150">
        <v>332453</v>
      </c>
    </row>
    <row r="1053" spans="1:18" x14ac:dyDescent="0.25">
      <c r="A1053" t="str">
        <f t="shared" si="16"/>
        <v>28-10-19</v>
      </c>
      <c r="B1053">
        <v>28</v>
      </c>
      <c r="C1053" s="150" t="s">
        <v>1180</v>
      </c>
      <c r="D1053" s="150">
        <v>10</v>
      </c>
      <c r="E1053" s="150" t="s">
        <v>684</v>
      </c>
      <c r="F1053" s="150">
        <v>19</v>
      </c>
      <c r="G1053" s="150" t="s">
        <v>1014</v>
      </c>
      <c r="H1053" s="150">
        <v>29654</v>
      </c>
      <c r="I1053" s="150">
        <v>0</v>
      </c>
      <c r="J1053" s="150" t="s">
        <v>1203</v>
      </c>
      <c r="K1053" s="150">
        <v>0</v>
      </c>
      <c r="L1053" s="150">
        <v>0</v>
      </c>
      <c r="M1053" s="150">
        <v>0</v>
      </c>
      <c r="N1053" s="150">
        <v>0</v>
      </c>
      <c r="O1053" s="150">
        <v>34330</v>
      </c>
      <c r="P1053" s="150">
        <v>34517</v>
      </c>
      <c r="Q1053" s="150">
        <v>34792</v>
      </c>
      <c r="R1053" s="150">
        <v>34792</v>
      </c>
    </row>
    <row r="1054" spans="1:18" x14ac:dyDescent="0.25">
      <c r="A1054" t="str">
        <f t="shared" si="16"/>
        <v>18-9-158</v>
      </c>
      <c r="B1054">
        <v>18</v>
      </c>
      <c r="C1054" s="150" t="s">
        <v>1170</v>
      </c>
      <c r="D1054" s="150">
        <v>9</v>
      </c>
      <c r="E1054" s="150" t="s">
        <v>683</v>
      </c>
      <c r="F1054" s="150">
        <v>158</v>
      </c>
      <c r="G1054" s="150" t="s">
        <v>906</v>
      </c>
      <c r="H1054" s="150">
        <v>44980</v>
      </c>
      <c r="I1054" s="150">
        <v>122043</v>
      </c>
      <c r="J1054" s="150" t="s">
        <v>1203</v>
      </c>
      <c r="K1054" s="150">
        <v>0</v>
      </c>
      <c r="L1054" s="150">
        <v>0</v>
      </c>
      <c r="M1054" s="150">
        <v>0.21</v>
      </c>
      <c r="N1054" s="150">
        <v>0</v>
      </c>
      <c r="O1054" s="150">
        <v>34775</v>
      </c>
      <c r="P1054" s="150">
        <v>36463</v>
      </c>
      <c r="Q1054" s="150">
        <v>37557.21</v>
      </c>
      <c r="R1054" s="150">
        <v>37557.21</v>
      </c>
    </row>
    <row r="1055" spans="1:18" x14ac:dyDescent="0.25">
      <c r="A1055" t="str">
        <f t="shared" si="16"/>
        <v>10-7-167</v>
      </c>
      <c r="B1055">
        <v>10</v>
      </c>
      <c r="C1055" s="150" t="s">
        <v>1162</v>
      </c>
      <c r="D1055" s="150">
        <v>7</v>
      </c>
      <c r="E1055" s="150" t="s">
        <v>681</v>
      </c>
      <c r="F1055" s="150">
        <v>167</v>
      </c>
      <c r="G1055" s="150" t="s">
        <v>294</v>
      </c>
      <c r="H1055" s="150">
        <v>0</v>
      </c>
      <c r="I1055" s="150">
        <v>4327409</v>
      </c>
      <c r="J1055" s="150" t="s">
        <v>1203</v>
      </c>
      <c r="K1055" s="150">
        <v>1341</v>
      </c>
      <c r="L1055" s="150">
        <v>337</v>
      </c>
      <c r="M1055" s="150">
        <v>95.67</v>
      </c>
      <c r="N1055" s="150">
        <v>0</v>
      </c>
      <c r="O1055" s="150">
        <v>37805</v>
      </c>
      <c r="P1055" s="150">
        <v>39778</v>
      </c>
      <c r="Q1055" s="150">
        <v>41940.67</v>
      </c>
      <c r="R1055" s="150">
        <v>41940.67</v>
      </c>
    </row>
    <row r="1056" spans="1:18" x14ac:dyDescent="0.25">
      <c r="A1056" t="str">
        <f t="shared" si="16"/>
        <v>14-9-88</v>
      </c>
      <c r="B1056">
        <v>14</v>
      </c>
      <c r="C1056" s="150" t="s">
        <v>1166</v>
      </c>
      <c r="D1056" s="150">
        <v>9</v>
      </c>
      <c r="E1056" s="150" t="s">
        <v>683</v>
      </c>
      <c r="F1056" s="150">
        <v>88</v>
      </c>
      <c r="G1056" s="150" t="s">
        <v>330</v>
      </c>
      <c r="H1056" s="150">
        <v>12455</v>
      </c>
      <c r="I1056" s="150">
        <v>0</v>
      </c>
      <c r="J1056" s="150" t="s">
        <v>1203</v>
      </c>
      <c r="K1056" s="150">
        <v>3330</v>
      </c>
      <c r="L1056" s="150">
        <v>1877</v>
      </c>
      <c r="M1056" s="150">
        <v>155.21</v>
      </c>
      <c r="N1056" s="150">
        <v>0</v>
      </c>
      <c r="O1056" s="150">
        <v>110089</v>
      </c>
      <c r="P1056" s="150">
        <v>140613</v>
      </c>
      <c r="Q1056" s="150">
        <v>149255.21</v>
      </c>
      <c r="R1056" s="150">
        <v>149255.21</v>
      </c>
    </row>
    <row r="1057" spans="1:18" x14ac:dyDescent="0.25">
      <c r="A1057" t="str">
        <f t="shared" si="16"/>
        <v>18-9-176</v>
      </c>
      <c r="B1057">
        <v>18</v>
      </c>
      <c r="C1057" s="150" t="s">
        <v>1170</v>
      </c>
      <c r="D1057" s="150">
        <v>9</v>
      </c>
      <c r="E1057" s="150" t="s">
        <v>683</v>
      </c>
      <c r="F1057" s="150">
        <v>176</v>
      </c>
      <c r="G1057" s="150" t="s">
        <v>908</v>
      </c>
      <c r="H1057" s="150">
        <v>2948</v>
      </c>
      <c r="I1057" s="150">
        <v>0</v>
      </c>
      <c r="J1057" s="150" t="s">
        <v>1203</v>
      </c>
      <c r="K1057" s="150">
        <v>0</v>
      </c>
      <c r="L1057" s="150">
        <v>0</v>
      </c>
      <c r="M1057" s="150">
        <v>0</v>
      </c>
      <c r="N1057" s="150">
        <v>0</v>
      </c>
      <c r="O1057" s="150">
        <v>20859</v>
      </c>
      <c r="P1057" s="150">
        <v>21989</v>
      </c>
      <c r="Q1057" s="150">
        <v>22762</v>
      </c>
      <c r="R1057" s="150">
        <v>22762</v>
      </c>
    </row>
    <row r="1058" spans="1:18" x14ac:dyDescent="0.25">
      <c r="A1058" t="str">
        <f t="shared" si="16"/>
        <v>43-7-168</v>
      </c>
      <c r="B1058">
        <v>43</v>
      </c>
      <c r="C1058" s="150" t="s">
        <v>1192</v>
      </c>
      <c r="D1058" s="150">
        <v>7</v>
      </c>
      <c r="E1058" s="150" t="s">
        <v>681</v>
      </c>
      <c r="F1058" s="150">
        <v>168</v>
      </c>
      <c r="G1058" s="150" t="s">
        <v>663</v>
      </c>
      <c r="H1058" s="150">
        <v>961</v>
      </c>
      <c r="I1058" s="150">
        <v>20393175</v>
      </c>
      <c r="J1058" s="150" t="s">
        <v>1203</v>
      </c>
      <c r="K1058" s="150">
        <v>37</v>
      </c>
      <c r="L1058" s="150">
        <v>156</v>
      </c>
      <c r="M1058" s="150">
        <v>21.26</v>
      </c>
      <c r="N1058" s="150">
        <v>0</v>
      </c>
      <c r="O1058" s="150">
        <v>61080</v>
      </c>
      <c r="P1058" s="150">
        <v>63612</v>
      </c>
      <c r="Q1058" s="150">
        <v>66959.259999999995</v>
      </c>
      <c r="R1058" s="150">
        <v>66959.259999999995</v>
      </c>
    </row>
    <row r="1059" spans="1:18" x14ac:dyDescent="0.25">
      <c r="A1059" t="str">
        <f t="shared" si="16"/>
        <v>43-5-28</v>
      </c>
      <c r="B1059">
        <v>43</v>
      </c>
      <c r="C1059" s="150" t="s">
        <v>1192</v>
      </c>
      <c r="D1059" s="150">
        <v>5</v>
      </c>
      <c r="E1059" s="150" t="s">
        <v>286</v>
      </c>
      <c r="F1059" s="150">
        <v>28</v>
      </c>
      <c r="G1059" s="150" t="s">
        <v>661</v>
      </c>
      <c r="H1059" s="150">
        <v>0</v>
      </c>
      <c r="I1059" s="150">
        <v>56903102</v>
      </c>
      <c r="J1059" s="150" t="s">
        <v>1203</v>
      </c>
      <c r="K1059" s="150">
        <v>0</v>
      </c>
      <c r="L1059" s="150">
        <v>3375</v>
      </c>
      <c r="M1059" s="150">
        <v>554.7700000000001</v>
      </c>
      <c r="N1059" s="150">
        <v>0</v>
      </c>
      <c r="O1059" s="150">
        <v>1208138</v>
      </c>
      <c r="P1059" s="150">
        <v>1259631</v>
      </c>
      <c r="Q1059" s="150">
        <v>1324294.77</v>
      </c>
      <c r="R1059" s="150">
        <v>1324294.77</v>
      </c>
    </row>
    <row r="1060" spans="1:18" x14ac:dyDescent="0.25">
      <c r="A1060" t="str">
        <f t="shared" si="16"/>
        <v>43-11-103</v>
      </c>
      <c r="B1060">
        <v>43</v>
      </c>
      <c r="C1060" s="150" t="s">
        <v>1192</v>
      </c>
      <c r="D1060" s="150">
        <v>11</v>
      </c>
      <c r="E1060" s="150" t="s">
        <v>1204</v>
      </c>
      <c r="F1060" s="150">
        <v>103</v>
      </c>
      <c r="G1060" s="150" t="s">
        <v>1142</v>
      </c>
      <c r="H1060" s="150">
        <v>0</v>
      </c>
      <c r="I1060" s="150">
        <v>56903102</v>
      </c>
      <c r="J1060" s="150" t="s">
        <v>1203</v>
      </c>
      <c r="K1060" s="150">
        <v>0</v>
      </c>
      <c r="L1060" s="150">
        <v>0</v>
      </c>
      <c r="M1060" s="150">
        <v>0</v>
      </c>
      <c r="N1060" s="150">
        <v>0</v>
      </c>
      <c r="O1060" s="150">
        <v>787409</v>
      </c>
      <c r="P1060" s="150">
        <v>0</v>
      </c>
      <c r="Q1060" s="150">
        <v>0</v>
      </c>
    </row>
    <row r="1061" spans="1:18" x14ac:dyDescent="0.25">
      <c r="A1061" t="str">
        <f t="shared" si="16"/>
        <v>43-2-43</v>
      </c>
      <c r="B1061">
        <v>43</v>
      </c>
      <c r="C1061" s="150" t="s">
        <v>1192</v>
      </c>
      <c r="D1061" s="150">
        <v>2</v>
      </c>
      <c r="E1061" s="150" t="s">
        <v>110</v>
      </c>
      <c r="F1061" s="150">
        <v>43</v>
      </c>
      <c r="G1061" s="150" t="s">
        <v>657</v>
      </c>
      <c r="H1061" s="150">
        <v>0</v>
      </c>
      <c r="I1061" s="150">
        <v>56903102</v>
      </c>
      <c r="J1061" s="150" t="s">
        <v>1203</v>
      </c>
      <c r="K1061" s="150">
        <v>3486</v>
      </c>
      <c r="L1061" s="150">
        <v>25777</v>
      </c>
      <c r="M1061" s="150">
        <v>4008.79</v>
      </c>
      <c r="N1061" s="150">
        <v>0</v>
      </c>
      <c r="O1061" s="150">
        <f>7667984+O1060</f>
        <v>8455393</v>
      </c>
      <c r="P1061" s="150">
        <v>9107020</v>
      </c>
      <c r="Q1061" s="150">
        <v>9550136.7899999991</v>
      </c>
      <c r="R1061" s="150">
        <v>9550136.7899999991</v>
      </c>
    </row>
    <row r="1062" spans="1:18" x14ac:dyDescent="0.25">
      <c r="A1062" t="str">
        <f t="shared" si="16"/>
        <v>41-14-40</v>
      </c>
      <c r="B1062">
        <v>41</v>
      </c>
      <c r="C1062" s="150" t="s">
        <v>1191</v>
      </c>
      <c r="D1062" s="150">
        <v>14</v>
      </c>
      <c r="E1062" s="150" t="s">
        <v>665</v>
      </c>
      <c r="F1062" s="150">
        <v>40</v>
      </c>
      <c r="G1062" s="150" t="s">
        <v>1121</v>
      </c>
      <c r="H1062" s="150">
        <v>1945</v>
      </c>
      <c r="I1062" s="150">
        <v>11725319</v>
      </c>
      <c r="J1062" s="150" t="s">
        <v>1203</v>
      </c>
      <c r="K1062" s="150">
        <v>1450</v>
      </c>
      <c r="L1062" s="150">
        <v>1221</v>
      </c>
      <c r="M1062" s="150">
        <v>224.79999999999998</v>
      </c>
      <c r="N1062" s="150">
        <v>0</v>
      </c>
      <c r="O1062" s="150">
        <v>566955</v>
      </c>
      <c r="P1062" s="150">
        <v>596671</v>
      </c>
      <c r="Q1062" s="150">
        <v>632944.80000000005</v>
      </c>
      <c r="R1062" s="150">
        <v>632944.80000000005</v>
      </c>
    </row>
    <row r="1063" spans="1:18" x14ac:dyDescent="0.25">
      <c r="A1063" t="str">
        <f t="shared" si="16"/>
        <v>27-17-24</v>
      </c>
      <c r="B1063">
        <v>27</v>
      </c>
      <c r="C1063" s="150" t="s">
        <v>1179</v>
      </c>
      <c r="D1063" s="150">
        <v>17</v>
      </c>
      <c r="E1063" s="150" t="s">
        <v>688</v>
      </c>
      <c r="F1063" s="150">
        <v>24</v>
      </c>
      <c r="G1063" s="150" t="s">
        <v>494</v>
      </c>
      <c r="H1063" s="150">
        <v>6756</v>
      </c>
      <c r="I1063" s="150">
        <v>53558996</v>
      </c>
      <c r="J1063" s="150" t="s">
        <v>1203</v>
      </c>
      <c r="K1063" s="150">
        <v>6639</v>
      </c>
      <c r="L1063" s="150">
        <v>1104</v>
      </c>
      <c r="M1063" s="150">
        <v>672.48</v>
      </c>
      <c r="N1063" s="150">
        <v>0</v>
      </c>
      <c r="O1063" s="150">
        <v>165812</v>
      </c>
      <c r="P1063" s="150">
        <f>163158+6639+1104-685</f>
        <v>170216</v>
      </c>
      <c r="Q1063" s="150">
        <v>168995.48</v>
      </c>
      <c r="R1063" s="150">
        <v>170216</v>
      </c>
    </row>
    <row r="1064" spans="1:18" x14ac:dyDescent="0.25">
      <c r="A1064" t="str">
        <f t="shared" si="16"/>
        <v>27-4-103</v>
      </c>
      <c r="B1064">
        <v>27</v>
      </c>
      <c r="C1064" s="150" t="s">
        <v>1179</v>
      </c>
      <c r="D1064" s="150">
        <v>4</v>
      </c>
      <c r="E1064" s="150" t="s">
        <v>146</v>
      </c>
      <c r="F1064" s="150">
        <v>103</v>
      </c>
      <c r="G1064" s="150" t="s">
        <v>998</v>
      </c>
      <c r="H1064" s="150">
        <v>0</v>
      </c>
      <c r="I1064" s="150">
        <v>53558996</v>
      </c>
      <c r="J1064" s="150" t="s">
        <v>1203</v>
      </c>
      <c r="K1064" s="150">
        <v>24091</v>
      </c>
      <c r="L1064" s="150">
        <v>6439</v>
      </c>
      <c r="M1064" s="150">
        <v>2516.13</v>
      </c>
      <c r="N1064" s="150">
        <v>0</v>
      </c>
      <c r="O1064" s="150">
        <v>41000</v>
      </c>
      <c r="P1064" s="150">
        <v>41000</v>
      </c>
      <c r="Q1064" s="150">
        <v>41000</v>
      </c>
      <c r="R1064" s="150">
        <v>41000</v>
      </c>
    </row>
    <row r="1065" spans="1:18" x14ac:dyDescent="0.25">
      <c r="A1065" t="str">
        <f t="shared" si="16"/>
        <v>16-7-169</v>
      </c>
      <c r="B1065">
        <v>16</v>
      </c>
      <c r="C1065" s="150" t="s">
        <v>1168</v>
      </c>
      <c r="D1065" s="150">
        <v>7</v>
      </c>
      <c r="E1065" s="150" t="s">
        <v>681</v>
      </c>
      <c r="F1065" s="150">
        <v>169</v>
      </c>
      <c r="G1065" s="150" t="s">
        <v>876</v>
      </c>
      <c r="H1065" s="150">
        <v>0</v>
      </c>
      <c r="I1065" s="150">
        <v>8765781</v>
      </c>
      <c r="J1065" s="150" t="s">
        <v>1203</v>
      </c>
      <c r="K1065" s="150">
        <v>2336</v>
      </c>
      <c r="L1065" s="150">
        <v>80</v>
      </c>
      <c r="M1065" s="150">
        <v>89.97</v>
      </c>
      <c r="N1065" s="150">
        <v>0</v>
      </c>
      <c r="O1065" s="150">
        <v>20774</v>
      </c>
      <c r="P1065" s="150">
        <v>21459</v>
      </c>
      <c r="Q1065" s="150">
        <v>22118.97</v>
      </c>
      <c r="R1065" s="150">
        <v>22118.97</v>
      </c>
    </row>
    <row r="1066" spans="1:18" x14ac:dyDescent="0.25">
      <c r="A1066" t="str">
        <f t="shared" si="16"/>
        <v>39-7-137</v>
      </c>
      <c r="B1066">
        <v>39</v>
      </c>
      <c r="C1066" s="150" t="s">
        <v>164</v>
      </c>
      <c r="D1066" s="150">
        <v>7</v>
      </c>
      <c r="E1066" s="150" t="s">
        <v>681</v>
      </c>
      <c r="F1066" s="150">
        <v>137</v>
      </c>
      <c r="G1066" s="150" t="s">
        <v>1101</v>
      </c>
      <c r="H1066" s="150">
        <v>724</v>
      </c>
      <c r="I1066" s="150">
        <v>3041566</v>
      </c>
      <c r="J1066" s="150" t="s">
        <v>1203</v>
      </c>
      <c r="K1066" s="150">
        <v>1292</v>
      </c>
      <c r="L1066" s="150">
        <v>295</v>
      </c>
      <c r="M1066" s="150">
        <v>53.43</v>
      </c>
      <c r="N1066" s="150">
        <v>0</v>
      </c>
      <c r="O1066" s="150">
        <v>22890</v>
      </c>
      <c r="P1066" s="150">
        <v>23214</v>
      </c>
      <c r="Q1066" s="150">
        <v>24920.43</v>
      </c>
      <c r="R1066" s="150">
        <v>24920.43</v>
      </c>
    </row>
    <row r="1067" spans="1:18" x14ac:dyDescent="0.25">
      <c r="A1067" t="str">
        <f t="shared" si="16"/>
        <v>14-4-49</v>
      </c>
      <c r="B1067">
        <v>14</v>
      </c>
      <c r="C1067" s="150" t="s">
        <v>1166</v>
      </c>
      <c r="D1067" s="150">
        <v>4</v>
      </c>
      <c r="E1067" s="150" t="s">
        <v>146</v>
      </c>
      <c r="F1067" s="150">
        <v>49</v>
      </c>
      <c r="G1067" s="150" t="s">
        <v>861</v>
      </c>
      <c r="H1067" s="150">
        <v>0</v>
      </c>
      <c r="I1067" s="150">
        <v>70244283</v>
      </c>
      <c r="J1067" s="150" t="s">
        <v>1203</v>
      </c>
      <c r="K1067" s="150">
        <v>86824</v>
      </c>
      <c r="L1067" s="150">
        <v>132441</v>
      </c>
      <c r="M1067" s="150">
        <v>32382.47</v>
      </c>
      <c r="N1067" s="150">
        <v>0</v>
      </c>
      <c r="O1067" s="150">
        <v>260290</v>
      </c>
      <c r="P1067" s="150">
        <v>281113</v>
      </c>
      <c r="Q1067" s="150">
        <v>322360</v>
      </c>
      <c r="R1067" s="150">
        <v>322360</v>
      </c>
    </row>
    <row r="1068" spans="1:18" x14ac:dyDescent="0.25">
      <c r="A1068" t="str">
        <f t="shared" si="16"/>
        <v>41-7-170</v>
      </c>
      <c r="B1068">
        <v>41</v>
      </c>
      <c r="C1068" s="150" t="s">
        <v>1191</v>
      </c>
      <c r="D1068" s="150">
        <v>7</v>
      </c>
      <c r="E1068" s="150" t="s">
        <v>681</v>
      </c>
      <c r="F1068" s="150">
        <v>170</v>
      </c>
      <c r="G1068" s="150" t="s">
        <v>641</v>
      </c>
      <c r="H1068" s="150">
        <v>1</v>
      </c>
      <c r="I1068" s="150">
        <v>5793954</v>
      </c>
      <c r="J1068" s="150" t="s">
        <v>1203</v>
      </c>
      <c r="K1068" s="150">
        <v>62</v>
      </c>
      <c r="L1068" s="150">
        <v>393</v>
      </c>
      <c r="M1068" s="150">
        <v>41.1</v>
      </c>
      <c r="N1068" s="150">
        <v>0</v>
      </c>
      <c r="O1068" s="150">
        <v>122394</v>
      </c>
      <c r="P1068" s="150">
        <v>128283</v>
      </c>
      <c r="Q1068" s="150">
        <v>134988.1</v>
      </c>
      <c r="R1068" s="150">
        <v>134988.1</v>
      </c>
    </row>
    <row r="1069" spans="1:18" x14ac:dyDescent="0.25">
      <c r="A1069" t="str">
        <f t="shared" si="16"/>
        <v>16-7-171</v>
      </c>
      <c r="B1069">
        <v>16</v>
      </c>
      <c r="C1069" s="150" t="s">
        <v>1168</v>
      </c>
      <c r="D1069" s="150">
        <v>7</v>
      </c>
      <c r="E1069" s="150" t="s">
        <v>681</v>
      </c>
      <c r="F1069" s="150">
        <v>171</v>
      </c>
      <c r="G1069" s="150" t="s">
        <v>363</v>
      </c>
      <c r="H1069" s="150">
        <v>0</v>
      </c>
      <c r="I1069" s="150">
        <v>652644</v>
      </c>
      <c r="J1069" s="150" t="s">
        <v>1203</v>
      </c>
      <c r="K1069" s="150">
        <v>712</v>
      </c>
      <c r="L1069" s="150">
        <v>31</v>
      </c>
      <c r="M1069" s="150">
        <v>17.100000000000001</v>
      </c>
      <c r="N1069" s="150">
        <v>0</v>
      </c>
      <c r="O1069" s="150">
        <v>10120</v>
      </c>
      <c r="P1069" s="150">
        <v>10453</v>
      </c>
      <c r="Q1069" s="150">
        <v>10877.1</v>
      </c>
      <c r="R1069" s="150">
        <v>10877.1</v>
      </c>
    </row>
    <row r="1070" spans="1:18" x14ac:dyDescent="0.25">
      <c r="A1070" t="str">
        <f t="shared" si="16"/>
        <v>29-7-172</v>
      </c>
      <c r="B1070">
        <v>29</v>
      </c>
      <c r="C1070" s="150" t="s">
        <v>1181</v>
      </c>
      <c r="D1070" s="150">
        <v>7</v>
      </c>
      <c r="E1070" s="150" t="s">
        <v>681</v>
      </c>
      <c r="F1070" s="150">
        <v>172</v>
      </c>
      <c r="G1070" s="150" t="s">
        <v>1025</v>
      </c>
      <c r="H1070" s="150">
        <v>0</v>
      </c>
      <c r="I1070" s="150">
        <v>3202366</v>
      </c>
      <c r="J1070" s="150" t="s">
        <v>1203</v>
      </c>
      <c r="K1070" s="150">
        <v>103</v>
      </c>
      <c r="L1070" s="150">
        <v>28</v>
      </c>
      <c r="M1070" s="150">
        <v>0.31</v>
      </c>
      <c r="N1070" s="150">
        <v>0</v>
      </c>
      <c r="O1070" s="150">
        <v>8681</v>
      </c>
      <c r="P1070" s="150">
        <f>8846+103+28+7</f>
        <v>8984</v>
      </c>
      <c r="Q1070" s="150">
        <v>8978.57</v>
      </c>
      <c r="R1070" s="150">
        <v>8984</v>
      </c>
    </row>
    <row r="1071" spans="1:18" x14ac:dyDescent="0.25">
      <c r="A1071" t="str">
        <f t="shared" si="16"/>
        <v>26-5-5</v>
      </c>
      <c r="B1071">
        <v>26</v>
      </c>
      <c r="C1071" s="150" t="s">
        <v>1178</v>
      </c>
      <c r="D1071" s="150">
        <v>5</v>
      </c>
      <c r="E1071" s="150" t="s">
        <v>286</v>
      </c>
      <c r="F1071" s="150">
        <v>5</v>
      </c>
      <c r="G1071" s="150" t="s">
        <v>986</v>
      </c>
      <c r="H1071" s="150">
        <v>0</v>
      </c>
      <c r="I1071" s="150">
        <v>42690285</v>
      </c>
      <c r="J1071" s="150" t="s">
        <v>1203</v>
      </c>
      <c r="K1071" s="150">
        <v>3239</v>
      </c>
      <c r="L1071" s="150">
        <v>396</v>
      </c>
      <c r="M1071" s="150">
        <v>178.17</v>
      </c>
      <c r="N1071" s="150">
        <v>0</v>
      </c>
      <c r="O1071" s="150">
        <v>42874</v>
      </c>
      <c r="P1071" s="150">
        <v>44191</v>
      </c>
      <c r="Q1071" s="150">
        <v>45905.17</v>
      </c>
      <c r="R1071" s="150">
        <v>45905.17</v>
      </c>
    </row>
    <row r="1072" spans="1:18" x14ac:dyDescent="0.25">
      <c r="A1072" t="str">
        <f t="shared" si="16"/>
        <v>26-9-95</v>
      </c>
      <c r="B1072">
        <v>26</v>
      </c>
      <c r="C1072" s="150" t="s">
        <v>1178</v>
      </c>
      <c r="D1072" s="150">
        <v>9</v>
      </c>
      <c r="E1072" s="150" t="s">
        <v>683</v>
      </c>
      <c r="F1072" s="150">
        <v>95</v>
      </c>
      <c r="G1072" s="150" t="s">
        <v>992</v>
      </c>
      <c r="H1072" s="150">
        <v>0</v>
      </c>
      <c r="I1072" s="150">
        <v>0</v>
      </c>
      <c r="J1072" s="150" t="s">
        <v>1203</v>
      </c>
      <c r="K1072" s="150">
        <v>7000</v>
      </c>
      <c r="L1072" s="150">
        <v>466</v>
      </c>
      <c r="M1072" s="150">
        <v>164.86</v>
      </c>
      <c r="N1072" s="150">
        <v>0</v>
      </c>
      <c r="O1072" s="150">
        <v>57638</v>
      </c>
      <c r="P1072" s="150">
        <v>77521</v>
      </c>
      <c r="Q1072" s="150">
        <v>74649.86</v>
      </c>
      <c r="R1072" s="150">
        <v>77521</v>
      </c>
    </row>
    <row r="1073" spans="1:19" x14ac:dyDescent="0.25">
      <c r="A1073" t="str">
        <f t="shared" si="16"/>
        <v>26-14-41</v>
      </c>
      <c r="B1073">
        <v>26</v>
      </c>
      <c r="C1073" s="150" t="s">
        <v>1178</v>
      </c>
      <c r="D1073" s="150">
        <v>14</v>
      </c>
      <c r="E1073" s="150" t="s">
        <v>665</v>
      </c>
      <c r="F1073" s="150">
        <v>41</v>
      </c>
      <c r="G1073" s="150" t="s">
        <v>995</v>
      </c>
      <c r="H1073" s="150">
        <v>17071</v>
      </c>
      <c r="I1073" s="150">
        <v>56879301</v>
      </c>
      <c r="J1073" s="150" t="s">
        <v>1203</v>
      </c>
      <c r="K1073" s="150">
        <v>10507</v>
      </c>
      <c r="L1073" s="150">
        <v>2024</v>
      </c>
      <c r="M1073" s="150">
        <v>653.31999999999994</v>
      </c>
      <c r="N1073" s="150">
        <v>0</v>
      </c>
      <c r="O1073" s="150">
        <v>195868</v>
      </c>
      <c r="P1073" s="150">
        <v>202406</v>
      </c>
      <c r="Q1073" s="150">
        <v>207796.32</v>
      </c>
      <c r="R1073" s="150">
        <v>207796.32</v>
      </c>
    </row>
    <row r="1074" spans="1:19" x14ac:dyDescent="0.25">
      <c r="A1074" t="str">
        <f t="shared" si="16"/>
        <v>26-7-177</v>
      </c>
      <c r="B1074">
        <v>26</v>
      </c>
      <c r="C1074" s="150" t="s">
        <v>1178</v>
      </c>
      <c r="D1074" s="150">
        <v>7</v>
      </c>
      <c r="E1074" s="150" t="s">
        <v>681</v>
      </c>
      <c r="F1074" s="150">
        <v>177</v>
      </c>
      <c r="G1074" s="150" t="s">
        <v>991</v>
      </c>
      <c r="H1074" s="150">
        <v>0</v>
      </c>
      <c r="I1074" s="150">
        <v>44749799</v>
      </c>
      <c r="J1074" s="150" t="s">
        <v>1203</v>
      </c>
      <c r="K1074" s="150">
        <v>1996</v>
      </c>
      <c r="L1074" s="150">
        <v>273</v>
      </c>
      <c r="M1074" s="150">
        <v>127.22999999999999</v>
      </c>
      <c r="N1074" s="150">
        <v>0</v>
      </c>
      <c r="O1074" s="150">
        <v>26386</v>
      </c>
      <c r="P1074" s="150">
        <v>27377</v>
      </c>
      <c r="Q1074" s="150">
        <v>28443.23</v>
      </c>
      <c r="R1074" s="150">
        <v>28443.23</v>
      </c>
    </row>
    <row r="1075" spans="1:19" x14ac:dyDescent="0.25">
      <c r="A1075" t="str">
        <f t="shared" si="16"/>
        <v>26-4-190</v>
      </c>
      <c r="B1075">
        <v>26</v>
      </c>
      <c r="C1075" s="150" t="s">
        <v>1178</v>
      </c>
      <c r="D1075" s="150">
        <v>4</v>
      </c>
      <c r="E1075" s="150" t="s">
        <v>146</v>
      </c>
      <c r="F1075" s="150">
        <v>190</v>
      </c>
      <c r="G1075" s="150" t="s">
        <v>985</v>
      </c>
      <c r="H1075" s="150">
        <v>0</v>
      </c>
      <c r="I1075" s="150">
        <v>44277455</v>
      </c>
      <c r="J1075" s="150" t="s">
        <v>1203</v>
      </c>
      <c r="K1075" s="150">
        <v>64660</v>
      </c>
      <c r="L1075" s="150">
        <v>10910</v>
      </c>
      <c r="M1075" s="150">
        <v>4680.37</v>
      </c>
      <c r="N1075" s="150">
        <v>0</v>
      </c>
      <c r="O1075" s="150">
        <v>79274</v>
      </c>
      <c r="P1075" s="150">
        <v>81616</v>
      </c>
      <c r="Q1075" s="150">
        <v>84775</v>
      </c>
      <c r="R1075" s="150">
        <v>84775</v>
      </c>
    </row>
    <row r="1076" spans="1:19" x14ac:dyDescent="0.25">
      <c r="A1076" t="str">
        <f t="shared" si="16"/>
        <v>9-9-112</v>
      </c>
      <c r="B1076">
        <v>9</v>
      </c>
      <c r="C1076" s="150" t="s">
        <v>1161</v>
      </c>
      <c r="D1076" s="150">
        <v>9</v>
      </c>
      <c r="E1076" s="150" t="s">
        <v>683</v>
      </c>
      <c r="F1076" s="150">
        <v>112</v>
      </c>
      <c r="G1076" s="150" t="s">
        <v>811</v>
      </c>
      <c r="H1076" s="150">
        <v>0</v>
      </c>
      <c r="I1076" s="150">
        <v>0</v>
      </c>
      <c r="J1076" s="150" t="s">
        <v>1203</v>
      </c>
      <c r="K1076" s="150">
        <v>0</v>
      </c>
      <c r="L1076" s="150">
        <v>3</v>
      </c>
      <c r="M1076" s="150">
        <v>0</v>
      </c>
      <c r="N1076" s="150">
        <v>0</v>
      </c>
      <c r="O1076" s="150">
        <v>286971</v>
      </c>
      <c r="P1076" s="150">
        <v>308317</v>
      </c>
      <c r="Q1076" s="150">
        <v>332982</v>
      </c>
      <c r="R1076" s="150">
        <v>332982</v>
      </c>
    </row>
    <row r="1077" spans="1:19" x14ac:dyDescent="0.25">
      <c r="A1077" t="str">
        <f t="shared" si="16"/>
        <v>40-4-162</v>
      </c>
      <c r="B1077">
        <v>40</v>
      </c>
      <c r="C1077" s="150" t="s">
        <v>1190</v>
      </c>
      <c r="D1077" s="150">
        <v>4</v>
      </c>
      <c r="E1077" s="150" t="s">
        <v>146</v>
      </c>
      <c r="F1077" s="150">
        <v>162</v>
      </c>
      <c r="G1077" s="150" t="s">
        <v>1109</v>
      </c>
      <c r="H1077" s="150">
        <v>0</v>
      </c>
      <c r="I1077" s="150">
        <v>37999870</v>
      </c>
      <c r="J1077" s="150" t="s">
        <v>1203</v>
      </c>
      <c r="K1077" s="150">
        <v>237</v>
      </c>
      <c r="L1077" s="150">
        <v>30100</v>
      </c>
      <c r="M1077" s="150">
        <v>4583</v>
      </c>
      <c r="N1077" s="150">
        <v>0</v>
      </c>
      <c r="O1077" s="150">
        <v>0</v>
      </c>
      <c r="P1077" s="150">
        <v>0</v>
      </c>
      <c r="Q1077" s="150">
        <v>0</v>
      </c>
      <c r="R1077" s="150">
        <v>0</v>
      </c>
    </row>
    <row r="1078" spans="1:19" x14ac:dyDescent="0.25">
      <c r="A1078" t="str">
        <f t="shared" si="16"/>
        <v>4-7-173</v>
      </c>
      <c r="B1078">
        <v>4</v>
      </c>
      <c r="C1078" s="150" t="s">
        <v>1196</v>
      </c>
      <c r="D1078" s="150">
        <v>7</v>
      </c>
      <c r="E1078" s="150" t="s">
        <v>681</v>
      </c>
      <c r="F1078" s="150">
        <v>173</v>
      </c>
      <c r="G1078" s="150" t="s">
        <v>213</v>
      </c>
      <c r="H1078" s="150">
        <v>0</v>
      </c>
      <c r="I1078" s="150">
        <v>10488909</v>
      </c>
      <c r="J1078" s="150" t="s">
        <v>1203</v>
      </c>
      <c r="K1078" s="150">
        <v>95</v>
      </c>
      <c r="L1078" s="150">
        <v>30</v>
      </c>
      <c r="M1078" s="150">
        <v>19.489999999999998</v>
      </c>
      <c r="N1078" s="150">
        <v>0</v>
      </c>
      <c r="O1078" s="150">
        <v>2817</v>
      </c>
      <c r="P1078" s="150">
        <v>2920</v>
      </c>
      <c r="Q1078" s="150">
        <v>3034.49</v>
      </c>
      <c r="R1078" s="150">
        <v>3034.49</v>
      </c>
    </row>
    <row r="1079" spans="1:19" x14ac:dyDescent="0.25">
      <c r="A1079" t="str">
        <f t="shared" si="16"/>
        <v>43-21-15</v>
      </c>
      <c r="B1079">
        <v>43</v>
      </c>
      <c r="C1079" s="150" t="s">
        <v>1192</v>
      </c>
      <c r="D1079" s="150">
        <v>21</v>
      </c>
      <c r="E1079" s="150" t="s">
        <v>690</v>
      </c>
      <c r="F1079" s="150">
        <v>15</v>
      </c>
      <c r="G1079" s="150" t="s">
        <v>1146</v>
      </c>
      <c r="H1079" s="150">
        <v>1831</v>
      </c>
      <c r="I1079" s="150">
        <v>314269</v>
      </c>
      <c r="J1079" s="150" t="s">
        <v>1203</v>
      </c>
      <c r="K1079" s="150">
        <v>0</v>
      </c>
      <c r="L1079" s="150">
        <v>897</v>
      </c>
      <c r="M1079" s="150">
        <v>2.15</v>
      </c>
      <c r="N1079" s="150">
        <v>0</v>
      </c>
      <c r="O1079" s="150">
        <v>13550</v>
      </c>
      <c r="P1079" s="150">
        <v>13957</v>
      </c>
      <c r="Q1079" s="150">
        <v>14376.15</v>
      </c>
      <c r="R1079" s="150">
        <v>14376.15</v>
      </c>
    </row>
    <row r="1080" spans="1:19" x14ac:dyDescent="0.25">
      <c r="A1080" t="str">
        <f t="shared" si="16"/>
        <v>44-11-104</v>
      </c>
      <c r="B1080">
        <v>44</v>
      </c>
      <c r="C1080" s="150" t="s">
        <v>1193</v>
      </c>
      <c r="D1080" s="150">
        <v>11</v>
      </c>
      <c r="E1080" s="150" t="s">
        <v>1204</v>
      </c>
      <c r="F1080" s="150">
        <v>104</v>
      </c>
      <c r="G1080" s="150" t="s">
        <v>1153</v>
      </c>
      <c r="H1080" s="150">
        <v>0</v>
      </c>
      <c r="I1080" s="150">
        <v>237468783</v>
      </c>
      <c r="J1080" s="150"/>
      <c r="K1080" s="150">
        <v>0</v>
      </c>
      <c r="L1080" s="150">
        <v>0</v>
      </c>
      <c r="M1080" s="150">
        <v>0</v>
      </c>
      <c r="N1080" s="150">
        <v>0</v>
      </c>
      <c r="O1080" s="150">
        <v>695215</v>
      </c>
      <c r="P1080" s="150">
        <v>870213</v>
      </c>
      <c r="Q1080" s="150">
        <v>1044913</v>
      </c>
    </row>
    <row r="1081" spans="1:19" x14ac:dyDescent="0.25">
      <c r="A1081" t="str">
        <f t="shared" si="16"/>
        <v>44-8-9</v>
      </c>
      <c r="B1081">
        <v>44</v>
      </c>
      <c r="C1081" s="150" t="s">
        <v>1193</v>
      </c>
      <c r="D1081" s="150">
        <v>8</v>
      </c>
      <c r="E1081" s="150" t="s">
        <v>682</v>
      </c>
      <c r="F1081" s="150">
        <v>9</v>
      </c>
      <c r="G1081" s="150" t="s">
        <v>1149</v>
      </c>
      <c r="H1081" s="150">
        <v>1134</v>
      </c>
      <c r="I1081" s="150">
        <v>69079070</v>
      </c>
      <c r="J1081" s="150" t="s">
        <v>1203</v>
      </c>
      <c r="K1081" s="150">
        <v>850</v>
      </c>
      <c r="L1081" s="150">
        <v>323</v>
      </c>
      <c r="M1081" s="150">
        <v>142.63</v>
      </c>
      <c r="N1081" s="150">
        <v>0</v>
      </c>
      <c r="O1081" s="150">
        <v>33456</v>
      </c>
      <c r="P1081" s="150">
        <v>34855</v>
      </c>
      <c r="Q1081" s="150">
        <v>36377.629999999997</v>
      </c>
      <c r="R1081" s="150">
        <v>36377.629999999997</v>
      </c>
    </row>
    <row r="1082" spans="1:19" x14ac:dyDescent="0.25">
      <c r="A1082" t="str">
        <f t="shared" si="16"/>
        <v>44-2-44</v>
      </c>
      <c r="B1082">
        <v>44</v>
      </c>
      <c r="C1082" s="150" t="s">
        <v>1193</v>
      </c>
      <c r="D1082" s="150">
        <v>2</v>
      </c>
      <c r="E1082" s="150" t="s">
        <v>110</v>
      </c>
      <c r="F1082" s="150">
        <v>44</v>
      </c>
      <c r="G1082" s="150" t="s">
        <v>668</v>
      </c>
      <c r="H1082" s="150">
        <v>66211</v>
      </c>
      <c r="I1082" s="150">
        <v>294294176</v>
      </c>
      <c r="J1082" s="150"/>
      <c r="K1082" s="150">
        <v>83948</v>
      </c>
      <c r="L1082" s="150">
        <v>50663</v>
      </c>
      <c r="M1082" s="150">
        <v>22486</v>
      </c>
      <c r="N1082" s="150">
        <v>0</v>
      </c>
      <c r="O1082" s="150">
        <v>5135659</v>
      </c>
      <c r="P1082" s="150">
        <v>5330303</v>
      </c>
      <c r="Q1082" s="150">
        <v>5398384</v>
      </c>
      <c r="R1082" s="150" t="s">
        <v>1314</v>
      </c>
      <c r="S1082" s="150" t="s">
        <v>1314</v>
      </c>
    </row>
    <row r="1083" spans="1:19" x14ac:dyDescent="0.25">
      <c r="A1083" t="str">
        <f t="shared" si="16"/>
        <v>18-7-174</v>
      </c>
      <c r="B1083">
        <v>18</v>
      </c>
      <c r="C1083" s="150" t="s">
        <v>1170</v>
      </c>
      <c r="D1083" s="150">
        <v>7</v>
      </c>
      <c r="E1083" s="150" t="s">
        <v>681</v>
      </c>
      <c r="F1083" s="150">
        <v>174</v>
      </c>
      <c r="G1083" s="150" t="s">
        <v>384</v>
      </c>
      <c r="H1083" s="150">
        <v>986</v>
      </c>
      <c r="I1083" s="150">
        <v>2935322</v>
      </c>
      <c r="J1083" s="150" t="s">
        <v>1203</v>
      </c>
      <c r="K1083" s="150">
        <v>34</v>
      </c>
      <c r="L1083" s="150">
        <v>59</v>
      </c>
      <c r="M1083" s="150">
        <v>3.75</v>
      </c>
      <c r="N1083" s="150">
        <v>0</v>
      </c>
      <c r="O1083" s="150">
        <v>2684</v>
      </c>
      <c r="P1083" s="150">
        <v>2774</v>
      </c>
      <c r="Q1083" s="150">
        <v>2868.75</v>
      </c>
      <c r="R1083" s="150">
        <v>2868.75</v>
      </c>
    </row>
    <row r="1084" spans="1:19" x14ac:dyDescent="0.25">
      <c r="A1084" t="str">
        <f t="shared" si="16"/>
        <v>18-9-154</v>
      </c>
      <c r="B1084">
        <v>18</v>
      </c>
      <c r="C1084" s="150" t="s">
        <v>1170</v>
      </c>
      <c r="D1084" s="150">
        <v>9</v>
      </c>
      <c r="E1084" s="150" t="s">
        <v>683</v>
      </c>
      <c r="F1084" s="150">
        <v>154</v>
      </c>
      <c r="G1084" s="150" t="s">
        <v>904</v>
      </c>
      <c r="H1084" s="150">
        <v>6018</v>
      </c>
      <c r="I1084" s="150">
        <v>3652000</v>
      </c>
      <c r="J1084" s="150" t="s">
        <v>1203</v>
      </c>
      <c r="K1084" s="150">
        <v>0</v>
      </c>
      <c r="L1084" s="150">
        <v>0</v>
      </c>
      <c r="M1084" s="150">
        <v>1.92</v>
      </c>
      <c r="N1084" s="150">
        <v>0</v>
      </c>
      <c r="O1084" s="150">
        <v>18628</v>
      </c>
      <c r="P1084" s="150">
        <v>13390</v>
      </c>
      <c r="Q1084" s="150">
        <v>12543.92</v>
      </c>
      <c r="R1084" s="150">
        <v>18628</v>
      </c>
    </row>
    <row r="1085" spans="1:19" x14ac:dyDescent="0.25">
      <c r="A1085" t="str">
        <f t="shared" si="16"/>
        <v>18-17-7</v>
      </c>
      <c r="B1085">
        <v>18</v>
      </c>
      <c r="C1085" s="150" t="s">
        <v>1170</v>
      </c>
      <c r="D1085" s="150">
        <v>17</v>
      </c>
      <c r="E1085" s="150" t="s">
        <v>688</v>
      </c>
      <c r="F1085" s="150">
        <v>7</v>
      </c>
      <c r="G1085" s="150" t="s">
        <v>914</v>
      </c>
      <c r="H1085" s="150">
        <v>3719</v>
      </c>
      <c r="I1085" s="150">
        <v>2726311</v>
      </c>
      <c r="J1085" s="150" t="s">
        <v>1203</v>
      </c>
      <c r="K1085" s="150">
        <v>224</v>
      </c>
      <c r="L1085" s="150">
        <v>196</v>
      </c>
      <c r="M1085" s="150">
        <v>11.99</v>
      </c>
      <c r="N1085" s="150">
        <v>0</v>
      </c>
      <c r="O1085" s="150">
        <v>11020</v>
      </c>
      <c r="P1085" s="150">
        <v>11220</v>
      </c>
      <c r="Q1085" s="150">
        <v>11431.99</v>
      </c>
      <c r="R1085" s="150">
        <v>11431.99</v>
      </c>
    </row>
    <row r="1086" spans="1:19" x14ac:dyDescent="0.25">
      <c r="A1086" t="str">
        <f t="shared" si="16"/>
        <v>44-5-2</v>
      </c>
      <c r="B1086">
        <v>44</v>
      </c>
      <c r="C1086" s="150" t="s">
        <v>1193</v>
      </c>
      <c r="D1086" s="150">
        <v>5</v>
      </c>
      <c r="E1086" s="150" t="s">
        <v>286</v>
      </c>
      <c r="F1086" s="150">
        <v>2</v>
      </c>
      <c r="G1086" s="150" t="s">
        <v>672</v>
      </c>
      <c r="H1086" s="150">
        <v>5179</v>
      </c>
      <c r="I1086" s="150">
        <v>109754838</v>
      </c>
      <c r="J1086" s="150" t="s">
        <v>1203</v>
      </c>
      <c r="K1086" s="150">
        <v>6158</v>
      </c>
      <c r="L1086" s="150">
        <v>3335</v>
      </c>
      <c r="M1086" s="150">
        <v>1233.21</v>
      </c>
      <c r="N1086" s="150">
        <v>0</v>
      </c>
      <c r="O1086" s="150">
        <v>260909</v>
      </c>
      <c r="P1086" s="150">
        <v>265270</v>
      </c>
      <c r="Q1086" s="150">
        <v>287507.04000000004</v>
      </c>
      <c r="R1086" s="150">
        <v>287507.21000000002</v>
      </c>
    </row>
    <row r="1087" spans="1:19" x14ac:dyDescent="0.25">
      <c r="A1087" t="str">
        <f t="shared" si="16"/>
        <v>44-9-19</v>
      </c>
      <c r="B1087">
        <v>44</v>
      </c>
      <c r="C1087" s="150" t="s">
        <v>1193</v>
      </c>
      <c r="D1087" s="150">
        <v>9</v>
      </c>
      <c r="E1087" s="150" t="s">
        <v>683</v>
      </c>
      <c r="F1087" s="150">
        <v>19</v>
      </c>
      <c r="G1087" s="150" t="s">
        <v>1151</v>
      </c>
      <c r="H1087" s="150">
        <v>0</v>
      </c>
      <c r="I1087" s="150">
        <v>0</v>
      </c>
      <c r="J1087" s="150" t="s">
        <v>1203</v>
      </c>
      <c r="K1087" s="150">
        <v>7387</v>
      </c>
      <c r="L1087" s="150">
        <v>1893</v>
      </c>
      <c r="M1087" s="150">
        <v>985.46</v>
      </c>
      <c r="N1087" s="150">
        <v>0</v>
      </c>
      <c r="O1087" s="150">
        <v>288750</v>
      </c>
      <c r="P1087" s="150">
        <v>301398</v>
      </c>
      <c r="Q1087" s="150">
        <v>315397.46000000002</v>
      </c>
      <c r="R1087" s="150">
        <v>315397.46000000002</v>
      </c>
    </row>
    <row r="1088" spans="1:19" x14ac:dyDescent="0.25">
      <c r="A1088" t="str">
        <f t="shared" si="16"/>
        <v>44-4-179</v>
      </c>
      <c r="B1088">
        <v>44</v>
      </c>
      <c r="C1088" s="150" t="s">
        <v>1193</v>
      </c>
      <c r="D1088" s="150">
        <v>4</v>
      </c>
      <c r="E1088" s="150" t="s">
        <v>146</v>
      </c>
      <c r="F1088" s="150">
        <v>179</v>
      </c>
      <c r="G1088" s="150" t="s">
        <v>1147</v>
      </c>
      <c r="H1088" s="150">
        <v>0</v>
      </c>
      <c r="I1088" s="150">
        <v>106918968</v>
      </c>
      <c r="J1088" s="150" t="s">
        <v>1203</v>
      </c>
      <c r="K1088" s="150">
        <v>3329</v>
      </c>
      <c r="L1088" s="150">
        <v>13088</v>
      </c>
      <c r="M1088" s="150">
        <v>3124.9</v>
      </c>
      <c r="N1088" s="150">
        <v>0</v>
      </c>
      <c r="O1088" s="150">
        <v>20000</v>
      </c>
      <c r="P1088" s="150">
        <v>40104</v>
      </c>
      <c r="Q1088" s="150">
        <v>41756</v>
      </c>
      <c r="R1088" s="150">
        <v>41756</v>
      </c>
    </row>
    <row r="1089" spans="1:18" x14ac:dyDescent="0.25">
      <c r="A1089" t="str">
        <f t="shared" si="16"/>
        <v>44-12-22</v>
      </c>
      <c r="B1089">
        <v>44</v>
      </c>
      <c r="C1089" s="150" t="s">
        <v>1193</v>
      </c>
      <c r="D1089" s="150">
        <v>12</v>
      </c>
      <c r="E1089" s="150" t="s">
        <v>151</v>
      </c>
      <c r="F1089" s="150">
        <v>22</v>
      </c>
      <c r="G1089" s="150" t="s">
        <v>677</v>
      </c>
      <c r="H1089" s="150">
        <v>5883</v>
      </c>
      <c r="I1089" s="150">
        <v>109754838</v>
      </c>
      <c r="J1089" s="150" t="s">
        <v>1203</v>
      </c>
      <c r="K1089" s="150">
        <v>5607</v>
      </c>
      <c r="L1089" s="150">
        <v>9201</v>
      </c>
      <c r="M1089" s="150">
        <v>2648.63</v>
      </c>
      <c r="N1089" s="150">
        <v>0</v>
      </c>
      <c r="O1089" s="150">
        <v>391126</v>
      </c>
      <c r="P1089" s="150">
        <v>405773</v>
      </c>
      <c r="Q1089" s="150">
        <v>422499.63</v>
      </c>
      <c r="R1089" s="150">
        <v>422499.63</v>
      </c>
    </row>
    <row r="1090" spans="1:18" x14ac:dyDescent="0.25">
      <c r="A1090" t="str">
        <f t="shared" si="16"/>
        <v>44-11-63</v>
      </c>
      <c r="B1090">
        <v>44</v>
      </c>
      <c r="C1090" s="150" t="s">
        <v>1193</v>
      </c>
      <c r="D1090" s="150">
        <v>11</v>
      </c>
      <c r="E1090" s="150" t="s">
        <v>1204</v>
      </c>
      <c r="F1090" s="150">
        <v>63</v>
      </c>
      <c r="G1090" s="150" t="s">
        <v>1152</v>
      </c>
      <c r="H1090" s="150">
        <v>20008</v>
      </c>
      <c r="I1090" s="150">
        <v>56825393</v>
      </c>
      <c r="J1090" s="150" t="s">
        <v>1203</v>
      </c>
      <c r="K1090" s="150">
        <v>2134</v>
      </c>
      <c r="L1090" s="150">
        <v>747</v>
      </c>
      <c r="M1090" s="150">
        <v>267.8</v>
      </c>
      <c r="N1090" s="150">
        <v>0</v>
      </c>
      <c r="O1090" s="150">
        <v>60896</v>
      </c>
      <c r="P1090" s="150">
        <v>63925</v>
      </c>
      <c r="Q1090" s="150">
        <v>66742.8</v>
      </c>
      <c r="R1090" s="150">
        <v>66742.8</v>
      </c>
    </row>
    <row r="1091" spans="1:18" x14ac:dyDescent="0.25">
      <c r="A1091" t="str">
        <f t="shared" si="16"/>
        <v>24-7-175</v>
      </c>
      <c r="B1091">
        <v>24</v>
      </c>
      <c r="C1091" s="150" t="s">
        <v>1176</v>
      </c>
      <c r="D1091" s="150">
        <v>7</v>
      </c>
      <c r="E1091" s="150" t="s">
        <v>681</v>
      </c>
      <c r="F1091" s="150">
        <v>175</v>
      </c>
      <c r="G1091" s="150" t="s">
        <v>442</v>
      </c>
      <c r="H1091" s="150">
        <v>3017</v>
      </c>
      <c r="I1091" s="150">
        <v>37853160</v>
      </c>
      <c r="J1091" s="150" t="s">
        <v>1203</v>
      </c>
      <c r="K1091" s="150">
        <v>5482</v>
      </c>
      <c r="L1091" s="150">
        <v>1096</v>
      </c>
      <c r="M1091" s="150">
        <v>99.75</v>
      </c>
      <c r="N1091" s="150">
        <v>0</v>
      </c>
      <c r="O1091" s="150">
        <v>95660</v>
      </c>
      <c r="P1091" s="150">
        <v>99275</v>
      </c>
      <c r="Q1091" s="150">
        <v>107216.75</v>
      </c>
      <c r="R1091" s="150">
        <v>107216.75</v>
      </c>
    </row>
    <row r="1092" spans="1:18" x14ac:dyDescent="0.25">
      <c r="A1092" t="str">
        <f t="shared" si="16"/>
        <v>24-9-89</v>
      </c>
      <c r="B1092">
        <v>24</v>
      </c>
      <c r="C1092" s="150" t="s">
        <v>1176</v>
      </c>
      <c r="D1092" s="150">
        <v>9</v>
      </c>
      <c r="E1092" s="150" t="s">
        <v>683</v>
      </c>
      <c r="F1092" s="150">
        <v>89</v>
      </c>
      <c r="G1092" s="150" t="s">
        <v>974</v>
      </c>
      <c r="H1092" s="150">
        <v>287</v>
      </c>
      <c r="I1092" s="150">
        <v>5132000</v>
      </c>
      <c r="J1092" s="150" t="s">
        <v>1203</v>
      </c>
      <c r="K1092" s="150">
        <v>12108</v>
      </c>
      <c r="L1092" s="150">
        <v>2285</v>
      </c>
      <c r="M1092" s="150">
        <v>63.34</v>
      </c>
      <c r="N1092" s="150">
        <v>0</v>
      </c>
      <c r="O1092" s="150">
        <v>231020</v>
      </c>
      <c r="P1092" s="150">
        <v>239682</v>
      </c>
      <c r="Q1092" s="150">
        <v>258857.34</v>
      </c>
      <c r="R1092" s="150">
        <v>258857.34</v>
      </c>
    </row>
    <row r="1093" spans="1:18" x14ac:dyDescent="0.25">
      <c r="A1093" t="str">
        <f t="shared" si="16"/>
        <v>24-11-64</v>
      </c>
      <c r="B1093">
        <v>24</v>
      </c>
      <c r="C1093" s="150" t="s">
        <v>1176</v>
      </c>
      <c r="D1093" s="150">
        <v>11</v>
      </c>
      <c r="E1093" s="150" t="s">
        <v>1204</v>
      </c>
      <c r="F1093" s="150">
        <v>64</v>
      </c>
      <c r="G1093" s="150" t="s">
        <v>446</v>
      </c>
      <c r="H1093" s="150">
        <v>0</v>
      </c>
      <c r="I1093" s="150">
        <v>35469154</v>
      </c>
      <c r="J1093" s="150" t="s">
        <v>1203</v>
      </c>
      <c r="K1093" s="150">
        <v>22416</v>
      </c>
      <c r="L1093" s="150">
        <v>4189</v>
      </c>
      <c r="M1093" s="150">
        <v>489.57</v>
      </c>
      <c r="N1093" s="150">
        <v>0</v>
      </c>
      <c r="O1093" s="150">
        <v>413794</v>
      </c>
      <c r="P1093" s="150">
        <v>429384</v>
      </c>
      <c r="Q1093" s="150">
        <v>443974.57</v>
      </c>
      <c r="R1093" s="150">
        <v>443974.57</v>
      </c>
    </row>
    <row r="1094" spans="1:18" x14ac:dyDescent="0.25">
      <c r="A1094" t="str">
        <f t="shared" ref="A1094:A1138" si="17">B1094&amp;"-"&amp;D1094&amp;"-"&amp;F1094</f>
        <v>24-17-12</v>
      </c>
      <c r="B1094">
        <v>24</v>
      </c>
      <c r="C1094" s="150" t="s">
        <v>1176</v>
      </c>
      <c r="D1094" s="150">
        <v>17</v>
      </c>
      <c r="E1094" s="150" t="s">
        <v>688</v>
      </c>
      <c r="F1094" s="150">
        <v>12</v>
      </c>
      <c r="G1094" s="150" t="s">
        <v>450</v>
      </c>
      <c r="H1094" s="150">
        <v>0</v>
      </c>
      <c r="I1094" s="150">
        <v>47854815</v>
      </c>
      <c r="J1094" s="150" t="s">
        <v>1203</v>
      </c>
      <c r="K1094" s="150">
        <v>9039</v>
      </c>
      <c r="L1094" s="150">
        <v>1774</v>
      </c>
      <c r="M1094" s="150">
        <v>180.7</v>
      </c>
      <c r="N1094" s="150">
        <v>0</v>
      </c>
      <c r="O1094" s="150">
        <v>164564</v>
      </c>
      <c r="P1094" s="150">
        <v>170866</v>
      </c>
      <c r="Q1094" s="150">
        <v>184534.7</v>
      </c>
      <c r="R1094" s="150">
        <v>184534.7</v>
      </c>
    </row>
    <row r="1095" spans="1:18" x14ac:dyDescent="0.25">
      <c r="A1095" t="str">
        <f t="shared" si="17"/>
        <v>24-4-86</v>
      </c>
      <c r="B1095">
        <v>24</v>
      </c>
      <c r="C1095" s="150" t="s">
        <v>1176</v>
      </c>
      <c r="D1095" s="150">
        <v>4</v>
      </c>
      <c r="E1095" s="150" t="s">
        <v>146</v>
      </c>
      <c r="F1095" s="150">
        <v>86</v>
      </c>
      <c r="G1095" s="150" t="s">
        <v>968</v>
      </c>
      <c r="H1095" s="150">
        <v>0</v>
      </c>
      <c r="I1095" s="150">
        <v>35512225</v>
      </c>
      <c r="J1095" s="150" t="s">
        <v>1203</v>
      </c>
      <c r="K1095" s="150">
        <v>23282</v>
      </c>
      <c r="L1095" s="150">
        <v>16574</v>
      </c>
      <c r="M1095" s="150">
        <v>1438.94</v>
      </c>
      <c r="N1095" s="150">
        <v>0</v>
      </c>
      <c r="O1095" s="150">
        <v>31662</v>
      </c>
      <c r="P1095" s="150">
        <v>32844</v>
      </c>
      <c r="Q1095" s="150">
        <v>35472</v>
      </c>
      <c r="R1095" s="150">
        <v>35472</v>
      </c>
    </row>
    <row r="1096" spans="1:18" x14ac:dyDescent="0.25">
      <c r="A1096" t="str">
        <f t="shared" si="17"/>
        <v>18-7-179</v>
      </c>
      <c r="B1096">
        <v>18</v>
      </c>
      <c r="C1096" s="150" t="s">
        <v>1170</v>
      </c>
      <c r="D1096" s="150">
        <v>7</v>
      </c>
      <c r="E1096" s="150" t="s">
        <v>681</v>
      </c>
      <c r="F1096" s="150">
        <v>179</v>
      </c>
      <c r="G1096" s="150" t="s">
        <v>898</v>
      </c>
      <c r="H1096" s="150">
        <v>0</v>
      </c>
      <c r="I1096" s="150">
        <v>46129</v>
      </c>
      <c r="J1096" s="150" t="s">
        <v>1203</v>
      </c>
      <c r="K1096" s="150">
        <v>18</v>
      </c>
      <c r="L1096" s="150">
        <v>60</v>
      </c>
      <c r="M1096" s="150">
        <v>7.24</v>
      </c>
      <c r="N1096" s="150">
        <v>0</v>
      </c>
      <c r="O1096" s="150">
        <v>3250</v>
      </c>
      <c r="P1096" s="150">
        <v>3656</v>
      </c>
      <c r="Q1096" s="150">
        <v>3681.24</v>
      </c>
      <c r="R1096" s="150">
        <v>3681.24</v>
      </c>
    </row>
    <row r="1097" spans="1:18" x14ac:dyDescent="0.25">
      <c r="A1097" t="str">
        <f t="shared" si="17"/>
        <v>1-4-3</v>
      </c>
      <c r="B1097">
        <v>1</v>
      </c>
      <c r="C1097" s="150" t="s">
        <v>1155</v>
      </c>
      <c r="D1097" s="150">
        <v>4</v>
      </c>
      <c r="E1097" s="150" t="s">
        <v>146</v>
      </c>
      <c r="F1097" s="150">
        <v>3</v>
      </c>
      <c r="G1097" s="150" t="s">
        <v>166</v>
      </c>
      <c r="H1097" s="150">
        <v>0</v>
      </c>
      <c r="I1097" s="150">
        <v>358133853</v>
      </c>
      <c r="J1097" s="150">
        <v>1</v>
      </c>
      <c r="K1097" s="150">
        <v>18013</v>
      </c>
      <c r="L1097" s="150">
        <v>351053</v>
      </c>
      <c r="M1097" s="150">
        <v>47944.520000000004</v>
      </c>
      <c r="N1097" s="150">
        <v>20396</v>
      </c>
      <c r="O1097" s="150">
        <v>866374</v>
      </c>
      <c r="P1097" s="150">
        <v>929935</v>
      </c>
      <c r="Q1097" s="150">
        <v>999268</v>
      </c>
      <c r="R1097" s="150">
        <v>999268</v>
      </c>
    </row>
    <row r="1098" spans="1:18" x14ac:dyDescent="0.25">
      <c r="A1098" t="str">
        <f t="shared" si="17"/>
        <v>14-4-3</v>
      </c>
      <c r="B1098">
        <v>14</v>
      </c>
      <c r="C1098" s="150" t="s">
        <v>1166</v>
      </c>
      <c r="D1098" s="150">
        <v>4</v>
      </c>
      <c r="E1098" s="150" t="s">
        <v>146</v>
      </c>
      <c r="F1098" s="150">
        <v>3</v>
      </c>
      <c r="G1098" s="150" t="s">
        <v>166</v>
      </c>
      <c r="H1098" s="150">
        <v>0</v>
      </c>
      <c r="I1098" s="150">
        <v>2059365</v>
      </c>
      <c r="J1098" s="150">
        <v>1</v>
      </c>
      <c r="K1098" s="150">
        <v>18013</v>
      </c>
      <c r="L1098" s="150">
        <v>351053</v>
      </c>
      <c r="M1098" s="150">
        <v>47944.520000000004</v>
      </c>
      <c r="N1098" s="150">
        <v>20396</v>
      </c>
      <c r="O1098" s="150">
        <v>866374</v>
      </c>
      <c r="P1098" s="150">
        <v>929935</v>
      </c>
      <c r="Q1098" s="150">
        <v>999268</v>
      </c>
      <c r="R1098" s="150">
        <v>999268</v>
      </c>
    </row>
    <row r="1099" spans="1:18" x14ac:dyDescent="0.25">
      <c r="A1099" t="str">
        <f t="shared" si="17"/>
        <v>9-7-176</v>
      </c>
      <c r="B1099">
        <v>9</v>
      </c>
      <c r="C1099" s="150" t="s">
        <v>1161</v>
      </c>
      <c r="D1099" s="150">
        <v>7</v>
      </c>
      <c r="E1099" s="150" t="s">
        <v>681</v>
      </c>
      <c r="F1099" s="150">
        <v>176</v>
      </c>
      <c r="G1099" s="150" t="s">
        <v>273</v>
      </c>
      <c r="H1099" s="150">
        <v>13540</v>
      </c>
      <c r="I1099" s="150">
        <v>18268495</v>
      </c>
      <c r="J1099" s="150" t="s">
        <v>1203</v>
      </c>
      <c r="K1099" s="150">
        <v>130</v>
      </c>
      <c r="L1099" s="150">
        <v>631</v>
      </c>
      <c r="M1099" s="150">
        <v>57.650000000000006</v>
      </c>
      <c r="N1099" s="150">
        <v>0</v>
      </c>
      <c r="O1099" s="150">
        <v>65163</v>
      </c>
      <c r="P1099" s="150">
        <v>64439</v>
      </c>
      <c r="Q1099" s="150">
        <v>66369.81</v>
      </c>
      <c r="R1099" s="150">
        <v>66369.649999999994</v>
      </c>
    </row>
    <row r="1100" spans="1:18" x14ac:dyDescent="0.25">
      <c r="A1100" t="str">
        <f t="shared" si="17"/>
        <v>9-14-63</v>
      </c>
      <c r="B1100">
        <v>9</v>
      </c>
      <c r="C1100" s="150" t="s">
        <v>1161</v>
      </c>
      <c r="D1100" s="150">
        <v>14</v>
      </c>
      <c r="E1100" s="150" t="s">
        <v>665</v>
      </c>
      <c r="F1100" s="150">
        <v>63</v>
      </c>
      <c r="G1100" s="150" t="s">
        <v>277</v>
      </c>
      <c r="H1100" s="150">
        <v>0</v>
      </c>
      <c r="I1100" s="150">
        <v>34266006</v>
      </c>
      <c r="J1100" s="150" t="s">
        <v>1203</v>
      </c>
      <c r="K1100" s="150">
        <v>0</v>
      </c>
      <c r="L1100" s="150">
        <v>3960</v>
      </c>
      <c r="M1100" s="150">
        <v>622.11</v>
      </c>
      <c r="N1100" s="150">
        <v>0</v>
      </c>
      <c r="O1100" s="150">
        <v>401527</v>
      </c>
      <c r="P1100" s="150">
        <v>428132</v>
      </c>
      <c r="Q1100" s="150">
        <v>451266.11</v>
      </c>
      <c r="R1100" s="150">
        <v>451266.11</v>
      </c>
    </row>
    <row r="1101" spans="1:18" x14ac:dyDescent="0.25">
      <c r="A1101" t="str">
        <f t="shared" si="17"/>
        <v>9-20-55</v>
      </c>
      <c r="B1101">
        <v>9</v>
      </c>
      <c r="C1101" s="150" t="s">
        <v>1161</v>
      </c>
      <c r="D1101" s="150">
        <v>20</v>
      </c>
      <c r="E1101" s="150" t="s">
        <v>238</v>
      </c>
      <c r="F1101" s="150">
        <v>55</v>
      </c>
      <c r="G1101" s="150" t="s">
        <v>824</v>
      </c>
      <c r="H1101" s="150">
        <v>595</v>
      </c>
      <c r="I1101" s="150">
        <v>1974800</v>
      </c>
      <c r="J1101" s="150" t="s">
        <v>1203</v>
      </c>
      <c r="K1101" s="150">
        <v>6</v>
      </c>
      <c r="L1101" s="150">
        <v>718</v>
      </c>
      <c r="M1101" s="150">
        <v>213.44</v>
      </c>
      <c r="N1101" s="150">
        <v>0</v>
      </c>
      <c r="O1101" s="150">
        <v>22577</v>
      </c>
      <c r="P1101" s="150">
        <v>23230</v>
      </c>
      <c r="Q1101" s="150">
        <v>23930</v>
      </c>
      <c r="R1101" s="150">
        <v>23930</v>
      </c>
    </row>
    <row r="1102" spans="1:18" x14ac:dyDescent="0.25">
      <c r="A1102" t="str">
        <f t="shared" si="17"/>
        <v>9-4-199</v>
      </c>
      <c r="B1102">
        <v>9</v>
      </c>
      <c r="C1102" s="150" t="s">
        <v>1161</v>
      </c>
      <c r="D1102" s="150">
        <v>4</v>
      </c>
      <c r="E1102" s="150" t="s">
        <v>146</v>
      </c>
      <c r="F1102" s="150">
        <v>199</v>
      </c>
      <c r="G1102" s="150" t="s">
        <v>807</v>
      </c>
      <c r="H1102" s="150">
        <v>0</v>
      </c>
      <c r="I1102" s="150">
        <v>46074120</v>
      </c>
      <c r="J1102" s="150" t="s">
        <v>1203</v>
      </c>
      <c r="K1102" s="150">
        <v>0</v>
      </c>
      <c r="L1102" s="150">
        <v>26521</v>
      </c>
      <c r="M1102" s="150">
        <v>3528.0600000000004</v>
      </c>
      <c r="N1102" s="150">
        <v>0</v>
      </c>
      <c r="O1102" s="150">
        <v>176000</v>
      </c>
      <c r="P1102" s="150">
        <v>130000</v>
      </c>
      <c r="Q1102" s="150">
        <v>133900</v>
      </c>
      <c r="R1102" s="150">
        <v>176000</v>
      </c>
    </row>
    <row r="1103" spans="1:18" x14ac:dyDescent="0.25">
      <c r="A1103" t="str">
        <f t="shared" si="17"/>
        <v>42-7-178</v>
      </c>
      <c r="B1103">
        <v>42</v>
      </c>
      <c r="C1103" s="150" t="s">
        <v>1194</v>
      </c>
      <c r="D1103" s="150">
        <v>7</v>
      </c>
      <c r="E1103" s="150" t="s">
        <v>681</v>
      </c>
      <c r="F1103" s="150">
        <v>178</v>
      </c>
      <c r="G1103" s="150" t="s">
        <v>652</v>
      </c>
      <c r="H1103" s="150">
        <v>3544</v>
      </c>
      <c r="I1103" s="150">
        <v>69118529</v>
      </c>
      <c r="J1103" s="150" t="s">
        <v>1203</v>
      </c>
      <c r="K1103" s="150">
        <v>2746</v>
      </c>
      <c r="L1103" s="150">
        <v>686</v>
      </c>
      <c r="M1103" s="150">
        <v>133.13999999999999</v>
      </c>
      <c r="N1103" s="150">
        <v>0</v>
      </c>
      <c r="O1103" s="150">
        <v>99093</v>
      </c>
      <c r="P1103" s="150">
        <v>103306</v>
      </c>
      <c r="Q1103" s="150">
        <v>107754.14</v>
      </c>
      <c r="R1103" s="150">
        <v>107754.14</v>
      </c>
    </row>
    <row r="1104" spans="1:18" x14ac:dyDescent="0.25">
      <c r="A1104" t="str">
        <f t="shared" si="17"/>
        <v>27-9-92</v>
      </c>
      <c r="B1104">
        <v>27</v>
      </c>
      <c r="C1104" s="150" t="s">
        <v>1179</v>
      </c>
      <c r="D1104" s="150">
        <v>9</v>
      </c>
      <c r="E1104" s="150" t="s">
        <v>683</v>
      </c>
      <c r="F1104" s="150">
        <v>92</v>
      </c>
      <c r="G1104" s="150" t="s">
        <v>1002</v>
      </c>
      <c r="H1104" s="150">
        <v>53</v>
      </c>
      <c r="I1104" s="150">
        <v>0</v>
      </c>
      <c r="J1104" s="150">
        <v>1</v>
      </c>
      <c r="K1104" s="150">
        <v>33025</v>
      </c>
      <c r="L1104" s="150">
        <v>3667</v>
      </c>
      <c r="M1104" s="150">
        <v>1466.55</v>
      </c>
      <c r="N1104" s="150">
        <v>0</v>
      </c>
      <c r="O1104" s="150">
        <v>516197</v>
      </c>
      <c r="P1104" s="150">
        <v>537739</v>
      </c>
      <c r="Q1104" s="150">
        <v>558294.55000000005</v>
      </c>
      <c r="R1104" s="150">
        <v>558294.55000000005</v>
      </c>
    </row>
    <row r="1105" spans="1:18" x14ac:dyDescent="0.25">
      <c r="A1105" t="str">
        <f t="shared" si="17"/>
        <v>34-9-92</v>
      </c>
      <c r="B1105">
        <v>34</v>
      </c>
      <c r="C1105" s="150" t="s">
        <v>1186</v>
      </c>
      <c r="D1105" s="150">
        <v>9</v>
      </c>
      <c r="E1105" s="150" t="s">
        <v>683</v>
      </c>
      <c r="F1105" s="150">
        <v>92</v>
      </c>
      <c r="G1105" s="150" t="s">
        <v>1002</v>
      </c>
      <c r="H1105" s="150">
        <v>53</v>
      </c>
      <c r="I1105" s="150">
        <v>0</v>
      </c>
      <c r="J1105" s="150">
        <v>1</v>
      </c>
      <c r="K1105" s="150">
        <v>33025</v>
      </c>
      <c r="L1105" s="150">
        <v>3667</v>
      </c>
      <c r="M1105" s="150">
        <v>1466.55</v>
      </c>
      <c r="N1105" s="150">
        <v>0</v>
      </c>
      <c r="O1105" s="150">
        <v>516197</v>
      </c>
      <c r="P1105" s="150">
        <v>537739</v>
      </c>
      <c r="Q1105" s="150">
        <v>558294.55000000005</v>
      </c>
      <c r="R1105" s="150">
        <v>558294.55000000005</v>
      </c>
    </row>
    <row r="1106" spans="1:18" x14ac:dyDescent="0.25">
      <c r="A1106" t="str">
        <f t="shared" si="17"/>
        <v>7-9-157</v>
      </c>
      <c r="B1106">
        <v>7</v>
      </c>
      <c r="C1106" s="150" t="s">
        <v>1199</v>
      </c>
      <c r="D1106" s="150">
        <v>9</v>
      </c>
      <c r="E1106" s="150" t="s">
        <v>683</v>
      </c>
      <c r="F1106" s="150">
        <v>157</v>
      </c>
      <c r="G1106" s="150" t="s">
        <v>304</v>
      </c>
      <c r="H1106" s="150">
        <v>0</v>
      </c>
      <c r="I1106" s="150">
        <v>0</v>
      </c>
      <c r="J1106" s="150">
        <v>1</v>
      </c>
      <c r="K1106" s="150">
        <v>0</v>
      </c>
      <c r="L1106" s="150">
        <v>45</v>
      </c>
      <c r="M1106" s="150">
        <v>0</v>
      </c>
      <c r="N1106" s="150">
        <v>0</v>
      </c>
      <c r="O1106" s="150">
        <v>19236</v>
      </c>
      <c r="P1106" s="150">
        <v>19813</v>
      </c>
      <c r="Q1106" s="150">
        <v>20407</v>
      </c>
      <c r="R1106" s="150">
        <v>20407</v>
      </c>
    </row>
    <row r="1107" spans="1:18" x14ac:dyDescent="0.25">
      <c r="A1107" t="str">
        <f t="shared" si="17"/>
        <v>13-9-157</v>
      </c>
      <c r="B1107">
        <v>13</v>
      </c>
      <c r="C1107" s="150" t="s">
        <v>1165</v>
      </c>
      <c r="D1107" s="150">
        <v>9</v>
      </c>
      <c r="E1107" s="150" t="s">
        <v>683</v>
      </c>
      <c r="F1107" s="150">
        <v>157</v>
      </c>
      <c r="G1107" s="150" t="s">
        <v>304</v>
      </c>
      <c r="H1107" s="150">
        <v>0</v>
      </c>
      <c r="I1107" s="150">
        <v>0</v>
      </c>
      <c r="J1107" s="150">
        <v>1</v>
      </c>
      <c r="K1107" s="150">
        <v>0</v>
      </c>
      <c r="L1107" s="150">
        <v>45</v>
      </c>
      <c r="M1107" s="150">
        <v>0</v>
      </c>
      <c r="N1107" s="150">
        <v>0</v>
      </c>
      <c r="O1107" s="150">
        <v>19236</v>
      </c>
      <c r="P1107" s="150">
        <v>19813</v>
      </c>
      <c r="Q1107" s="150">
        <v>20407</v>
      </c>
      <c r="R1107" s="150">
        <v>20407</v>
      </c>
    </row>
    <row r="1108" spans="1:18" x14ac:dyDescent="0.25">
      <c r="A1108" t="str">
        <f t="shared" si="17"/>
        <v>24-11-65</v>
      </c>
      <c r="B1108">
        <v>24</v>
      </c>
      <c r="C1108" s="150" t="s">
        <v>1176</v>
      </c>
      <c r="D1108" s="150">
        <v>11</v>
      </c>
      <c r="E1108" s="150" t="s">
        <v>1204</v>
      </c>
      <c r="F1108" s="150">
        <v>65</v>
      </c>
      <c r="G1108" s="150" t="s">
        <v>447</v>
      </c>
      <c r="H1108" s="150">
        <v>747</v>
      </c>
      <c r="I1108" s="150">
        <v>12186811</v>
      </c>
      <c r="J1108" s="150" t="s">
        <v>1203</v>
      </c>
      <c r="K1108" s="150">
        <v>5801</v>
      </c>
      <c r="L1108" s="150">
        <v>1147</v>
      </c>
      <c r="M1108" s="150">
        <v>86.919999999999987</v>
      </c>
      <c r="N1108" s="150">
        <v>0</v>
      </c>
      <c r="O1108" s="150">
        <v>165937</v>
      </c>
      <c r="P1108" s="150">
        <v>173263</v>
      </c>
      <c r="Q1108" s="150">
        <v>187123.92</v>
      </c>
      <c r="R1108" s="150">
        <v>187123.92</v>
      </c>
    </row>
    <row r="1109" spans="1:18" x14ac:dyDescent="0.25">
      <c r="A1109" t="str">
        <f t="shared" si="17"/>
        <v>9-9-128</v>
      </c>
      <c r="B1109">
        <v>9</v>
      </c>
      <c r="C1109" s="150" t="s">
        <v>1161</v>
      </c>
      <c r="D1109" s="150">
        <v>9</v>
      </c>
      <c r="E1109" s="150" t="s">
        <v>683</v>
      </c>
      <c r="F1109" s="150">
        <v>128</v>
      </c>
      <c r="G1109" s="150" t="s">
        <v>812</v>
      </c>
      <c r="H1109" s="150">
        <v>2</v>
      </c>
      <c r="I1109" s="150">
        <v>0</v>
      </c>
      <c r="J1109" s="150" t="s">
        <v>1203</v>
      </c>
      <c r="K1109" s="150">
        <v>32</v>
      </c>
      <c r="L1109" s="150">
        <v>333</v>
      </c>
      <c r="M1109" s="150">
        <v>49.13</v>
      </c>
      <c r="N1109" s="150">
        <v>0</v>
      </c>
      <c r="O1109" s="150">
        <v>78915</v>
      </c>
      <c r="P1109" s="150">
        <v>81282</v>
      </c>
      <c r="Q1109" s="150">
        <v>83338.13</v>
      </c>
      <c r="R1109" s="150">
        <v>83338.13</v>
      </c>
    </row>
    <row r="1110" spans="1:18" x14ac:dyDescent="0.25">
      <c r="A1110" t="str">
        <f t="shared" si="17"/>
        <v>40-12-10</v>
      </c>
      <c r="B1110">
        <v>40</v>
      </c>
      <c r="C1110" s="150" t="s">
        <v>1190</v>
      </c>
      <c r="D1110" s="150">
        <v>12</v>
      </c>
      <c r="E1110" s="150" t="s">
        <v>151</v>
      </c>
      <c r="F1110" s="150">
        <v>10</v>
      </c>
      <c r="G1110" s="150" t="s">
        <v>634</v>
      </c>
      <c r="H1110" s="150">
        <v>188437</v>
      </c>
      <c r="I1110" s="150">
        <v>40901329</v>
      </c>
      <c r="J1110" s="150" t="s">
        <v>1203</v>
      </c>
      <c r="K1110" s="150">
        <v>146</v>
      </c>
      <c r="L1110" s="150">
        <v>6809</v>
      </c>
      <c r="M1110" s="150">
        <v>1736.16</v>
      </c>
      <c r="N1110" s="150">
        <v>0</v>
      </c>
      <c r="O1110" s="150">
        <v>550092</v>
      </c>
      <c r="P1110" s="150">
        <v>612027</v>
      </c>
      <c r="Q1110" s="150">
        <v>632810.16</v>
      </c>
      <c r="R1110" s="150">
        <v>632810.16</v>
      </c>
    </row>
    <row r="1111" spans="1:18" x14ac:dyDescent="0.25">
      <c r="A1111" t="str">
        <f t="shared" si="17"/>
        <v>9-9-94</v>
      </c>
      <c r="B1111">
        <v>9</v>
      </c>
      <c r="C1111" s="150" t="s">
        <v>1161</v>
      </c>
      <c r="D1111" s="150">
        <v>9</v>
      </c>
      <c r="E1111" s="150" t="s">
        <v>683</v>
      </c>
      <c r="F1111" s="150">
        <v>94</v>
      </c>
      <c r="G1111" s="150" t="s">
        <v>810</v>
      </c>
      <c r="H1111" s="150">
        <v>25442</v>
      </c>
      <c r="I1111" s="150">
        <v>0</v>
      </c>
      <c r="J1111" s="150" t="s">
        <v>1203</v>
      </c>
      <c r="K1111" s="150">
        <v>144</v>
      </c>
      <c r="L1111" s="150">
        <v>978</v>
      </c>
      <c r="M1111" s="150">
        <v>86.03</v>
      </c>
      <c r="N1111" s="150">
        <v>0</v>
      </c>
      <c r="O1111" s="150">
        <v>505206</v>
      </c>
      <c r="P1111" s="150">
        <v>472131</v>
      </c>
      <c r="Q1111" s="150">
        <v>530648.03</v>
      </c>
      <c r="R1111" s="150">
        <v>530648.03</v>
      </c>
    </row>
    <row r="1112" spans="1:18" x14ac:dyDescent="0.25">
      <c r="A1112" t="str">
        <f t="shared" si="17"/>
        <v>1-17-8</v>
      </c>
      <c r="B1112">
        <v>1</v>
      </c>
      <c r="C1112" s="150" t="s">
        <v>1155</v>
      </c>
      <c r="D1112" s="150">
        <v>17</v>
      </c>
      <c r="E1112" s="150" t="s">
        <v>688</v>
      </c>
      <c r="F1112" s="150">
        <v>8</v>
      </c>
      <c r="G1112" s="150" t="s">
        <v>178</v>
      </c>
      <c r="H1112" s="150">
        <v>291554</v>
      </c>
      <c r="I1112" s="150">
        <v>133899521</v>
      </c>
      <c r="J1112" s="150" t="s">
        <v>1203</v>
      </c>
      <c r="K1112" s="150">
        <v>270</v>
      </c>
      <c r="L1112" s="150">
        <v>5151</v>
      </c>
      <c r="M1112" s="150">
        <v>379.88</v>
      </c>
      <c r="N1112" s="150">
        <v>0</v>
      </c>
      <c r="O1112" s="150">
        <v>588589</v>
      </c>
      <c r="P1112" s="150">
        <v>392200</v>
      </c>
      <c r="Q1112" s="150">
        <v>196099.88</v>
      </c>
      <c r="R1112" s="150">
        <v>588589</v>
      </c>
    </row>
    <row r="1113" spans="1:18" x14ac:dyDescent="0.25">
      <c r="A1113" t="str">
        <f t="shared" si="17"/>
        <v>20-17-30</v>
      </c>
      <c r="B1113">
        <v>20</v>
      </c>
      <c r="C1113" s="150" t="s">
        <v>1172</v>
      </c>
      <c r="D1113" s="150">
        <v>17</v>
      </c>
      <c r="E1113" s="150" t="s">
        <v>688</v>
      </c>
      <c r="F1113" s="150">
        <v>30</v>
      </c>
      <c r="G1113" s="150" t="s">
        <v>940</v>
      </c>
      <c r="H1113" s="150">
        <v>0</v>
      </c>
      <c r="I1113" s="150">
        <v>171192112</v>
      </c>
      <c r="J1113" s="150" t="s">
        <v>1203</v>
      </c>
      <c r="K1113" s="150">
        <v>0</v>
      </c>
      <c r="L1113" s="150">
        <v>7016</v>
      </c>
      <c r="M1113" s="150">
        <v>1394.77</v>
      </c>
      <c r="N1113" s="150">
        <v>7967</v>
      </c>
      <c r="O1113" s="150">
        <v>651779</v>
      </c>
      <c r="P1113" s="150">
        <v>685999</v>
      </c>
      <c r="Q1113" s="150">
        <v>711513.77</v>
      </c>
      <c r="R1113" s="150">
        <v>711513.77</v>
      </c>
    </row>
    <row r="1114" spans="1:18" x14ac:dyDescent="0.25">
      <c r="A1114" t="str">
        <f t="shared" si="17"/>
        <v>21-7-180</v>
      </c>
      <c r="B1114">
        <v>21</v>
      </c>
      <c r="C1114" s="150" t="s">
        <v>1173</v>
      </c>
      <c r="D1114" s="150">
        <v>7</v>
      </c>
      <c r="E1114" s="150" t="s">
        <v>681</v>
      </c>
      <c r="F1114" s="150">
        <v>180</v>
      </c>
      <c r="G1114" s="150" t="s">
        <v>418</v>
      </c>
      <c r="H1114" s="150">
        <v>1</v>
      </c>
      <c r="I1114" s="150">
        <v>28440118</v>
      </c>
      <c r="J1114" s="150" t="s">
        <v>1203</v>
      </c>
      <c r="K1114" s="150">
        <v>205</v>
      </c>
      <c r="L1114" s="150">
        <v>61</v>
      </c>
      <c r="M1114" s="150">
        <v>25.69</v>
      </c>
      <c r="N1114" s="150">
        <v>0</v>
      </c>
      <c r="O1114" s="150">
        <v>9355</v>
      </c>
      <c r="P1114" s="150">
        <v>9751</v>
      </c>
      <c r="Q1114" s="150">
        <v>10114.69</v>
      </c>
      <c r="R1114" s="150">
        <v>10114.69</v>
      </c>
    </row>
    <row r="1115" spans="1:18" x14ac:dyDescent="0.25">
      <c r="A1115" t="str">
        <f t="shared" si="17"/>
        <v>3-4-78</v>
      </c>
      <c r="B1115">
        <v>3</v>
      </c>
      <c r="C1115" s="150" t="s">
        <v>1157</v>
      </c>
      <c r="D1115" s="150">
        <v>4</v>
      </c>
      <c r="E1115" s="150" t="s">
        <v>146</v>
      </c>
      <c r="F1115" s="150">
        <v>78</v>
      </c>
      <c r="G1115" s="150" t="s">
        <v>738</v>
      </c>
      <c r="H1115" s="150">
        <v>0</v>
      </c>
      <c r="I1115" s="150">
        <v>6939600</v>
      </c>
      <c r="J1115" s="150">
        <v>1</v>
      </c>
      <c r="K1115" s="150">
        <v>9825</v>
      </c>
      <c r="L1115" s="150">
        <v>2157</v>
      </c>
      <c r="M1115" s="150">
        <v>716.13000000000011</v>
      </c>
      <c r="N1115" s="150">
        <v>0</v>
      </c>
      <c r="O1115" s="150">
        <v>58167</v>
      </c>
      <c r="P1115" s="150">
        <v>60588</v>
      </c>
      <c r="Q1115" s="150">
        <v>63055</v>
      </c>
      <c r="R1115" s="150">
        <v>63055</v>
      </c>
    </row>
    <row r="1116" spans="1:18" x14ac:dyDescent="0.25">
      <c r="A1116" t="str">
        <f t="shared" si="17"/>
        <v>21-4-78</v>
      </c>
      <c r="B1116">
        <v>21</v>
      </c>
      <c r="C1116" s="150" t="s">
        <v>1173</v>
      </c>
      <c r="D1116" s="150">
        <v>4</v>
      </c>
      <c r="E1116" s="150" t="s">
        <v>146</v>
      </c>
      <c r="F1116" s="150">
        <v>78</v>
      </c>
      <c r="G1116" s="150" t="s">
        <v>738</v>
      </c>
      <c r="H1116" s="150">
        <v>0</v>
      </c>
      <c r="I1116" s="150">
        <v>90049356</v>
      </c>
      <c r="J1116" s="150">
        <v>1</v>
      </c>
      <c r="K1116" s="150">
        <v>9825</v>
      </c>
      <c r="L1116" s="150">
        <v>2157</v>
      </c>
      <c r="M1116" s="150">
        <v>716.13000000000011</v>
      </c>
      <c r="N1116" s="150">
        <v>0</v>
      </c>
      <c r="O1116" s="150">
        <v>58167</v>
      </c>
      <c r="P1116" s="150">
        <v>60588</v>
      </c>
      <c r="Q1116" s="150">
        <v>63055</v>
      </c>
      <c r="R1116" s="150">
        <v>63055</v>
      </c>
    </row>
    <row r="1117" spans="1:18" x14ac:dyDescent="0.25">
      <c r="A1117" t="str">
        <f t="shared" si="17"/>
        <v>35-9-180</v>
      </c>
      <c r="B1117">
        <v>35</v>
      </c>
      <c r="C1117" s="150" t="s">
        <v>1195</v>
      </c>
      <c r="D1117" s="150">
        <v>9</v>
      </c>
      <c r="E1117" s="150" t="s">
        <v>683</v>
      </c>
      <c r="F1117" s="150">
        <v>180</v>
      </c>
      <c r="G1117" s="150" t="s">
        <v>1072</v>
      </c>
      <c r="H1117" s="150">
        <v>21597</v>
      </c>
      <c r="I1117" s="150">
        <v>0</v>
      </c>
      <c r="J1117" s="150" t="s">
        <v>1203</v>
      </c>
      <c r="K1117" s="150">
        <v>0</v>
      </c>
      <c r="L1117" s="150">
        <v>127</v>
      </c>
      <c r="M1117" s="150">
        <v>0</v>
      </c>
      <c r="N1117" s="150">
        <v>0</v>
      </c>
      <c r="O1117" s="150">
        <v>57252</v>
      </c>
      <c r="P1117" s="150">
        <v>60102</v>
      </c>
      <c r="Q1117" s="150">
        <v>66378</v>
      </c>
      <c r="R1117" s="150">
        <v>66378</v>
      </c>
    </row>
    <row r="1118" spans="1:18" x14ac:dyDescent="0.25">
      <c r="A1118" t="str">
        <f t="shared" si="17"/>
        <v>25-17-38</v>
      </c>
      <c r="B1118">
        <v>25</v>
      </c>
      <c r="C1118" s="150" t="s">
        <v>1177</v>
      </c>
      <c r="D1118" s="150">
        <v>17</v>
      </c>
      <c r="E1118" s="150" t="s">
        <v>688</v>
      </c>
      <c r="F1118" s="150">
        <v>38</v>
      </c>
      <c r="G1118" s="150" t="s">
        <v>983</v>
      </c>
      <c r="H1118" s="150">
        <v>0</v>
      </c>
      <c r="I1118" s="150">
        <v>431226</v>
      </c>
      <c r="J1118" s="150" t="s">
        <v>1203</v>
      </c>
      <c r="K1118" s="150">
        <v>0</v>
      </c>
      <c r="L1118" s="150">
        <v>0</v>
      </c>
      <c r="M1118" s="150">
        <v>0</v>
      </c>
      <c r="N1118" s="150">
        <v>0</v>
      </c>
      <c r="O1118" s="150">
        <v>10750</v>
      </c>
      <c r="P1118" s="150">
        <v>11245</v>
      </c>
      <c r="Q1118" s="150">
        <v>11767</v>
      </c>
      <c r="R1118" s="150">
        <v>11767</v>
      </c>
    </row>
    <row r="1119" spans="1:18" x14ac:dyDescent="0.25">
      <c r="A1119" t="str">
        <f t="shared" si="17"/>
        <v>25-7-181</v>
      </c>
      <c r="B1119">
        <v>25</v>
      </c>
      <c r="C1119" s="150" t="s">
        <v>1177</v>
      </c>
      <c r="D1119" s="150">
        <v>7</v>
      </c>
      <c r="E1119" s="150" t="s">
        <v>681</v>
      </c>
      <c r="F1119" s="150">
        <v>181</v>
      </c>
      <c r="G1119" s="150" t="s">
        <v>467</v>
      </c>
      <c r="H1119" s="150">
        <v>0</v>
      </c>
      <c r="I1119" s="150">
        <v>431226</v>
      </c>
      <c r="J1119" s="150" t="s">
        <v>1203</v>
      </c>
      <c r="K1119" s="150">
        <v>144</v>
      </c>
      <c r="L1119" s="150">
        <v>149</v>
      </c>
      <c r="M1119" s="150">
        <v>0</v>
      </c>
      <c r="N1119" s="150">
        <v>0</v>
      </c>
      <c r="O1119" s="150">
        <v>18316</v>
      </c>
      <c r="P1119" s="150">
        <v>18969</v>
      </c>
      <c r="Q1119" s="150">
        <v>19740</v>
      </c>
      <c r="R1119" s="150">
        <v>19740</v>
      </c>
    </row>
    <row r="1120" spans="1:18" x14ac:dyDescent="0.25">
      <c r="A1120" t="str">
        <f t="shared" si="17"/>
        <v>21-7-182</v>
      </c>
      <c r="B1120">
        <v>21</v>
      </c>
      <c r="C1120" s="150" t="s">
        <v>1173</v>
      </c>
      <c r="D1120" s="150">
        <v>7</v>
      </c>
      <c r="E1120" s="150" t="s">
        <v>681</v>
      </c>
      <c r="F1120" s="150">
        <v>182</v>
      </c>
      <c r="G1120" s="150" t="s">
        <v>419</v>
      </c>
      <c r="H1120" s="150">
        <v>1</v>
      </c>
      <c r="I1120" s="150">
        <v>3990240</v>
      </c>
      <c r="J1120" s="150" t="s">
        <v>1203</v>
      </c>
      <c r="K1120" s="150">
        <v>215</v>
      </c>
      <c r="L1120" s="150">
        <v>86</v>
      </c>
      <c r="M1120" s="150">
        <v>26.509999999999998</v>
      </c>
      <c r="N1120" s="150">
        <v>0</v>
      </c>
      <c r="O1120" s="150">
        <v>11195</v>
      </c>
      <c r="P1120" s="150">
        <v>12035</v>
      </c>
      <c r="Q1120" s="150">
        <v>12456.51</v>
      </c>
      <c r="R1120" s="150">
        <v>12456.51</v>
      </c>
    </row>
    <row r="1121" spans="1:18" x14ac:dyDescent="0.25">
      <c r="A1121" t="str">
        <f t="shared" si="17"/>
        <v>1-9-96</v>
      </c>
      <c r="B1121">
        <v>1</v>
      </c>
      <c r="C1121" s="150" t="s">
        <v>1155</v>
      </c>
      <c r="D1121" s="150">
        <v>9</v>
      </c>
      <c r="E1121" s="150" t="s">
        <v>683</v>
      </c>
      <c r="F1121" s="150">
        <v>96</v>
      </c>
      <c r="G1121" s="150" t="s">
        <v>708</v>
      </c>
      <c r="H1121" s="150">
        <v>812578</v>
      </c>
      <c r="I1121" s="150">
        <v>33703038</v>
      </c>
      <c r="J1121" s="150" t="s">
        <v>1203</v>
      </c>
      <c r="K1121" s="150">
        <v>1592</v>
      </c>
      <c r="L1121" s="150">
        <v>6611</v>
      </c>
      <c r="M1121" s="150">
        <v>754.56000000000006</v>
      </c>
      <c r="N1121" s="150">
        <v>0</v>
      </c>
      <c r="O1121" s="150">
        <v>4323238</v>
      </c>
      <c r="P1121" s="150">
        <v>4499474</v>
      </c>
      <c r="Q1121" s="150">
        <v>4665524.5599999996</v>
      </c>
      <c r="R1121" s="150">
        <v>4665524.5599999996</v>
      </c>
    </row>
    <row r="1122" spans="1:18" x14ac:dyDescent="0.25">
      <c r="A1122" t="str">
        <f t="shared" si="17"/>
        <v>14-7-183</v>
      </c>
      <c r="B1122">
        <v>14</v>
      </c>
      <c r="C1122" s="150" t="s">
        <v>1166</v>
      </c>
      <c r="D1122" s="150">
        <v>7</v>
      </c>
      <c r="E1122" s="150" t="s">
        <v>681</v>
      </c>
      <c r="F1122" s="150">
        <v>183</v>
      </c>
      <c r="G1122" s="150" t="s">
        <v>322</v>
      </c>
      <c r="H1122" s="150">
        <v>0</v>
      </c>
      <c r="I1122" s="150">
        <v>8559743</v>
      </c>
      <c r="J1122" s="150" t="s">
        <v>1203</v>
      </c>
      <c r="K1122" s="150">
        <v>1017</v>
      </c>
      <c r="L1122" s="150">
        <v>387</v>
      </c>
      <c r="M1122" s="150">
        <v>133.22999999999999</v>
      </c>
      <c r="N1122" s="150">
        <v>0</v>
      </c>
      <c r="O1122" s="150">
        <v>75317</v>
      </c>
      <c r="P1122" s="150">
        <v>77828</v>
      </c>
      <c r="Q1122" s="150">
        <v>82342.23</v>
      </c>
      <c r="R1122" s="150">
        <v>82342.23</v>
      </c>
    </row>
    <row r="1123" spans="1:18" x14ac:dyDescent="0.25">
      <c r="A1123" t="str">
        <f t="shared" si="17"/>
        <v>14-9-97</v>
      </c>
      <c r="B1123">
        <v>14</v>
      </c>
      <c r="C1123" s="150" t="s">
        <v>1166</v>
      </c>
      <c r="D1123" s="150">
        <v>9</v>
      </c>
      <c r="E1123" s="150" t="s">
        <v>683</v>
      </c>
      <c r="F1123" s="150">
        <v>97</v>
      </c>
      <c r="G1123" s="150" t="s">
        <v>331</v>
      </c>
      <c r="H1123" s="150">
        <v>0</v>
      </c>
      <c r="I1123" s="150">
        <v>0</v>
      </c>
      <c r="J1123" s="150" t="s">
        <v>1203</v>
      </c>
      <c r="K1123" s="150">
        <v>9922</v>
      </c>
      <c r="L1123" s="150">
        <v>3662</v>
      </c>
      <c r="M1123" s="150">
        <v>1117.82</v>
      </c>
      <c r="N1123" s="150">
        <v>0</v>
      </c>
      <c r="O1123" s="150">
        <v>414388</v>
      </c>
      <c r="P1123" s="150">
        <v>560438</v>
      </c>
      <c r="Q1123" s="150">
        <v>591688.81999999995</v>
      </c>
      <c r="R1123" s="150">
        <v>591688.81999999995</v>
      </c>
    </row>
    <row r="1124" spans="1:18" x14ac:dyDescent="0.25">
      <c r="A1124" t="str">
        <f t="shared" si="17"/>
        <v>14-14-42</v>
      </c>
      <c r="B1124">
        <v>14</v>
      </c>
      <c r="C1124" s="150" t="s">
        <v>1166</v>
      </c>
      <c r="D1124" s="150">
        <v>14</v>
      </c>
      <c r="E1124" s="150" t="s">
        <v>665</v>
      </c>
      <c r="F1124" s="150">
        <v>42</v>
      </c>
      <c r="G1124" s="150" t="s">
        <v>1262</v>
      </c>
      <c r="H1124" s="150">
        <v>0</v>
      </c>
      <c r="I1124" s="150">
        <v>8634588</v>
      </c>
      <c r="J1124" s="150" t="s">
        <v>1203</v>
      </c>
      <c r="K1124" s="150">
        <v>3831</v>
      </c>
      <c r="L1124" s="150">
        <v>710</v>
      </c>
      <c r="M1124" s="150">
        <v>403.79</v>
      </c>
      <c r="N1124" s="150">
        <v>0</v>
      </c>
      <c r="O1124" s="150">
        <v>191922</v>
      </c>
      <c r="P1124" s="150">
        <v>200814</v>
      </c>
      <c r="Q1124" s="150">
        <v>211563.79</v>
      </c>
      <c r="R1124" s="150">
        <v>211563.79</v>
      </c>
    </row>
    <row r="1125" spans="1:18" x14ac:dyDescent="0.25">
      <c r="A1125" t="str">
        <f t="shared" si="17"/>
        <v>14-4-41</v>
      </c>
      <c r="B1125">
        <v>14</v>
      </c>
      <c r="C1125" s="150" t="s">
        <v>1166</v>
      </c>
      <c r="D1125" s="150">
        <v>4</v>
      </c>
      <c r="E1125" s="150" t="s">
        <v>146</v>
      </c>
      <c r="F1125" s="150">
        <v>41</v>
      </c>
      <c r="G1125" s="150" t="s">
        <v>857</v>
      </c>
      <c r="H1125" s="150">
        <v>0</v>
      </c>
      <c r="I1125" s="150">
        <v>8601306</v>
      </c>
      <c r="J1125" s="150" t="s">
        <v>1203</v>
      </c>
      <c r="K1125" s="150">
        <v>25627</v>
      </c>
      <c r="L1125" s="150">
        <v>8413</v>
      </c>
      <c r="M1125" s="150">
        <v>1917.8</v>
      </c>
      <c r="N1125" s="150">
        <v>0</v>
      </c>
      <c r="O1125" s="150">
        <v>22730</v>
      </c>
      <c r="P1125" s="150">
        <v>23784</v>
      </c>
      <c r="Q1125" s="150">
        <v>25059</v>
      </c>
      <c r="R1125" s="150">
        <v>25059</v>
      </c>
    </row>
    <row r="1126" spans="1:18" x14ac:dyDescent="0.25">
      <c r="A1126" t="str">
        <f t="shared" si="17"/>
        <v>8-9-179</v>
      </c>
      <c r="B1126">
        <v>8</v>
      </c>
      <c r="C1126" s="150" t="s">
        <v>1160</v>
      </c>
      <c r="D1126" s="150">
        <v>9</v>
      </c>
      <c r="E1126" s="150" t="s">
        <v>683</v>
      </c>
      <c r="F1126" s="150">
        <v>179</v>
      </c>
      <c r="G1126" s="150" t="s">
        <v>803</v>
      </c>
      <c r="H1126" s="150">
        <v>0</v>
      </c>
      <c r="I1126" s="150">
        <v>0</v>
      </c>
      <c r="J1126" s="150" t="s">
        <v>1203</v>
      </c>
      <c r="K1126" s="150">
        <v>0</v>
      </c>
      <c r="L1126" s="150">
        <v>105</v>
      </c>
      <c r="M1126" s="150">
        <v>7.19</v>
      </c>
      <c r="N1126" s="150">
        <v>0</v>
      </c>
      <c r="O1126" s="150">
        <v>196769</v>
      </c>
      <c r="P1126" s="150">
        <v>204830</v>
      </c>
      <c r="Q1126" s="150">
        <v>216012.19</v>
      </c>
      <c r="R1126" s="150">
        <v>216012.19</v>
      </c>
    </row>
    <row r="1127" spans="1:18" x14ac:dyDescent="0.25">
      <c r="A1127" t="str">
        <f t="shared" si="17"/>
        <v>22-7-184</v>
      </c>
      <c r="B1127">
        <v>22</v>
      </c>
      <c r="C1127" s="150" t="s">
        <v>1174</v>
      </c>
      <c r="D1127" s="150">
        <v>7</v>
      </c>
      <c r="E1127" s="150" t="s">
        <v>681</v>
      </c>
      <c r="F1127" s="150">
        <v>184</v>
      </c>
      <c r="G1127" s="150" t="s">
        <v>953</v>
      </c>
      <c r="H1127" s="150">
        <v>14</v>
      </c>
      <c r="I1127" s="150">
        <v>6886128</v>
      </c>
      <c r="J1127" s="150" t="s">
        <v>1203</v>
      </c>
      <c r="K1127" s="150">
        <v>1138</v>
      </c>
      <c r="L1127" s="150">
        <v>283</v>
      </c>
      <c r="M1127" s="150">
        <v>34.74</v>
      </c>
      <c r="N1127" s="150">
        <v>0</v>
      </c>
      <c r="O1127" s="150">
        <v>46623</v>
      </c>
      <c r="P1127" s="150">
        <v>49125</v>
      </c>
      <c r="Q1127" s="150">
        <v>51675.74</v>
      </c>
      <c r="R1127" s="150">
        <v>51675.74</v>
      </c>
    </row>
    <row r="1128" spans="1:18" x14ac:dyDescent="0.25">
      <c r="A1128" t="str">
        <f t="shared" si="17"/>
        <v>30-20-25</v>
      </c>
      <c r="B1128">
        <v>30</v>
      </c>
      <c r="C1128" s="150" t="s">
        <v>1182</v>
      </c>
      <c r="D1128" s="150">
        <v>20</v>
      </c>
      <c r="E1128" s="150" t="s">
        <v>238</v>
      </c>
      <c r="F1128" s="150">
        <v>25</v>
      </c>
      <c r="G1128" s="150" t="s">
        <v>547</v>
      </c>
      <c r="H1128" s="150">
        <v>0</v>
      </c>
      <c r="I1128" s="150">
        <v>44000</v>
      </c>
      <c r="J1128" s="150" t="s">
        <v>1203</v>
      </c>
      <c r="K1128" s="150">
        <v>0</v>
      </c>
      <c r="L1128" s="150">
        <v>455</v>
      </c>
      <c r="M1128" s="150">
        <v>1.07</v>
      </c>
      <c r="N1128" s="150">
        <v>0</v>
      </c>
      <c r="O1128" s="150">
        <v>53803</v>
      </c>
      <c r="P1128" s="150">
        <v>55417</v>
      </c>
      <c r="Q1128" s="150">
        <v>57656.07</v>
      </c>
      <c r="R1128" s="150">
        <v>57656.07</v>
      </c>
    </row>
    <row r="1129" spans="1:18" x14ac:dyDescent="0.25">
      <c r="A1129" t="str">
        <f t="shared" si="17"/>
        <v>31-9-185</v>
      </c>
      <c r="B1129">
        <v>31</v>
      </c>
      <c r="C1129" s="150" t="s">
        <v>1183</v>
      </c>
      <c r="D1129" s="150">
        <v>9</v>
      </c>
      <c r="E1129" s="150" t="s">
        <v>683</v>
      </c>
      <c r="F1129" s="150">
        <v>185</v>
      </c>
      <c r="G1129" s="150" t="s">
        <v>555</v>
      </c>
      <c r="H1129" s="150">
        <v>1749</v>
      </c>
      <c r="I1129" s="150">
        <v>3234881</v>
      </c>
      <c r="J1129" s="150" t="s">
        <v>1203</v>
      </c>
      <c r="K1129" s="150">
        <v>0</v>
      </c>
      <c r="L1129" s="150">
        <v>133</v>
      </c>
      <c r="M1129" s="150">
        <v>71.02</v>
      </c>
      <c r="N1129" s="150">
        <v>0</v>
      </c>
      <c r="O1129" s="150">
        <v>52416</v>
      </c>
      <c r="P1129" s="150">
        <v>54020</v>
      </c>
      <c r="Q1129" s="150">
        <v>55771.02</v>
      </c>
      <c r="R1129" s="150">
        <v>55771.02</v>
      </c>
    </row>
    <row r="1130" spans="1:18" x14ac:dyDescent="0.25">
      <c r="A1130" t="str">
        <f t="shared" si="17"/>
        <v>25-7-185</v>
      </c>
      <c r="B1130">
        <v>25</v>
      </c>
      <c r="C1130" s="150" t="s">
        <v>1177</v>
      </c>
      <c r="D1130" s="150">
        <v>7</v>
      </c>
      <c r="E1130" s="150" t="s">
        <v>681</v>
      </c>
      <c r="F1130" s="150">
        <v>185</v>
      </c>
      <c r="G1130" s="150" t="s">
        <v>468</v>
      </c>
      <c r="H1130" s="150">
        <v>232</v>
      </c>
      <c r="I1130" s="150">
        <v>59052</v>
      </c>
      <c r="J1130" s="150" t="s">
        <v>1203</v>
      </c>
      <c r="K1130" s="150">
        <v>122</v>
      </c>
      <c r="L1130" s="150">
        <v>15</v>
      </c>
      <c r="M1130" s="150">
        <v>0.15</v>
      </c>
      <c r="N1130" s="150">
        <v>0</v>
      </c>
      <c r="O1130" s="150">
        <v>2747</v>
      </c>
      <c r="P1130" s="150">
        <v>2846</v>
      </c>
      <c r="Q1130" s="150">
        <v>2931.15</v>
      </c>
      <c r="R1130" s="150">
        <v>2931.15</v>
      </c>
    </row>
    <row r="1131" spans="1:18" x14ac:dyDescent="0.25">
      <c r="A1131" t="str">
        <f t="shared" si="17"/>
        <v>7-9-99</v>
      </c>
      <c r="B1131">
        <v>7</v>
      </c>
      <c r="C1131" s="150" t="s">
        <v>1199</v>
      </c>
      <c r="D1131" s="150">
        <v>9</v>
      </c>
      <c r="E1131" s="150" t="s">
        <v>683</v>
      </c>
      <c r="F1131" s="150">
        <v>99</v>
      </c>
      <c r="G1131" s="150" t="s">
        <v>790</v>
      </c>
      <c r="H1131" s="150">
        <v>5462</v>
      </c>
      <c r="I1131" s="150">
        <v>0</v>
      </c>
      <c r="J1131" s="150" t="s">
        <v>1203</v>
      </c>
      <c r="K1131" s="150">
        <v>1151</v>
      </c>
      <c r="L1131" s="150">
        <v>2557</v>
      </c>
      <c r="M1131" s="150">
        <v>812.81</v>
      </c>
      <c r="N1131" s="150">
        <v>0</v>
      </c>
      <c r="O1131" s="150">
        <v>1136957</v>
      </c>
      <c r="P1131" s="150">
        <v>1179000</v>
      </c>
      <c r="Q1131" s="150">
        <v>1245051.81</v>
      </c>
      <c r="R1131" s="150">
        <v>1245051.81</v>
      </c>
    </row>
    <row r="1132" spans="1:18" x14ac:dyDescent="0.25">
      <c r="A1132" t="str">
        <f t="shared" si="17"/>
        <v>29-7-186</v>
      </c>
      <c r="B1132">
        <v>29</v>
      </c>
      <c r="C1132" s="150" t="s">
        <v>1181</v>
      </c>
      <c r="D1132" s="150">
        <v>7</v>
      </c>
      <c r="E1132" s="150" t="s">
        <v>681</v>
      </c>
      <c r="F1132" s="150">
        <v>186</v>
      </c>
      <c r="G1132" s="150" t="s">
        <v>1026</v>
      </c>
      <c r="H1132" s="150">
        <v>2255</v>
      </c>
      <c r="I1132" s="150">
        <v>652772</v>
      </c>
      <c r="J1132" s="150" t="s">
        <v>1203</v>
      </c>
      <c r="K1132" s="150">
        <v>241</v>
      </c>
      <c r="L1132" s="150">
        <v>145</v>
      </c>
      <c r="M1132" s="150">
        <v>42.68</v>
      </c>
      <c r="N1132" s="150">
        <v>0</v>
      </c>
      <c r="O1132" s="150">
        <v>15618</v>
      </c>
      <c r="P1132" s="150">
        <v>15835</v>
      </c>
      <c r="Q1132" s="150">
        <v>15844.77</v>
      </c>
      <c r="R1132" s="150">
        <v>15844.68</v>
      </c>
    </row>
    <row r="1133" spans="1:18" x14ac:dyDescent="0.25">
      <c r="A1133" t="str">
        <f t="shared" si="17"/>
        <v>25-7-187</v>
      </c>
      <c r="B1133">
        <v>25</v>
      </c>
      <c r="C1133" s="150" t="s">
        <v>1177</v>
      </c>
      <c r="D1133" s="150">
        <v>7</v>
      </c>
      <c r="E1133" s="150" t="s">
        <v>681</v>
      </c>
      <c r="F1133" s="150">
        <v>187</v>
      </c>
      <c r="G1133" s="150" t="s">
        <v>469</v>
      </c>
      <c r="H1133" s="150">
        <v>75</v>
      </c>
      <c r="I1133" s="150">
        <v>485677</v>
      </c>
      <c r="J1133" s="150" t="s">
        <v>1203</v>
      </c>
      <c r="K1133" s="150">
        <v>61</v>
      </c>
      <c r="L1133" s="150">
        <v>14</v>
      </c>
      <c r="M1133" s="150">
        <v>0.08</v>
      </c>
      <c r="N1133" s="150">
        <v>0</v>
      </c>
      <c r="O1133" s="150">
        <v>2754</v>
      </c>
      <c r="P1133" s="150">
        <v>2881</v>
      </c>
      <c r="Q1133" s="150">
        <v>2986.08</v>
      </c>
      <c r="R1133" s="150">
        <v>2986.08</v>
      </c>
    </row>
    <row r="1134" spans="1:18" x14ac:dyDescent="0.25">
      <c r="A1134" t="str">
        <f t="shared" si="17"/>
        <v>6-7-188</v>
      </c>
      <c r="B1134">
        <v>6</v>
      </c>
      <c r="C1134" s="150" t="s">
        <v>1159</v>
      </c>
      <c r="D1134" s="150">
        <v>7</v>
      </c>
      <c r="E1134" s="150" t="s">
        <v>681</v>
      </c>
      <c r="F1134" s="150">
        <v>188</v>
      </c>
      <c r="G1134" s="150" t="s">
        <v>232</v>
      </c>
      <c r="H1134" s="150">
        <v>1215</v>
      </c>
      <c r="I1134" s="150">
        <v>3446063</v>
      </c>
      <c r="J1134" s="150">
        <v>1</v>
      </c>
      <c r="K1134" s="150">
        <v>155</v>
      </c>
      <c r="L1134" s="150">
        <v>63</v>
      </c>
      <c r="M1134" s="150">
        <v>39.200000000000003</v>
      </c>
      <c r="N1134" s="150">
        <v>0</v>
      </c>
      <c r="O1134" s="150">
        <v>10674</v>
      </c>
      <c r="P1134" s="150">
        <v>11256</v>
      </c>
      <c r="Q1134" s="150">
        <v>11295.2</v>
      </c>
      <c r="R1134" s="150">
        <v>11295.2</v>
      </c>
    </row>
    <row r="1135" spans="1:18" x14ac:dyDescent="0.25">
      <c r="A1135" t="str">
        <f t="shared" si="17"/>
        <v>10-7-188</v>
      </c>
      <c r="B1135">
        <v>10</v>
      </c>
      <c r="C1135" s="150" t="s">
        <v>1162</v>
      </c>
      <c r="D1135" s="150">
        <v>7</v>
      </c>
      <c r="E1135" s="150" t="s">
        <v>681</v>
      </c>
      <c r="F1135" s="150">
        <v>188</v>
      </c>
      <c r="G1135" s="150" t="s">
        <v>232</v>
      </c>
      <c r="H1135" s="150">
        <v>1215</v>
      </c>
      <c r="I1135" s="150">
        <v>997562</v>
      </c>
      <c r="J1135" s="150">
        <v>1</v>
      </c>
      <c r="K1135" s="150">
        <v>155</v>
      </c>
      <c r="L1135" s="150">
        <v>63</v>
      </c>
      <c r="M1135" s="150">
        <v>39.200000000000003</v>
      </c>
      <c r="N1135" s="150">
        <v>0</v>
      </c>
      <c r="O1135" s="150">
        <v>10674</v>
      </c>
      <c r="P1135" s="150">
        <v>11256</v>
      </c>
      <c r="Q1135" s="150">
        <v>11295.2</v>
      </c>
      <c r="R1135" s="150">
        <v>11295.2</v>
      </c>
    </row>
    <row r="1136" spans="1:18" x14ac:dyDescent="0.25">
      <c r="A1136" t="str">
        <f t="shared" si="17"/>
        <v>28-9-100</v>
      </c>
      <c r="B1136">
        <v>28</v>
      </c>
      <c r="C1136" s="150" t="s">
        <v>1180</v>
      </c>
      <c r="D1136" s="150">
        <v>9</v>
      </c>
      <c r="E1136" s="150" t="s">
        <v>683</v>
      </c>
      <c r="F1136" s="150">
        <v>100</v>
      </c>
      <c r="G1136" s="150" t="s">
        <v>515</v>
      </c>
      <c r="H1136" s="150">
        <v>14146</v>
      </c>
      <c r="I1136" s="150">
        <v>0</v>
      </c>
      <c r="J1136" s="150" t="s">
        <v>1203</v>
      </c>
      <c r="K1136" s="150">
        <v>4162</v>
      </c>
      <c r="L1136" s="150">
        <v>2005</v>
      </c>
      <c r="M1136" s="150">
        <v>268.98</v>
      </c>
      <c r="N1136" s="150">
        <v>0</v>
      </c>
      <c r="O1136" s="150">
        <v>1027078</v>
      </c>
      <c r="P1136" s="150">
        <v>1057705</v>
      </c>
      <c r="Q1136" s="150">
        <v>1111871.98</v>
      </c>
      <c r="R1136" s="150">
        <v>1111871.98</v>
      </c>
    </row>
    <row r="1137" spans="1:18" x14ac:dyDescent="0.25">
      <c r="A1137" t="str">
        <f t="shared" si="17"/>
        <v>28-11-68</v>
      </c>
      <c r="B1137">
        <v>28</v>
      </c>
      <c r="C1137" s="150" t="s">
        <v>1180</v>
      </c>
      <c r="D1137" s="150">
        <v>11</v>
      </c>
      <c r="E1137" s="150" t="s">
        <v>1204</v>
      </c>
      <c r="F1137" s="150">
        <v>68</v>
      </c>
      <c r="G1137" s="150" t="s">
        <v>518</v>
      </c>
      <c r="H1137" s="150">
        <v>122521</v>
      </c>
      <c r="I1137" s="150">
        <v>33516065</v>
      </c>
      <c r="J1137" s="150" t="s">
        <v>1203</v>
      </c>
      <c r="K1137" s="150">
        <v>5576</v>
      </c>
      <c r="L1137" s="150">
        <v>9859</v>
      </c>
      <c r="M1137" s="150">
        <v>1397.0700000000002</v>
      </c>
      <c r="N1137" s="150">
        <v>0</v>
      </c>
      <c r="O1137" s="150">
        <v>2910842</v>
      </c>
      <c r="P1137" s="150">
        <v>3020022</v>
      </c>
      <c r="Q1137" s="150">
        <v>3153768.07</v>
      </c>
      <c r="R1137" s="150">
        <v>3153768.07</v>
      </c>
    </row>
    <row r="1138" spans="1:18" x14ac:dyDescent="0.25">
      <c r="A1138" t="str">
        <f t="shared" si="17"/>
        <v>43-9-140</v>
      </c>
      <c r="B1138">
        <v>43</v>
      </c>
      <c r="C1138" s="150" t="s">
        <v>1192</v>
      </c>
      <c r="D1138" s="150">
        <v>9</v>
      </c>
      <c r="E1138" s="150" t="s">
        <v>683</v>
      </c>
      <c r="F1138" s="150">
        <v>140</v>
      </c>
      <c r="G1138" s="150" t="s">
        <v>664</v>
      </c>
      <c r="H1138" s="150">
        <v>1410</v>
      </c>
      <c r="I1138" s="150">
        <v>0</v>
      </c>
      <c r="J1138" s="150" t="s">
        <v>1203</v>
      </c>
      <c r="K1138" s="150">
        <v>0</v>
      </c>
      <c r="L1138" s="150">
        <v>288</v>
      </c>
      <c r="M1138" s="150">
        <v>0</v>
      </c>
      <c r="N1138" s="150">
        <v>0</v>
      </c>
      <c r="O1138" s="150">
        <v>19471</v>
      </c>
      <c r="P1138" s="150">
        <v>19797</v>
      </c>
      <c r="Q1138" s="150">
        <v>19797</v>
      </c>
      <c r="R1138" s="150">
        <v>19797</v>
      </c>
    </row>
    <row r="1139" spans="1:18" x14ac:dyDescent="0.25">
      <c r="L1139" s="150"/>
    </row>
  </sheetData>
  <autoFilter ref="C1:R1138" xr:uid="{DB489A29-5E5E-43AB-BCF2-5F746508E22C}"/>
  <sortState xmlns:xlrd2="http://schemas.microsoft.com/office/spreadsheetml/2017/richdata2" ref="A2:S1139">
    <sortCondition ref="G2:G1139"/>
  </sortState>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88CC8-FE9E-49E4-A17C-4B5D35EB8429}">
  <sheetPr codeName="Sheet4"/>
  <dimension ref="A1:AV276"/>
  <sheetViews>
    <sheetView topLeftCell="R1" workbookViewId="0">
      <selection activeCell="Y5" sqref="Y5"/>
    </sheetView>
  </sheetViews>
  <sheetFormatPr defaultRowHeight="15.75" x14ac:dyDescent="0.25"/>
  <cols>
    <col min="1" max="1" width="24" customWidth="1"/>
    <col min="2" max="2" width="14.375" bestFit="1" customWidth="1"/>
    <col min="3" max="3" width="27.125" bestFit="1" customWidth="1"/>
    <col min="4" max="4" width="24.5" bestFit="1" customWidth="1"/>
    <col min="5" max="5" width="20.75" bestFit="1" customWidth="1"/>
    <col min="6" max="6" width="21.625" bestFit="1" customWidth="1"/>
    <col min="7" max="7" width="24.25" bestFit="1" customWidth="1"/>
    <col min="8" max="8" width="24.875" bestFit="1" customWidth="1"/>
    <col min="9" max="9" width="22.875" bestFit="1" customWidth="1"/>
    <col min="10" max="10" width="23.125" bestFit="1" customWidth="1"/>
    <col min="11" max="11" width="24.25" bestFit="1" customWidth="1"/>
    <col min="12" max="12" width="26.375" bestFit="1" customWidth="1"/>
    <col min="13" max="13" width="18.75" bestFit="1" customWidth="1"/>
    <col min="14" max="14" width="24.25" bestFit="1" customWidth="1"/>
    <col min="15" max="15" width="21.25" bestFit="1" customWidth="1"/>
    <col min="16" max="16" width="27.125" bestFit="1" customWidth="1"/>
    <col min="17" max="17" width="23.5" bestFit="1" customWidth="1"/>
    <col min="18" max="18" width="26.375" bestFit="1" customWidth="1"/>
    <col min="19" max="19" width="19.25" bestFit="1" customWidth="1"/>
    <col min="20" max="20" width="23.75" bestFit="1" customWidth="1"/>
    <col min="21" max="21" width="21.875" bestFit="1" customWidth="1"/>
    <col min="22" max="22" width="26.875" bestFit="1" customWidth="1"/>
    <col min="23" max="23" width="23.5" bestFit="1" customWidth="1"/>
    <col min="24" max="24" width="24.75" bestFit="1" customWidth="1"/>
    <col min="25" max="25" width="21.25" bestFit="1" customWidth="1"/>
    <col min="26" max="26" width="22.75" bestFit="1" customWidth="1"/>
    <col min="27" max="27" width="23.125" bestFit="1" customWidth="1"/>
    <col min="28" max="28" width="26.625" bestFit="1" customWidth="1"/>
    <col min="29" max="29" width="20.5" bestFit="1" customWidth="1"/>
    <col min="30" max="30" width="31.125" bestFit="1" customWidth="1"/>
    <col min="31" max="31" width="25.75" bestFit="1" customWidth="1"/>
    <col min="32" max="32" width="18.125" bestFit="1" customWidth="1"/>
    <col min="33" max="33" width="22.5" bestFit="1" customWidth="1"/>
    <col min="34" max="34" width="22.25" bestFit="1" customWidth="1"/>
    <col min="35" max="35" width="21.25" bestFit="1" customWidth="1"/>
    <col min="36" max="36" width="23.75" bestFit="1" customWidth="1"/>
    <col min="37" max="37" width="19.875" bestFit="1" customWidth="1"/>
    <col min="38" max="38" width="19.75" bestFit="1" customWidth="1"/>
    <col min="39" max="39" width="26.875" bestFit="1" customWidth="1"/>
    <col min="40" max="40" width="23.5" bestFit="1" customWidth="1"/>
    <col min="41" max="41" width="26.5" bestFit="1" customWidth="1"/>
    <col min="42" max="42" width="28" bestFit="1" customWidth="1"/>
    <col min="43" max="44" width="21" bestFit="1" customWidth="1"/>
    <col min="45" max="45" width="25.75" bestFit="1" customWidth="1"/>
    <col min="46" max="46" width="30.375" customWidth="1"/>
    <col min="47" max="47" width="31.125" style="148" bestFit="1" customWidth="1"/>
    <col min="48" max="48" width="14.125" style="148" customWidth="1"/>
  </cols>
  <sheetData>
    <row r="1" spans="1:48" x14ac:dyDescent="0.25">
      <c r="A1" s="148" t="s">
        <v>694</v>
      </c>
      <c r="B1" s="148" t="s">
        <v>680</v>
      </c>
      <c r="C1" s="148" t="str" cm="1">
        <f t="array" ref="C1:AT1">TRANSPOSE(B3:B46)</f>
        <v>Ada</v>
      </c>
      <c r="D1" s="148" t="str">
        <v>Adams</v>
      </c>
      <c r="E1" s="148" t="str">
        <v>Bannock</v>
      </c>
      <c r="F1" s="148" t="str">
        <v>BearLake</v>
      </c>
      <c r="G1" s="148" t="str">
        <v>Benewah</v>
      </c>
      <c r="H1" s="148" t="str">
        <v>Bingham</v>
      </c>
      <c r="I1" s="148" t="str">
        <v>Blaine</v>
      </c>
      <c r="J1" s="148" t="str">
        <v>Boise</v>
      </c>
      <c r="K1" s="148" t="str">
        <v>Bonner</v>
      </c>
      <c r="L1" s="148" t="str">
        <v>Bonneville</v>
      </c>
      <c r="M1" s="148" t="str">
        <v>Boundary</v>
      </c>
      <c r="N1" s="148" t="str">
        <v>Butte</v>
      </c>
      <c r="O1" s="148" t="str">
        <v>Camas</v>
      </c>
      <c r="P1" s="148" t="str">
        <v>Canyon</v>
      </c>
      <c r="Q1" s="148" t="str">
        <v>Caribou</v>
      </c>
      <c r="R1" s="148" t="str">
        <v>Cassia</v>
      </c>
      <c r="S1" s="148" t="str">
        <v>Clark</v>
      </c>
      <c r="T1" s="148" t="str">
        <v>Clearwater</v>
      </c>
      <c r="U1" s="148" t="str">
        <v>Custer</v>
      </c>
      <c r="V1" s="148" t="str">
        <v>Elmore</v>
      </c>
      <c r="W1" s="148" t="str">
        <v>Franklin</v>
      </c>
      <c r="X1" s="148" t="str">
        <v>Fremont</v>
      </c>
      <c r="Y1" s="148" t="str">
        <v>Gem</v>
      </c>
      <c r="Z1" s="148" t="str">
        <v>Gooding</v>
      </c>
      <c r="AA1" s="148" t="str">
        <v>Idaho</v>
      </c>
      <c r="AB1" s="148" t="str">
        <v>Jefferson</v>
      </c>
      <c r="AC1" s="148" t="str">
        <v>Jerome</v>
      </c>
      <c r="AD1" s="148" t="str">
        <v>Kootenai</v>
      </c>
      <c r="AE1" s="148" t="str">
        <v>Latah</v>
      </c>
      <c r="AF1" s="148" t="str">
        <v>Lemhi</v>
      </c>
      <c r="AG1" s="148" t="str">
        <v>Lewis</v>
      </c>
      <c r="AH1" s="148" t="str">
        <v>Lincoln</v>
      </c>
      <c r="AI1" s="148" t="str">
        <v>Madison</v>
      </c>
      <c r="AJ1" s="148" t="str">
        <v>Minidoka</v>
      </c>
      <c r="AK1" s="148" t="str">
        <v>NezPerce</v>
      </c>
      <c r="AL1" s="148" t="str">
        <v>Oneida</v>
      </c>
      <c r="AM1" s="148" t="str">
        <v>Owyhee</v>
      </c>
      <c r="AN1" s="148" t="str">
        <v>Payette</v>
      </c>
      <c r="AO1" s="148" t="str">
        <v>Power</v>
      </c>
      <c r="AP1" s="148" t="str">
        <v>Shoshone</v>
      </c>
      <c r="AQ1" s="148" t="str">
        <v>Teton</v>
      </c>
      <c r="AR1" s="148" t="str">
        <v>TwinFalls</v>
      </c>
      <c r="AS1" s="148" t="str">
        <v>Valley</v>
      </c>
      <c r="AT1" s="148" t="str">
        <v>Washington</v>
      </c>
      <c r="AU1" s="148" t="s">
        <v>1197</v>
      </c>
      <c r="AV1" s="148" t="s">
        <v>1198</v>
      </c>
    </row>
    <row r="2" spans="1:48" x14ac:dyDescent="0.25">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row>
    <row r="3" spans="1:48" x14ac:dyDescent="0.25">
      <c r="A3" s="148" t="s">
        <v>286</v>
      </c>
      <c r="B3" s="148" t="s">
        <v>1155</v>
      </c>
      <c r="C3" s="148" t="s">
        <v>165</v>
      </c>
      <c r="D3" s="148" t="s">
        <v>179</v>
      </c>
      <c r="E3" s="148" t="s">
        <v>183</v>
      </c>
      <c r="F3" s="148" t="s">
        <v>198</v>
      </c>
      <c r="G3" s="148" t="s">
        <v>215</v>
      </c>
      <c r="H3" s="148" t="s">
        <v>218</v>
      </c>
      <c r="I3" s="234" t="s">
        <v>239</v>
      </c>
      <c r="J3" s="148" t="s">
        <v>252</v>
      </c>
      <c r="K3" s="148" t="s">
        <v>263</v>
      </c>
      <c r="L3" s="148" t="s">
        <v>279</v>
      </c>
      <c r="M3" s="148" t="s">
        <v>296</v>
      </c>
      <c r="N3" s="148" t="s">
        <v>297</v>
      </c>
      <c r="O3" s="148" t="s">
        <v>302</v>
      </c>
      <c r="P3" s="148" t="s">
        <v>305</v>
      </c>
      <c r="Q3" s="148" t="s">
        <v>341</v>
      </c>
      <c r="R3" s="148" t="s">
        <v>353</v>
      </c>
      <c r="S3" s="148" t="s">
        <v>368</v>
      </c>
      <c r="T3" s="148" t="s">
        <v>373</v>
      </c>
      <c r="U3" s="148" t="s">
        <v>387</v>
      </c>
      <c r="V3" s="148" t="s">
        <v>395</v>
      </c>
      <c r="W3" s="148" t="s">
        <v>402</v>
      </c>
      <c r="X3" s="148" t="s">
        <v>420</v>
      </c>
      <c r="Y3" s="148" t="s">
        <v>428</v>
      </c>
      <c r="Z3" s="148" t="s">
        <v>434</v>
      </c>
      <c r="AA3" s="148" t="s">
        <v>451</v>
      </c>
      <c r="AB3" s="148" t="s">
        <v>480</v>
      </c>
      <c r="AC3" s="148" t="s">
        <v>488</v>
      </c>
      <c r="AD3" s="148" t="s">
        <v>495</v>
      </c>
      <c r="AE3" s="148" t="s">
        <v>524</v>
      </c>
      <c r="AF3" s="148" t="s">
        <v>543</v>
      </c>
      <c r="AG3" s="148" t="s">
        <v>549</v>
      </c>
      <c r="AH3" s="148" t="s">
        <v>556</v>
      </c>
      <c r="AI3" s="148" t="s">
        <v>568</v>
      </c>
      <c r="AJ3" s="148" t="s">
        <v>578</v>
      </c>
      <c r="AK3" s="148" t="s">
        <v>584</v>
      </c>
      <c r="AL3" s="148" t="s">
        <v>593</v>
      </c>
      <c r="AM3" s="148" t="s">
        <v>600</v>
      </c>
      <c r="AN3" s="148" t="s">
        <v>610</v>
      </c>
      <c r="AO3" s="148" t="s">
        <v>618</v>
      </c>
      <c r="AP3" s="148" t="s">
        <v>624</v>
      </c>
      <c r="AQ3" s="148" t="s">
        <v>635</v>
      </c>
      <c r="AR3" s="148" t="s">
        <v>643</v>
      </c>
      <c r="AS3" s="148" t="s">
        <v>657</v>
      </c>
      <c r="AT3" s="148" t="s">
        <v>668</v>
      </c>
      <c r="AU3" s="148" t="s">
        <v>873</v>
      </c>
      <c r="AV3" s="148" t="s">
        <v>1168</v>
      </c>
    </row>
    <row r="4" spans="1:48" x14ac:dyDescent="0.25">
      <c r="A4" s="148" t="s">
        <v>687</v>
      </c>
      <c r="B4" s="148" t="s">
        <v>1156</v>
      </c>
      <c r="C4" s="148" t="s">
        <v>695</v>
      </c>
      <c r="D4" s="148" t="s">
        <v>718</v>
      </c>
      <c r="E4" s="148" t="s">
        <v>184</v>
      </c>
      <c r="F4" s="148" t="s">
        <v>199</v>
      </c>
      <c r="G4" s="148" t="s">
        <v>216</v>
      </c>
      <c r="H4" s="148" t="s">
        <v>219</v>
      </c>
      <c r="I4" s="234" t="s">
        <v>240</v>
      </c>
      <c r="J4" s="148" t="s">
        <v>696</v>
      </c>
      <c r="K4" s="148" t="s">
        <v>264</v>
      </c>
      <c r="L4" s="148" t="s">
        <v>280</v>
      </c>
      <c r="M4" s="148" t="s">
        <v>838</v>
      </c>
      <c r="N4" s="148" t="s">
        <v>298</v>
      </c>
      <c r="O4" s="148" t="s">
        <v>303</v>
      </c>
      <c r="P4" s="148" t="s">
        <v>306</v>
      </c>
      <c r="Q4" s="148" t="s">
        <v>342</v>
      </c>
      <c r="R4" s="148" t="s">
        <v>354</v>
      </c>
      <c r="S4" s="148" t="s">
        <v>369</v>
      </c>
      <c r="T4" s="148" t="s">
        <v>374</v>
      </c>
      <c r="U4" s="148" t="s">
        <v>388</v>
      </c>
      <c r="V4" s="148" t="s">
        <v>396</v>
      </c>
      <c r="W4" s="148" t="s">
        <v>403</v>
      </c>
      <c r="X4" s="148" t="s">
        <v>421</v>
      </c>
      <c r="Y4" s="148" t="s">
        <v>696</v>
      </c>
      <c r="Z4" s="148" t="s">
        <v>435</v>
      </c>
      <c r="AA4" s="148" t="s">
        <v>452</v>
      </c>
      <c r="AB4" s="148" t="s">
        <v>481</v>
      </c>
      <c r="AC4" s="148" t="s">
        <v>489</v>
      </c>
      <c r="AD4" s="148" t="s">
        <v>496</v>
      </c>
      <c r="AE4" s="148" t="s">
        <v>525</v>
      </c>
      <c r="AF4" s="148" t="s">
        <v>544</v>
      </c>
      <c r="AG4" s="148" t="s">
        <v>550</v>
      </c>
      <c r="AH4" s="148" t="s">
        <v>557</v>
      </c>
      <c r="AI4" s="148" t="s">
        <v>569</v>
      </c>
      <c r="AJ4" s="148" t="s">
        <v>579</v>
      </c>
      <c r="AK4" s="148" t="s">
        <v>585</v>
      </c>
      <c r="AL4" s="148" t="s">
        <v>594</v>
      </c>
      <c r="AM4" s="148" t="s">
        <v>601</v>
      </c>
      <c r="AN4" s="148" t="s">
        <v>611</v>
      </c>
      <c r="AO4" s="148" t="s">
        <v>619</v>
      </c>
      <c r="AP4" s="148" t="s">
        <v>625</v>
      </c>
      <c r="AQ4" s="148" t="s">
        <v>636</v>
      </c>
      <c r="AR4" s="148" t="s">
        <v>644</v>
      </c>
      <c r="AS4" s="148" t="s">
        <v>658</v>
      </c>
      <c r="AT4" s="148" t="s">
        <v>669</v>
      </c>
      <c r="AU4" s="148" t="s">
        <v>873</v>
      </c>
      <c r="AV4" s="148" t="s">
        <v>164</v>
      </c>
    </row>
    <row r="5" spans="1:48" x14ac:dyDescent="0.25">
      <c r="A5" s="148" t="s">
        <v>681</v>
      </c>
      <c r="B5" s="148" t="s">
        <v>1157</v>
      </c>
      <c r="C5" s="148" t="s">
        <v>696</v>
      </c>
      <c r="D5" s="148" t="s">
        <v>719</v>
      </c>
      <c r="E5" s="148" t="s">
        <v>185</v>
      </c>
      <c r="F5" s="148" t="s">
        <v>200</v>
      </c>
      <c r="G5" s="148" t="s">
        <v>760</v>
      </c>
      <c r="H5" s="148" t="s">
        <v>220</v>
      </c>
      <c r="I5" s="234" t="s">
        <v>242</v>
      </c>
      <c r="J5" s="148" t="s">
        <v>253</v>
      </c>
      <c r="K5" s="148" t="s">
        <v>266</v>
      </c>
      <c r="L5" s="148" t="s">
        <v>281</v>
      </c>
      <c r="M5" s="148" t="s">
        <v>839</v>
      </c>
      <c r="N5" s="148" t="s">
        <v>299</v>
      </c>
      <c r="O5" s="148" t="s">
        <v>851</v>
      </c>
      <c r="P5" s="148" t="s">
        <v>307</v>
      </c>
      <c r="Q5" s="148" t="s">
        <v>343</v>
      </c>
      <c r="R5" s="148" t="s">
        <v>356</v>
      </c>
      <c r="S5" s="148" t="s">
        <v>370</v>
      </c>
      <c r="T5" s="148" t="s">
        <v>375</v>
      </c>
      <c r="U5" s="148" t="s">
        <v>389</v>
      </c>
      <c r="V5" s="148" t="s">
        <v>397</v>
      </c>
      <c r="W5" s="148" t="s">
        <v>404</v>
      </c>
      <c r="X5" s="148" t="s">
        <v>422</v>
      </c>
      <c r="Y5" s="148" t="s">
        <v>429</v>
      </c>
      <c r="Z5" s="148" t="s">
        <v>436</v>
      </c>
      <c r="AA5" s="148" t="s">
        <v>453</v>
      </c>
      <c r="AB5" s="148" t="s">
        <v>482</v>
      </c>
      <c r="AC5" s="148" t="s">
        <v>490</v>
      </c>
      <c r="AD5" s="148" t="s">
        <v>497</v>
      </c>
      <c r="AE5" s="148" t="s">
        <v>526</v>
      </c>
      <c r="AF5" s="148" t="s">
        <v>545</v>
      </c>
      <c r="AG5" s="148" t="s">
        <v>551</v>
      </c>
      <c r="AH5" s="148" t="s">
        <v>558</v>
      </c>
      <c r="AI5" s="148" t="s">
        <v>570</v>
      </c>
      <c r="AJ5" s="148" t="s">
        <v>580</v>
      </c>
      <c r="AK5" s="148" t="s">
        <v>586</v>
      </c>
      <c r="AL5" s="148" t="s">
        <v>871</v>
      </c>
      <c r="AM5" s="148" t="s">
        <v>602</v>
      </c>
      <c r="AN5" s="148" t="s">
        <v>612</v>
      </c>
      <c r="AO5" s="148" t="s">
        <v>190</v>
      </c>
      <c r="AP5" s="148" t="s">
        <v>626</v>
      </c>
      <c r="AQ5" s="148" t="s">
        <v>637</v>
      </c>
      <c r="AR5" s="148" t="s">
        <v>645</v>
      </c>
      <c r="AS5" s="148" t="s">
        <v>659</v>
      </c>
      <c r="AT5" s="148" t="s">
        <v>670</v>
      </c>
      <c r="AU5" s="148" t="s">
        <v>717</v>
      </c>
      <c r="AV5" s="148" t="s">
        <v>1155</v>
      </c>
    </row>
    <row r="6" spans="1:48" x14ac:dyDescent="0.25">
      <c r="A6" s="148" t="s">
        <v>147</v>
      </c>
      <c r="B6" s="148" t="s">
        <v>1196</v>
      </c>
      <c r="C6" s="148" t="s">
        <v>697</v>
      </c>
      <c r="D6" s="148" t="s">
        <v>720</v>
      </c>
      <c r="E6" s="148" t="s">
        <v>186</v>
      </c>
      <c r="F6" s="148" t="s">
        <v>201</v>
      </c>
      <c r="G6" s="148" t="s">
        <v>217</v>
      </c>
      <c r="H6" s="148" t="s">
        <v>221</v>
      </c>
      <c r="I6" s="234" t="s">
        <v>243</v>
      </c>
      <c r="J6" s="148" t="s">
        <v>254</v>
      </c>
      <c r="K6" s="148" t="s">
        <v>267</v>
      </c>
      <c r="L6" s="148" t="s">
        <v>282</v>
      </c>
      <c r="M6" s="148" t="s">
        <v>840</v>
      </c>
      <c r="N6" s="148" t="s">
        <v>846</v>
      </c>
      <c r="O6" s="148" t="s">
        <v>852</v>
      </c>
      <c r="P6" s="148" t="s">
        <v>308</v>
      </c>
      <c r="Q6" s="148" t="s">
        <v>344</v>
      </c>
      <c r="R6" s="148" t="s">
        <v>357</v>
      </c>
      <c r="S6" s="148" t="s">
        <v>890</v>
      </c>
      <c r="T6" s="148" t="s">
        <v>376</v>
      </c>
      <c r="U6" s="148" t="s">
        <v>390</v>
      </c>
      <c r="V6" s="148" t="s">
        <v>927</v>
      </c>
      <c r="W6" s="148" t="s">
        <v>405</v>
      </c>
      <c r="X6" s="148" t="s">
        <v>423</v>
      </c>
      <c r="Y6" s="148" t="s">
        <v>799</v>
      </c>
      <c r="Z6" s="148" t="s">
        <v>437</v>
      </c>
      <c r="AA6" s="148" t="s">
        <v>454</v>
      </c>
      <c r="AB6" s="148" t="s">
        <v>483</v>
      </c>
      <c r="AC6" s="148" t="s">
        <v>491</v>
      </c>
      <c r="AD6" s="148" t="s">
        <v>498</v>
      </c>
      <c r="AE6" s="148" t="s">
        <v>527</v>
      </c>
      <c r="AF6" s="148" t="s">
        <v>917</v>
      </c>
      <c r="AG6" s="148" t="s">
        <v>1044</v>
      </c>
      <c r="AH6" s="148" t="s">
        <v>559</v>
      </c>
      <c r="AI6" s="148" t="s">
        <v>946</v>
      </c>
      <c r="AJ6" s="148" t="s">
        <v>581</v>
      </c>
      <c r="AK6" s="148" t="s">
        <v>587</v>
      </c>
      <c r="AL6" s="148" t="s">
        <v>1076</v>
      </c>
      <c r="AM6" s="148" t="s">
        <v>603</v>
      </c>
      <c r="AN6" s="148" t="s">
        <v>613</v>
      </c>
      <c r="AO6" s="148" t="s">
        <v>620</v>
      </c>
      <c r="AP6" s="148" t="s">
        <v>627</v>
      </c>
      <c r="AQ6" s="148" t="s">
        <v>638</v>
      </c>
      <c r="AR6" s="148" t="s">
        <v>646</v>
      </c>
      <c r="AS6" s="148" t="s">
        <v>660</v>
      </c>
      <c r="AT6" s="148" t="s">
        <v>671</v>
      </c>
      <c r="AU6" s="148" t="s">
        <v>717</v>
      </c>
      <c r="AV6" s="148" t="s">
        <v>1160</v>
      </c>
    </row>
    <row r="7" spans="1:48" x14ac:dyDescent="0.25">
      <c r="A7" s="148" t="s">
        <v>685</v>
      </c>
      <c r="B7" s="148" t="s">
        <v>1158</v>
      </c>
      <c r="C7" s="148" t="s">
        <v>698</v>
      </c>
      <c r="D7" s="148" t="s">
        <v>721</v>
      </c>
      <c r="E7" s="148" t="s">
        <v>187</v>
      </c>
      <c r="F7" s="148" t="s">
        <v>202</v>
      </c>
      <c r="G7" s="148" t="s">
        <v>761</v>
      </c>
      <c r="H7" s="148" t="s">
        <v>222</v>
      </c>
      <c r="I7" s="234" t="s">
        <v>244</v>
      </c>
      <c r="J7" s="148" t="s">
        <v>255</v>
      </c>
      <c r="K7" s="148" t="s">
        <v>268</v>
      </c>
      <c r="L7" s="148" t="s">
        <v>283</v>
      </c>
      <c r="M7" s="148" t="s">
        <v>841</v>
      </c>
      <c r="N7" s="148" t="s">
        <v>847</v>
      </c>
      <c r="O7" s="148" t="s">
        <v>304</v>
      </c>
      <c r="P7" s="148" t="s">
        <v>309</v>
      </c>
      <c r="Q7" s="148" t="s">
        <v>734</v>
      </c>
      <c r="R7" s="148" t="s">
        <v>358</v>
      </c>
      <c r="S7" s="148" t="s">
        <v>371</v>
      </c>
      <c r="T7" s="148" t="s">
        <v>377</v>
      </c>
      <c r="U7" s="148" t="s">
        <v>846</v>
      </c>
      <c r="V7" s="148" t="s">
        <v>928</v>
      </c>
      <c r="W7" s="148" t="s">
        <v>406</v>
      </c>
      <c r="X7" s="148" t="s">
        <v>424</v>
      </c>
      <c r="Y7" s="148" t="s">
        <v>430</v>
      </c>
      <c r="Z7" s="148" t="s">
        <v>438</v>
      </c>
      <c r="AA7" s="148" t="s">
        <v>551</v>
      </c>
      <c r="AB7" s="148" t="s">
        <v>484</v>
      </c>
      <c r="AC7" s="148" t="s">
        <v>970</v>
      </c>
      <c r="AD7" s="148" t="s">
        <v>499</v>
      </c>
      <c r="AE7" s="148" t="s">
        <v>528</v>
      </c>
      <c r="AF7" s="148" t="s">
        <v>1038</v>
      </c>
      <c r="AG7" s="148" t="s">
        <v>552</v>
      </c>
      <c r="AH7" s="148" t="s">
        <v>967</v>
      </c>
      <c r="AI7" s="148" t="s">
        <v>984</v>
      </c>
      <c r="AJ7" s="148" t="s">
        <v>582</v>
      </c>
      <c r="AK7" s="148" t="s">
        <v>588</v>
      </c>
      <c r="AL7" s="148" t="s">
        <v>595</v>
      </c>
      <c r="AM7" s="148" t="s">
        <v>702</v>
      </c>
      <c r="AN7" s="148" t="s">
        <v>1090</v>
      </c>
      <c r="AO7" s="148" t="s">
        <v>873</v>
      </c>
      <c r="AP7" s="148" t="s">
        <v>628</v>
      </c>
      <c r="AQ7" s="148" t="s">
        <v>1116</v>
      </c>
      <c r="AR7" s="148" t="s">
        <v>647</v>
      </c>
      <c r="AS7" s="148" t="s">
        <v>722</v>
      </c>
      <c r="AT7" s="148" t="s">
        <v>1090</v>
      </c>
      <c r="AU7" s="148" t="s">
        <v>717</v>
      </c>
      <c r="AV7" s="148" t="s">
        <v>1175</v>
      </c>
    </row>
    <row r="8" spans="1:48" x14ac:dyDescent="0.25">
      <c r="A8" s="148" t="s">
        <v>110</v>
      </c>
      <c r="B8" s="148" t="s">
        <v>1159</v>
      </c>
      <c r="C8" s="148" t="s">
        <v>699</v>
      </c>
      <c r="D8" s="148" t="s">
        <v>722</v>
      </c>
      <c r="E8" s="148" t="s">
        <v>188</v>
      </c>
      <c r="F8" s="148" t="s">
        <v>751</v>
      </c>
      <c r="G8" s="148" t="s">
        <v>762</v>
      </c>
      <c r="H8" s="148" t="s">
        <v>223</v>
      </c>
      <c r="I8" s="234" t="s">
        <v>241</v>
      </c>
      <c r="J8" s="148" t="s">
        <v>700</v>
      </c>
      <c r="K8" s="148" t="s">
        <v>269</v>
      </c>
      <c r="L8" s="148" t="s">
        <v>284</v>
      </c>
      <c r="M8" s="148" t="s">
        <v>842</v>
      </c>
      <c r="N8" s="148" t="s">
        <v>848</v>
      </c>
      <c r="O8" s="148" t="s">
        <v>853</v>
      </c>
      <c r="P8" s="148" t="s">
        <v>310</v>
      </c>
      <c r="Q8" s="148" t="s">
        <v>736</v>
      </c>
      <c r="R8" s="148" t="s">
        <v>355</v>
      </c>
      <c r="S8" s="148" t="s">
        <v>372</v>
      </c>
      <c r="T8" s="148" t="s">
        <v>891</v>
      </c>
      <c r="U8" s="148" t="s">
        <v>917</v>
      </c>
      <c r="V8" s="148" t="s">
        <v>929</v>
      </c>
      <c r="W8" s="148" t="s">
        <v>407</v>
      </c>
      <c r="X8" s="148" t="s">
        <v>425</v>
      </c>
      <c r="Y8" s="148" t="s">
        <v>431</v>
      </c>
      <c r="Z8" s="148" t="s">
        <v>967</v>
      </c>
      <c r="AA8" s="148" t="s">
        <v>455</v>
      </c>
      <c r="AB8" s="148" t="s">
        <v>283</v>
      </c>
      <c r="AC8" s="148" t="s">
        <v>998</v>
      </c>
      <c r="AD8" s="148" t="s">
        <v>500</v>
      </c>
      <c r="AE8" s="148" t="s">
        <v>529</v>
      </c>
      <c r="AF8" s="148" t="s">
        <v>1039</v>
      </c>
      <c r="AG8" s="148" t="s">
        <v>553</v>
      </c>
      <c r="AH8" s="148" t="s">
        <v>970</v>
      </c>
      <c r="AI8" s="148" t="s">
        <v>1061</v>
      </c>
      <c r="AJ8" s="148" t="s">
        <v>583</v>
      </c>
      <c r="AK8" s="148" t="s">
        <v>891</v>
      </c>
      <c r="AL8" s="148" t="s">
        <v>1077</v>
      </c>
      <c r="AM8" s="148" t="s">
        <v>927</v>
      </c>
      <c r="AN8" s="148" t="s">
        <v>1091</v>
      </c>
      <c r="AO8" s="148" t="s">
        <v>1098</v>
      </c>
      <c r="AP8" s="148" t="s">
        <v>629</v>
      </c>
      <c r="AQ8" s="148" t="s">
        <v>639</v>
      </c>
      <c r="AR8" s="148" t="s">
        <v>648</v>
      </c>
      <c r="AS8" s="148" t="s">
        <v>1138</v>
      </c>
      <c r="AT8" s="148" t="s">
        <v>1147</v>
      </c>
      <c r="AU8" s="148" t="s">
        <v>754</v>
      </c>
      <c r="AV8" s="148" t="s">
        <v>1196</v>
      </c>
    </row>
    <row r="9" spans="1:48" x14ac:dyDescent="0.25">
      <c r="A9" s="148" t="s">
        <v>161</v>
      </c>
      <c r="B9" s="148" t="s">
        <v>1199</v>
      </c>
      <c r="C9" s="148" t="s">
        <v>313</v>
      </c>
      <c r="D9" s="148" t="s">
        <v>723</v>
      </c>
      <c r="E9" s="148" t="s">
        <v>189</v>
      </c>
      <c r="F9" s="148" t="s">
        <v>752</v>
      </c>
      <c r="G9" s="148" t="s">
        <v>763</v>
      </c>
      <c r="H9" s="148" t="s">
        <v>771</v>
      </c>
      <c r="I9" s="234" t="s">
        <v>787</v>
      </c>
      <c r="J9" s="148" t="s">
        <v>796</v>
      </c>
      <c r="K9" s="148" t="s">
        <v>270</v>
      </c>
      <c r="L9" s="148" t="s">
        <v>285</v>
      </c>
      <c r="M9" s="148" t="s">
        <v>843</v>
      </c>
      <c r="N9" s="148" t="s">
        <v>849</v>
      </c>
      <c r="O9" s="148" t="s">
        <v>854</v>
      </c>
      <c r="P9" s="148" t="s">
        <v>311</v>
      </c>
      <c r="Q9" s="148" t="s">
        <v>867</v>
      </c>
      <c r="R9" s="148" t="s">
        <v>871</v>
      </c>
      <c r="S9" s="148"/>
      <c r="T9" s="148" t="s">
        <v>892</v>
      </c>
      <c r="U9" s="148" t="s">
        <v>847</v>
      </c>
      <c r="V9" s="148" t="s">
        <v>930</v>
      </c>
      <c r="W9" s="148" t="s">
        <v>408</v>
      </c>
      <c r="X9" s="148" t="s">
        <v>426</v>
      </c>
      <c r="Y9" s="148" t="s">
        <v>432</v>
      </c>
      <c r="Z9" s="148" t="s">
        <v>968</v>
      </c>
      <c r="AA9" s="148" t="s">
        <v>456</v>
      </c>
      <c r="AB9" s="148" t="s">
        <v>485</v>
      </c>
      <c r="AC9" s="148" t="s">
        <v>999</v>
      </c>
      <c r="AD9" s="148" t="s">
        <v>501</v>
      </c>
      <c r="AE9" s="148" t="s">
        <v>530</v>
      </c>
      <c r="AF9" s="148" t="s">
        <v>919</v>
      </c>
      <c r="AG9" s="148" t="s">
        <v>891</v>
      </c>
      <c r="AH9" s="148" t="s">
        <v>999</v>
      </c>
      <c r="AI9" s="148" t="s">
        <v>947</v>
      </c>
      <c r="AJ9" s="148" t="s">
        <v>355</v>
      </c>
      <c r="AK9" s="148" t="s">
        <v>1021</v>
      </c>
      <c r="AL9" s="148" t="s">
        <v>597</v>
      </c>
      <c r="AM9" s="148" t="s">
        <v>862</v>
      </c>
      <c r="AN9" s="148" t="s">
        <v>1092</v>
      </c>
      <c r="AO9" s="148" t="s">
        <v>1099</v>
      </c>
      <c r="AP9" s="148" t="s">
        <v>630</v>
      </c>
      <c r="AQ9" s="148" t="s">
        <v>1117</v>
      </c>
      <c r="AR9" s="148" t="s">
        <v>649</v>
      </c>
      <c r="AS9" s="148" t="s">
        <v>661</v>
      </c>
      <c r="AT9" s="148" t="s">
        <v>723</v>
      </c>
      <c r="AU9" s="148" t="s">
        <v>754</v>
      </c>
      <c r="AV9" s="148" t="s">
        <v>1167</v>
      </c>
    </row>
    <row r="10" spans="1:48" x14ac:dyDescent="0.25">
      <c r="A10" s="148" t="s">
        <v>682</v>
      </c>
      <c r="B10" s="148" t="s">
        <v>1160</v>
      </c>
      <c r="C10" s="148" t="s">
        <v>700</v>
      </c>
      <c r="D10" s="148" t="s">
        <v>724</v>
      </c>
      <c r="E10" s="148" t="s">
        <v>190</v>
      </c>
      <c r="F10" s="148" t="s">
        <v>753</v>
      </c>
      <c r="G10" s="148" t="s">
        <v>764</v>
      </c>
      <c r="H10" s="148" t="s">
        <v>772</v>
      </c>
      <c r="I10" s="234" t="s">
        <v>245</v>
      </c>
      <c r="J10" s="148" t="s">
        <v>797</v>
      </c>
      <c r="K10" s="148" t="s">
        <v>271</v>
      </c>
      <c r="L10" s="148" t="s">
        <v>775</v>
      </c>
      <c r="M10" s="148" t="s">
        <v>845</v>
      </c>
      <c r="N10" s="148" t="s">
        <v>300</v>
      </c>
      <c r="O10" s="148"/>
      <c r="P10" s="148" t="s">
        <v>312</v>
      </c>
      <c r="Q10" s="148" t="s">
        <v>753</v>
      </c>
      <c r="R10" s="148" t="s">
        <v>872</v>
      </c>
      <c r="S10" s="148"/>
      <c r="T10" s="148" t="s">
        <v>893</v>
      </c>
      <c r="U10" s="148" t="s">
        <v>918</v>
      </c>
      <c r="V10" s="148" t="s">
        <v>398</v>
      </c>
      <c r="W10" s="148" t="s">
        <v>736</v>
      </c>
      <c r="X10" s="148" t="s">
        <v>427</v>
      </c>
      <c r="Y10" s="148" t="s">
        <v>963</v>
      </c>
      <c r="Z10" s="148" t="s">
        <v>969</v>
      </c>
      <c r="AA10" s="148" t="s">
        <v>457</v>
      </c>
      <c r="AB10" s="148" t="s">
        <v>984</v>
      </c>
      <c r="AC10" s="148" t="s">
        <v>872</v>
      </c>
      <c r="AD10" s="148" t="s">
        <v>502</v>
      </c>
      <c r="AE10" s="148" t="s">
        <v>531</v>
      </c>
      <c r="AF10" s="148" t="s">
        <v>1040</v>
      </c>
      <c r="AG10" s="148" t="s">
        <v>975</v>
      </c>
      <c r="AH10" s="148" t="s">
        <v>1054</v>
      </c>
      <c r="AI10" s="148" t="s">
        <v>571</v>
      </c>
      <c r="AJ10" s="148" t="s">
        <v>872</v>
      </c>
      <c r="AK10" s="148" t="s">
        <v>892</v>
      </c>
      <c r="AL10" s="148" t="s">
        <v>596</v>
      </c>
      <c r="AM10" s="148" t="s">
        <v>1080</v>
      </c>
      <c r="AN10" s="148" t="s">
        <v>1093</v>
      </c>
      <c r="AO10" s="148" t="s">
        <v>1100</v>
      </c>
      <c r="AP10" s="148" t="s">
        <v>631</v>
      </c>
      <c r="AQ10" s="148" t="s">
        <v>1118</v>
      </c>
      <c r="AR10" s="148" t="s">
        <v>650</v>
      </c>
      <c r="AS10" s="148" t="s">
        <v>662</v>
      </c>
      <c r="AT10" s="148" t="s">
        <v>1148</v>
      </c>
      <c r="AU10" s="148" t="s">
        <v>902</v>
      </c>
      <c r="AV10" s="148" t="s">
        <v>1170</v>
      </c>
    </row>
    <row r="11" spans="1:48" x14ac:dyDescent="0.25">
      <c r="A11" s="148" t="s">
        <v>683</v>
      </c>
      <c r="B11" s="148" t="s">
        <v>1161</v>
      </c>
      <c r="C11" s="148" t="s">
        <v>166</v>
      </c>
      <c r="D11" s="148" t="s">
        <v>725</v>
      </c>
      <c r="E11" s="148" t="s">
        <v>734</v>
      </c>
      <c r="F11" s="148" t="s">
        <v>203</v>
      </c>
      <c r="G11" s="148" t="s">
        <v>513</v>
      </c>
      <c r="H11" s="148" t="s">
        <v>773</v>
      </c>
      <c r="I11" s="234" t="s">
        <v>246</v>
      </c>
      <c r="J11" s="148" t="s">
        <v>798</v>
      </c>
      <c r="K11" s="148" t="s">
        <v>272</v>
      </c>
      <c r="L11" s="148" t="s">
        <v>826</v>
      </c>
      <c r="N11" s="148" t="s">
        <v>850</v>
      </c>
      <c r="O11" s="148"/>
      <c r="P11" s="148" t="s">
        <v>314</v>
      </c>
      <c r="Q11" s="148" t="s">
        <v>345</v>
      </c>
      <c r="R11" s="148" t="s">
        <v>873</v>
      </c>
      <c r="S11" s="148"/>
      <c r="T11" s="148" t="s">
        <v>894</v>
      </c>
      <c r="U11" s="148" t="s">
        <v>391</v>
      </c>
      <c r="V11" s="148" t="s">
        <v>931</v>
      </c>
      <c r="W11" s="148" t="s">
        <v>737</v>
      </c>
      <c r="X11" s="148" t="s">
        <v>946</v>
      </c>
      <c r="Y11" s="148" t="s">
        <v>964</v>
      </c>
      <c r="Z11" s="148" t="s">
        <v>929</v>
      </c>
      <c r="AA11" s="148" t="s">
        <v>458</v>
      </c>
      <c r="AB11" s="148" t="s">
        <v>828</v>
      </c>
      <c r="AC11" s="148" t="s">
        <v>492</v>
      </c>
      <c r="AD11" s="148" t="s">
        <v>503</v>
      </c>
      <c r="AE11" s="148" t="s">
        <v>532</v>
      </c>
      <c r="AF11" s="148" t="s">
        <v>1041</v>
      </c>
      <c r="AG11" s="148" t="s">
        <v>893</v>
      </c>
      <c r="AH11" s="148" t="s">
        <v>1055</v>
      </c>
      <c r="AI11" s="148" t="s">
        <v>572</v>
      </c>
      <c r="AJ11" s="148" t="s">
        <v>1066</v>
      </c>
      <c r="AK11" s="148" t="s">
        <v>977</v>
      </c>
      <c r="AL11" s="148" t="s">
        <v>1078</v>
      </c>
      <c r="AM11" s="148" t="s">
        <v>930</v>
      </c>
      <c r="AN11" s="148" t="s">
        <v>614</v>
      </c>
      <c r="AO11" s="148" t="s">
        <v>621</v>
      </c>
      <c r="AP11" s="148" t="s">
        <v>761</v>
      </c>
      <c r="AQ11" s="148" t="s">
        <v>640</v>
      </c>
      <c r="AR11" s="148" t="s">
        <v>651</v>
      </c>
      <c r="AS11" s="148" t="s">
        <v>663</v>
      </c>
      <c r="AT11" s="148" t="s">
        <v>672</v>
      </c>
      <c r="AU11" s="148" t="s">
        <v>902</v>
      </c>
      <c r="AV11" s="148" t="s">
        <v>1195</v>
      </c>
    </row>
    <row r="12" spans="1:48" x14ac:dyDescent="0.25">
      <c r="A12" s="148" t="s">
        <v>684</v>
      </c>
      <c r="B12" s="148" t="s">
        <v>1162</v>
      </c>
      <c r="C12" s="148" t="s">
        <v>701</v>
      </c>
      <c r="D12" s="148" t="s">
        <v>726</v>
      </c>
      <c r="E12" s="148" t="s">
        <v>735</v>
      </c>
      <c r="F12" s="148" t="s">
        <v>205</v>
      </c>
      <c r="G12" s="148" t="s">
        <v>765</v>
      </c>
      <c r="H12" s="148" t="s">
        <v>774</v>
      </c>
      <c r="I12" s="234" t="s">
        <v>247</v>
      </c>
      <c r="J12" s="148" t="s">
        <v>799</v>
      </c>
      <c r="K12" s="148" t="s">
        <v>265</v>
      </c>
      <c r="L12" s="148" t="s">
        <v>827</v>
      </c>
      <c r="M12" s="148"/>
      <c r="N12" s="148" t="s">
        <v>301</v>
      </c>
      <c r="O12" s="148"/>
      <c r="P12" s="148" t="s">
        <v>313</v>
      </c>
      <c r="Q12" s="148" t="s">
        <v>346</v>
      </c>
      <c r="R12" s="148" t="s">
        <v>874</v>
      </c>
      <c r="S12" s="148"/>
      <c r="T12" s="148" t="s">
        <v>895</v>
      </c>
      <c r="U12" s="148" t="s">
        <v>392</v>
      </c>
      <c r="V12" s="148" t="s">
        <v>932</v>
      </c>
      <c r="W12" s="148" t="s">
        <v>738</v>
      </c>
      <c r="X12" s="148" t="s">
        <v>947</v>
      </c>
      <c r="Y12" s="148" t="s">
        <v>327</v>
      </c>
      <c r="Z12" s="148" t="s">
        <v>970</v>
      </c>
      <c r="AA12" s="148" t="s">
        <v>1374</v>
      </c>
      <c r="AB12" s="148" t="s">
        <v>985</v>
      </c>
      <c r="AC12" s="148" t="s">
        <v>493</v>
      </c>
      <c r="AD12" s="148" t="s">
        <v>504</v>
      </c>
      <c r="AE12" s="148" t="s">
        <v>1020</v>
      </c>
      <c r="AF12" s="148" t="s">
        <v>1042</v>
      </c>
      <c r="AG12" s="148" t="s">
        <v>976</v>
      </c>
      <c r="AH12" s="148" t="s">
        <v>872</v>
      </c>
      <c r="AI12" s="148" t="s">
        <v>573</v>
      </c>
      <c r="AJ12" s="148" t="s">
        <v>1067</v>
      </c>
      <c r="AK12" s="148" t="s">
        <v>1070</v>
      </c>
      <c r="AL12" s="148" t="s">
        <v>1079</v>
      </c>
      <c r="AM12" s="148" t="s">
        <v>863</v>
      </c>
      <c r="AN12" s="148" t="s">
        <v>1094</v>
      </c>
      <c r="AO12" s="148" t="s">
        <v>1101</v>
      </c>
      <c r="AP12" s="148" t="s">
        <v>1009</v>
      </c>
      <c r="AQ12" s="148" t="s">
        <v>641</v>
      </c>
      <c r="AR12" s="148" t="s">
        <v>871</v>
      </c>
      <c r="AS12" s="148" t="s">
        <v>1139</v>
      </c>
      <c r="AT12" s="148" t="s">
        <v>674</v>
      </c>
      <c r="AU12" s="148" t="s">
        <v>653</v>
      </c>
      <c r="AV12" s="148" t="s">
        <v>1176</v>
      </c>
    </row>
    <row r="13" spans="1:48" x14ac:dyDescent="0.25">
      <c r="A13" s="148" t="s">
        <v>150</v>
      </c>
      <c r="B13" s="148" t="s">
        <v>1163</v>
      </c>
      <c r="C13" s="148" t="s">
        <v>702</v>
      </c>
      <c r="D13" s="148" t="s">
        <v>727</v>
      </c>
      <c r="E13" s="148" t="s">
        <v>736</v>
      </c>
      <c r="F13" s="148" t="s">
        <v>206</v>
      </c>
      <c r="G13" s="148" t="s">
        <v>632</v>
      </c>
      <c r="H13" s="148" t="s">
        <v>775</v>
      </c>
      <c r="I13" s="234" t="s">
        <v>248</v>
      </c>
      <c r="J13" s="148" t="s">
        <v>256</v>
      </c>
      <c r="K13" s="148" t="s">
        <v>805</v>
      </c>
      <c r="L13" s="148" t="s">
        <v>776</v>
      </c>
      <c r="M13" s="148"/>
      <c r="N13" s="148"/>
      <c r="O13" s="148"/>
      <c r="P13" s="148" t="s">
        <v>166</v>
      </c>
      <c r="Q13" s="148" t="s">
        <v>868</v>
      </c>
      <c r="R13" s="148" t="s">
        <v>359</v>
      </c>
      <c r="S13" s="148"/>
      <c r="T13" s="148" t="s">
        <v>378</v>
      </c>
      <c r="U13" s="148" t="s">
        <v>919</v>
      </c>
      <c r="V13" s="148" t="s">
        <v>933</v>
      </c>
      <c r="W13" s="148" t="s">
        <v>409</v>
      </c>
      <c r="X13" s="148" t="s">
        <v>948</v>
      </c>
      <c r="Y13" s="148" t="s">
        <v>433</v>
      </c>
      <c r="Z13" s="148" t="s">
        <v>971</v>
      </c>
      <c r="AA13" s="148" t="s">
        <v>975</v>
      </c>
      <c r="AB13" s="148" t="s">
        <v>986</v>
      </c>
      <c r="AC13" s="148" t="s">
        <v>1000</v>
      </c>
      <c r="AD13" s="148" t="s">
        <v>505</v>
      </c>
      <c r="AE13" s="148" t="s">
        <v>1021</v>
      </c>
      <c r="AF13" s="148" t="s">
        <v>1043</v>
      </c>
      <c r="AG13" s="148" t="s">
        <v>977</v>
      </c>
      <c r="AH13" s="148" t="s">
        <v>560</v>
      </c>
      <c r="AI13" s="148" t="s">
        <v>574</v>
      </c>
      <c r="AJ13" s="148" t="s">
        <v>1068</v>
      </c>
      <c r="AK13" s="148" t="s">
        <v>1071</v>
      </c>
      <c r="AL13" s="148" t="s">
        <v>598</v>
      </c>
      <c r="AM13" s="148" t="s">
        <v>1081</v>
      </c>
      <c r="AN13" s="148" t="s">
        <v>1095</v>
      </c>
      <c r="AO13" s="148" t="s">
        <v>1102</v>
      </c>
      <c r="AP13" s="148" t="s">
        <v>1108</v>
      </c>
      <c r="AQ13" s="148" t="s">
        <v>1119</v>
      </c>
      <c r="AR13" s="148" t="s">
        <v>969</v>
      </c>
      <c r="AS13" s="148" t="s">
        <v>1140</v>
      </c>
      <c r="AT13" s="148" t="s">
        <v>675</v>
      </c>
      <c r="AU13" s="148" t="s">
        <v>653</v>
      </c>
      <c r="AV13" s="148" t="s">
        <v>1194</v>
      </c>
    </row>
    <row r="14" spans="1:48" x14ac:dyDescent="0.25">
      <c r="A14" s="148" t="s">
        <v>151</v>
      </c>
      <c r="B14" s="148" t="s">
        <v>1164</v>
      </c>
      <c r="C14" s="148" t="s">
        <v>167</v>
      </c>
      <c r="D14" s="148" t="s">
        <v>728</v>
      </c>
      <c r="E14" s="148" t="s">
        <v>737</v>
      </c>
      <c r="F14" s="148" t="s">
        <v>207</v>
      </c>
      <c r="G14" s="148" t="s">
        <v>766</v>
      </c>
      <c r="H14" s="148" t="s">
        <v>776</v>
      </c>
      <c r="I14" s="234" t="s">
        <v>249</v>
      </c>
      <c r="J14" s="148" t="s">
        <v>257</v>
      </c>
      <c r="K14" s="148" t="s">
        <v>806</v>
      </c>
      <c r="L14" s="148" t="s">
        <v>753</v>
      </c>
      <c r="M14" s="148"/>
      <c r="N14" s="148"/>
      <c r="O14" s="148"/>
      <c r="P14" s="148" t="s">
        <v>701</v>
      </c>
      <c r="Q14" s="148" t="s">
        <v>288</v>
      </c>
      <c r="R14" s="148" t="s">
        <v>360</v>
      </c>
      <c r="S14" s="148"/>
      <c r="T14" s="148" t="s">
        <v>896</v>
      </c>
      <c r="U14" s="148" t="s">
        <v>920</v>
      </c>
      <c r="V14" s="148" t="s">
        <v>934</v>
      </c>
      <c r="W14" s="148" t="s">
        <v>410</v>
      </c>
      <c r="X14" s="148" t="s">
        <v>949</v>
      </c>
      <c r="Y14" s="148" t="s">
        <v>966</v>
      </c>
      <c r="Z14" s="148" t="s">
        <v>439</v>
      </c>
      <c r="AA14" s="148" t="s">
        <v>893</v>
      </c>
      <c r="AB14" s="148" t="s">
        <v>486</v>
      </c>
      <c r="AC14" s="148" t="s">
        <v>1261</v>
      </c>
      <c r="AD14" s="148" t="s">
        <v>506</v>
      </c>
      <c r="AE14" s="148" t="s">
        <v>892</v>
      </c>
      <c r="AF14" s="148" t="s">
        <v>546</v>
      </c>
      <c r="AG14" s="148" t="s">
        <v>1045</v>
      </c>
      <c r="AH14" s="148" t="s">
        <v>1056</v>
      </c>
      <c r="AI14" s="148" t="s">
        <v>575</v>
      </c>
      <c r="AJ14" s="148" t="s">
        <v>789</v>
      </c>
      <c r="AK14" s="148" t="s">
        <v>1045</v>
      </c>
      <c r="AL14" s="148" t="s">
        <v>599</v>
      </c>
      <c r="AM14" s="148" t="s">
        <v>1082</v>
      </c>
      <c r="AN14" s="148" t="s">
        <v>615</v>
      </c>
      <c r="AO14" s="148" t="s">
        <v>1103</v>
      </c>
      <c r="AP14" s="148" t="s">
        <v>1109</v>
      </c>
      <c r="AQ14" s="148" t="s">
        <v>642</v>
      </c>
      <c r="AR14" s="148" t="s">
        <v>929</v>
      </c>
      <c r="AS14" s="148" t="s">
        <v>664</v>
      </c>
      <c r="AT14" s="148" t="s">
        <v>673</v>
      </c>
      <c r="AU14" s="148" t="s">
        <v>929</v>
      </c>
      <c r="AV14" s="148" t="s">
        <v>1172</v>
      </c>
    </row>
    <row r="15" spans="1:48" x14ac:dyDescent="0.25">
      <c r="A15" s="148" t="s">
        <v>295</v>
      </c>
      <c r="B15" s="148" t="s">
        <v>1165</v>
      </c>
      <c r="C15" s="148" t="s">
        <v>168</v>
      </c>
      <c r="D15" s="148" t="s">
        <v>729</v>
      </c>
      <c r="E15" s="148" t="s">
        <v>738</v>
      </c>
      <c r="F15" s="148" t="s">
        <v>210</v>
      </c>
      <c r="G15" s="148" t="s">
        <v>767</v>
      </c>
      <c r="H15" s="148" t="s">
        <v>777</v>
      </c>
      <c r="I15" s="234" t="s">
        <v>250</v>
      </c>
      <c r="J15" s="148" t="s">
        <v>432</v>
      </c>
      <c r="K15" s="148" t="s">
        <v>807</v>
      </c>
      <c r="L15" s="148" t="s">
        <v>828</v>
      </c>
      <c r="M15" s="148"/>
      <c r="N15" s="148"/>
      <c r="O15" s="148"/>
      <c r="P15" s="148" t="s">
        <v>855</v>
      </c>
      <c r="Q15" s="148" t="s">
        <v>347</v>
      </c>
      <c r="R15" s="148" t="s">
        <v>875</v>
      </c>
      <c r="S15" s="148"/>
      <c r="T15" s="148" t="s">
        <v>379</v>
      </c>
      <c r="U15" s="148" t="s">
        <v>921</v>
      </c>
      <c r="V15" s="148" t="s">
        <v>935</v>
      </c>
      <c r="W15" s="148" t="s">
        <v>411</v>
      </c>
      <c r="X15" s="148" t="s">
        <v>950</v>
      </c>
      <c r="Y15" s="148" t="s">
        <v>717</v>
      </c>
      <c r="Z15" s="148" t="s">
        <v>440</v>
      </c>
      <c r="AA15" s="148" t="s">
        <v>976</v>
      </c>
      <c r="AB15" s="148" t="s">
        <v>987</v>
      </c>
      <c r="AC15" s="148" t="s">
        <v>1001</v>
      </c>
      <c r="AD15" s="148" t="s">
        <v>507</v>
      </c>
      <c r="AE15" s="148" t="s">
        <v>1022</v>
      </c>
      <c r="AF15" s="148" t="s">
        <v>547</v>
      </c>
      <c r="AG15" s="148" t="s">
        <v>1046</v>
      </c>
      <c r="AH15" s="148" t="s">
        <v>562</v>
      </c>
      <c r="AI15" s="148" t="s">
        <v>576</v>
      </c>
      <c r="AJ15" s="148" t="s">
        <v>1002</v>
      </c>
      <c r="AK15" s="148" t="s">
        <v>1046</v>
      </c>
      <c r="AL15" s="148"/>
      <c r="AM15" s="148" t="s">
        <v>604</v>
      </c>
      <c r="AN15" s="148" t="s">
        <v>328</v>
      </c>
      <c r="AO15" s="148" t="s">
        <v>1104</v>
      </c>
      <c r="AP15" s="148" t="s">
        <v>1110</v>
      </c>
      <c r="AQ15" s="148" t="s">
        <v>1121</v>
      </c>
      <c r="AR15" s="148" t="s">
        <v>1123</v>
      </c>
      <c r="AS15" s="148" t="s">
        <v>1141</v>
      </c>
      <c r="AT15" s="148" t="s">
        <v>1149</v>
      </c>
      <c r="AU15" s="148" t="s">
        <v>929</v>
      </c>
      <c r="AV15" s="148" t="s">
        <v>1176</v>
      </c>
    </row>
    <row r="16" spans="1:48" x14ac:dyDescent="0.25">
      <c r="A16" s="148" t="s">
        <v>665</v>
      </c>
      <c r="B16" s="148" t="s">
        <v>1166</v>
      </c>
      <c r="C16" s="148" t="s">
        <v>703</v>
      </c>
      <c r="D16" s="148" t="s">
        <v>180</v>
      </c>
      <c r="E16" s="148" t="s">
        <v>739</v>
      </c>
      <c r="F16" s="148" t="s">
        <v>211</v>
      </c>
      <c r="G16" s="148" t="s">
        <v>769</v>
      </c>
      <c r="H16" s="148" t="s">
        <v>224</v>
      </c>
      <c r="I16" s="234" t="s">
        <v>788</v>
      </c>
      <c r="J16" s="148" t="s">
        <v>800</v>
      </c>
      <c r="K16" s="148" t="s">
        <v>808</v>
      </c>
      <c r="L16" s="148" t="s">
        <v>829</v>
      </c>
      <c r="M16" s="148"/>
      <c r="N16" s="148"/>
      <c r="O16" s="148"/>
      <c r="P16" s="148" t="s">
        <v>856</v>
      </c>
      <c r="Q16" s="148" t="s">
        <v>348</v>
      </c>
      <c r="R16" s="148" t="s">
        <v>876</v>
      </c>
      <c r="S16" s="148"/>
      <c r="T16" s="148" t="s">
        <v>380</v>
      </c>
      <c r="U16" s="148" t="s">
        <v>922</v>
      </c>
      <c r="V16" s="148" t="s">
        <v>936</v>
      </c>
      <c r="W16" s="148" t="s">
        <v>412</v>
      </c>
      <c r="X16" s="148" t="s">
        <v>951</v>
      </c>
      <c r="Y16" s="148"/>
      <c r="Z16" s="148" t="s">
        <v>441</v>
      </c>
      <c r="AA16" s="148" t="s">
        <v>977</v>
      </c>
      <c r="AB16" s="148" t="s">
        <v>988</v>
      </c>
      <c r="AC16" s="148" t="s">
        <v>1002</v>
      </c>
      <c r="AD16" s="148" t="s">
        <v>508</v>
      </c>
      <c r="AE16" s="148" t="s">
        <v>1023</v>
      </c>
      <c r="AF16" s="148" t="s">
        <v>548</v>
      </c>
      <c r="AG16" s="148" t="s">
        <v>463</v>
      </c>
      <c r="AH16" s="148" t="s">
        <v>561</v>
      </c>
      <c r="AI16" s="148" t="s">
        <v>577</v>
      </c>
      <c r="AJ16" s="148" t="s">
        <v>1069</v>
      </c>
      <c r="AK16" s="148" t="s">
        <v>534</v>
      </c>
      <c r="AL16" s="148"/>
      <c r="AM16" s="148" t="s">
        <v>605</v>
      </c>
      <c r="AN16" s="148" t="s">
        <v>616</v>
      </c>
      <c r="AO16" s="148" t="s">
        <v>1105</v>
      </c>
      <c r="AP16" s="148" t="s">
        <v>1397</v>
      </c>
      <c r="AQ16" s="148" t="s">
        <v>1122</v>
      </c>
      <c r="AR16" s="148" t="s">
        <v>971</v>
      </c>
      <c r="AS16" s="148" t="s">
        <v>1395</v>
      </c>
      <c r="AT16" s="148" t="s">
        <v>1150</v>
      </c>
      <c r="AU16" s="148" t="s">
        <v>929</v>
      </c>
      <c r="AV16" s="148" t="s">
        <v>1194</v>
      </c>
    </row>
    <row r="17" spans="1:48" x14ac:dyDescent="0.25">
      <c r="A17" s="148" t="s">
        <v>237</v>
      </c>
      <c r="B17" s="148" t="s">
        <v>1167</v>
      </c>
      <c r="C17" s="148" t="s">
        <v>169</v>
      </c>
      <c r="D17" s="148" t="s">
        <v>730</v>
      </c>
      <c r="E17" s="148" t="s">
        <v>191</v>
      </c>
      <c r="F17" s="148" t="s">
        <v>212</v>
      </c>
      <c r="G17" s="148" t="s">
        <v>770</v>
      </c>
      <c r="H17" s="148" t="s">
        <v>225</v>
      </c>
      <c r="I17" s="234" t="s">
        <v>1255</v>
      </c>
      <c r="J17" s="148" t="s">
        <v>801</v>
      </c>
      <c r="K17" s="148" t="s">
        <v>273</v>
      </c>
      <c r="L17" s="148" t="s">
        <v>287</v>
      </c>
      <c r="M17" s="148"/>
      <c r="N17" s="148"/>
      <c r="O17" s="148"/>
      <c r="P17" s="148" t="s">
        <v>857</v>
      </c>
      <c r="Q17" s="148" t="s">
        <v>193</v>
      </c>
      <c r="R17" s="148" t="s">
        <v>363</v>
      </c>
      <c r="S17" s="148"/>
      <c r="T17" s="148" t="s">
        <v>897</v>
      </c>
      <c r="U17" s="148" t="s">
        <v>300</v>
      </c>
      <c r="V17" s="148" t="s">
        <v>937</v>
      </c>
      <c r="W17" s="148" t="s">
        <v>413</v>
      </c>
      <c r="X17" s="148" t="s">
        <v>952</v>
      </c>
      <c r="Y17" s="148"/>
      <c r="Z17" s="148" t="s">
        <v>442</v>
      </c>
      <c r="AA17" s="148" t="s">
        <v>724</v>
      </c>
      <c r="AB17" s="148" t="s">
        <v>989</v>
      </c>
      <c r="AC17" s="148" t="s">
        <v>1003</v>
      </c>
      <c r="AD17" s="148" t="s">
        <v>1007</v>
      </c>
      <c r="AE17" s="148" t="s">
        <v>894</v>
      </c>
      <c r="AF17" s="148"/>
      <c r="AG17" s="148" t="s">
        <v>1047</v>
      </c>
      <c r="AH17" s="148" t="s">
        <v>1057</v>
      </c>
      <c r="AI17" s="148" t="s">
        <v>1062</v>
      </c>
      <c r="AJ17" s="148"/>
      <c r="AK17" s="148" t="s">
        <v>589</v>
      </c>
      <c r="AL17" s="148"/>
      <c r="AM17" s="148" t="s">
        <v>606</v>
      </c>
      <c r="AN17" s="148" t="s">
        <v>1254</v>
      </c>
      <c r="AO17" s="148" t="s">
        <v>1106</v>
      </c>
      <c r="AP17" s="148" t="s">
        <v>633</v>
      </c>
      <c r="AR17" s="148" t="s">
        <v>1124</v>
      </c>
      <c r="AS17" s="148" t="s">
        <v>1396</v>
      </c>
      <c r="AT17" s="148" t="s">
        <v>1151</v>
      </c>
      <c r="AU17" s="148" t="s">
        <v>700</v>
      </c>
      <c r="AV17" s="148" t="s">
        <v>1155</v>
      </c>
    </row>
    <row r="18" spans="1:48" x14ac:dyDescent="0.25">
      <c r="A18" s="148" t="s">
        <v>686</v>
      </c>
      <c r="B18" s="148" t="s">
        <v>1168</v>
      </c>
      <c r="C18" s="148" t="s">
        <v>170</v>
      </c>
      <c r="D18" s="148" t="s">
        <v>731</v>
      </c>
      <c r="E18" s="148" t="s">
        <v>192</v>
      </c>
      <c r="F18" s="148" t="s">
        <v>213</v>
      </c>
      <c r="H18" s="148" t="s">
        <v>226</v>
      </c>
      <c r="I18" s="234" t="s">
        <v>789</v>
      </c>
      <c r="J18" s="148" t="s">
        <v>802</v>
      </c>
      <c r="K18" s="148" t="s">
        <v>809</v>
      </c>
      <c r="L18" s="148" t="s">
        <v>486</v>
      </c>
      <c r="M18" s="148"/>
      <c r="N18" s="148"/>
      <c r="O18" s="148"/>
      <c r="P18" s="148" t="s">
        <v>858</v>
      </c>
      <c r="Q18" s="148" t="s">
        <v>349</v>
      </c>
      <c r="R18" s="148" t="s">
        <v>362</v>
      </c>
      <c r="S18" s="148"/>
      <c r="T18" s="148" t="s">
        <v>381</v>
      </c>
      <c r="U18" s="148" t="s">
        <v>923</v>
      </c>
      <c r="V18" s="148" t="s">
        <v>399</v>
      </c>
      <c r="W18" s="148" t="s">
        <v>414</v>
      </c>
      <c r="X18" s="148" t="s">
        <v>577</v>
      </c>
      <c r="Y18" s="148"/>
      <c r="Z18" s="148" t="s">
        <v>653</v>
      </c>
      <c r="AA18" s="148" t="s">
        <v>978</v>
      </c>
      <c r="AB18" s="148" t="s">
        <v>990</v>
      </c>
      <c r="AC18" s="148" t="s">
        <v>1004</v>
      </c>
      <c r="AD18" s="148" t="s">
        <v>805</v>
      </c>
      <c r="AE18" s="148" t="s">
        <v>1024</v>
      </c>
      <c r="AF18" s="148"/>
      <c r="AG18" s="148" t="s">
        <v>554</v>
      </c>
      <c r="AH18" s="148" t="s">
        <v>1058</v>
      </c>
      <c r="AI18" s="148" t="s">
        <v>833</v>
      </c>
      <c r="AJ18" s="148"/>
      <c r="AK18" s="148" t="s">
        <v>590</v>
      </c>
      <c r="AL18" s="148"/>
      <c r="AM18" s="148" t="s">
        <v>607</v>
      </c>
      <c r="AN18" s="148" t="s">
        <v>1097</v>
      </c>
      <c r="AO18" s="148" t="s">
        <v>623</v>
      </c>
      <c r="AP18" s="148" t="s">
        <v>1011</v>
      </c>
      <c r="AQ18" s="148"/>
      <c r="AR18" s="148" t="s">
        <v>1125</v>
      </c>
      <c r="AS18" s="148" t="s">
        <v>666</v>
      </c>
      <c r="AT18" s="148" t="s">
        <v>676</v>
      </c>
      <c r="AU18" s="148" t="s">
        <v>700</v>
      </c>
      <c r="AV18" s="148" t="s">
        <v>1160</v>
      </c>
    </row>
    <row r="19" spans="1:48" x14ac:dyDescent="0.25">
      <c r="A19" s="148" t="s">
        <v>688</v>
      </c>
      <c r="B19" s="148" t="s">
        <v>1169</v>
      </c>
      <c r="C19" s="148" t="s">
        <v>171</v>
      </c>
      <c r="D19" s="148" t="s">
        <v>732</v>
      </c>
      <c r="E19" s="148" t="s">
        <v>193</v>
      </c>
      <c r="F19" s="148" t="s">
        <v>204</v>
      </c>
      <c r="H19" s="148" t="s">
        <v>227</v>
      </c>
      <c r="I19" s="234" t="s">
        <v>790</v>
      </c>
      <c r="J19" s="148" t="s">
        <v>803</v>
      </c>
      <c r="K19" s="148" t="s">
        <v>512</v>
      </c>
      <c r="L19" s="148" t="s">
        <v>288</v>
      </c>
      <c r="M19" s="148"/>
      <c r="N19" s="148"/>
      <c r="O19" s="148"/>
      <c r="P19" s="148" t="s">
        <v>859</v>
      </c>
      <c r="Q19" s="148" t="s">
        <v>350</v>
      </c>
      <c r="R19" s="148" t="s">
        <v>361</v>
      </c>
      <c r="S19" s="148"/>
      <c r="T19" s="148" t="s">
        <v>382</v>
      </c>
      <c r="U19" s="148" t="s">
        <v>393</v>
      </c>
      <c r="V19" s="148" t="s">
        <v>400</v>
      </c>
      <c r="W19" s="148" t="s">
        <v>415</v>
      </c>
      <c r="X19" s="148" t="s">
        <v>953</v>
      </c>
      <c r="Y19" s="148"/>
      <c r="Z19" s="148" t="s">
        <v>972</v>
      </c>
      <c r="AA19" s="148" t="s">
        <v>459</v>
      </c>
      <c r="AB19" s="148" t="s">
        <v>292</v>
      </c>
      <c r="AC19" s="148" t="s">
        <v>1005</v>
      </c>
      <c r="AD19" s="148" t="s">
        <v>1008</v>
      </c>
      <c r="AE19" s="148" t="s">
        <v>533</v>
      </c>
      <c r="AF19" s="148"/>
      <c r="AG19" s="148" t="s">
        <v>473</v>
      </c>
      <c r="AH19" s="148" t="s">
        <v>1059</v>
      </c>
      <c r="AI19" s="148" t="s">
        <v>233</v>
      </c>
      <c r="AJ19" s="148"/>
      <c r="AK19" s="148" t="s">
        <v>537</v>
      </c>
      <c r="AL19" s="148"/>
      <c r="AM19" s="148" t="s">
        <v>1083</v>
      </c>
      <c r="AN19" s="148" t="s">
        <v>617</v>
      </c>
      <c r="AO19" s="148" t="s">
        <v>622</v>
      </c>
      <c r="AP19" s="148" t="s">
        <v>1111</v>
      </c>
      <c r="AQ19" s="148"/>
      <c r="AR19" s="148" t="s">
        <v>1126</v>
      </c>
      <c r="AS19" s="148" t="s">
        <v>667</v>
      </c>
      <c r="AT19" s="148" t="s">
        <v>181</v>
      </c>
      <c r="AU19" s="148" t="s">
        <v>776</v>
      </c>
      <c r="AV19" s="148" t="s">
        <v>1159</v>
      </c>
    </row>
    <row r="20" spans="1:48" x14ac:dyDescent="0.25">
      <c r="A20" s="148" t="s">
        <v>146</v>
      </c>
      <c r="B20" s="148" t="s">
        <v>1170</v>
      </c>
      <c r="C20" s="148" t="s">
        <v>172</v>
      </c>
      <c r="D20" s="148" t="s">
        <v>181</v>
      </c>
      <c r="E20" s="148" t="s">
        <v>195</v>
      </c>
      <c r="F20" s="148" t="s">
        <v>208</v>
      </c>
      <c r="G20" s="148"/>
      <c r="H20" s="148" t="s">
        <v>228</v>
      </c>
      <c r="I20" s="234" t="s">
        <v>304</v>
      </c>
      <c r="J20" s="148" t="s">
        <v>1409</v>
      </c>
      <c r="K20" s="148" t="s">
        <v>810</v>
      </c>
      <c r="L20" s="148" t="s">
        <v>289</v>
      </c>
      <c r="M20" s="148"/>
      <c r="N20" s="148"/>
      <c r="O20" s="148"/>
      <c r="P20" s="148" t="s">
        <v>702</v>
      </c>
      <c r="Q20" s="148" t="s">
        <v>351</v>
      </c>
      <c r="R20" s="148" t="s">
        <v>877</v>
      </c>
      <c r="S20" s="148"/>
      <c r="T20" s="148" t="s">
        <v>383</v>
      </c>
      <c r="U20" s="148" t="s">
        <v>924</v>
      </c>
      <c r="V20" s="148" t="s">
        <v>401</v>
      </c>
      <c r="W20" s="148" t="s">
        <v>416</v>
      </c>
      <c r="X20" s="148" t="s">
        <v>954</v>
      </c>
      <c r="Y20" s="148"/>
      <c r="Z20" s="148" t="s">
        <v>973</v>
      </c>
      <c r="AA20" s="148" t="s">
        <v>460</v>
      </c>
      <c r="AB20" s="148" t="s">
        <v>991</v>
      </c>
      <c r="AC20" s="148" t="s">
        <v>1006</v>
      </c>
      <c r="AD20" s="148" t="s">
        <v>762</v>
      </c>
      <c r="AE20" s="148" t="s">
        <v>534</v>
      </c>
      <c r="AF20" s="148"/>
      <c r="AG20" s="148" t="s">
        <v>1048</v>
      </c>
      <c r="AH20" s="148" t="s">
        <v>563</v>
      </c>
      <c r="AI20" s="148" t="s">
        <v>1064</v>
      </c>
      <c r="AJ20" s="148"/>
      <c r="AK20" s="148" t="s">
        <v>897</v>
      </c>
      <c r="AL20" s="148"/>
      <c r="AM20" s="148" t="s">
        <v>1084</v>
      </c>
      <c r="AO20" s="148" t="s">
        <v>1107</v>
      </c>
      <c r="AP20" s="148" t="s">
        <v>1112</v>
      </c>
      <c r="AQ20" s="148"/>
      <c r="AR20" s="148" t="s">
        <v>1081</v>
      </c>
      <c r="AS20" s="148" t="s">
        <v>1143</v>
      </c>
      <c r="AT20" s="148" t="s">
        <v>1152</v>
      </c>
      <c r="AU20" s="148" t="s">
        <v>776</v>
      </c>
      <c r="AV20" s="148" t="s">
        <v>1162</v>
      </c>
    </row>
    <row r="21" spans="1:48" x14ac:dyDescent="0.25">
      <c r="A21" s="148" t="s">
        <v>238</v>
      </c>
      <c r="B21" s="148" t="s">
        <v>1171</v>
      </c>
      <c r="C21" s="148" t="s">
        <v>173</v>
      </c>
      <c r="D21" s="148" t="s">
        <v>182</v>
      </c>
      <c r="E21" s="148" t="s">
        <v>194</v>
      </c>
      <c r="F21" s="148" t="s">
        <v>209</v>
      </c>
      <c r="G21" s="148"/>
      <c r="H21" s="148" t="s">
        <v>778</v>
      </c>
      <c r="I21" s="234" t="s">
        <v>791</v>
      </c>
      <c r="J21" s="148" t="s">
        <v>258</v>
      </c>
      <c r="K21" s="148" t="s">
        <v>811</v>
      </c>
      <c r="L21" s="148" t="s">
        <v>830</v>
      </c>
      <c r="M21" s="148"/>
      <c r="N21" s="148"/>
      <c r="O21" s="148"/>
      <c r="P21" s="148" t="s">
        <v>860</v>
      </c>
      <c r="Q21" s="148" t="s">
        <v>754</v>
      </c>
      <c r="R21" s="148" t="s">
        <v>789</v>
      </c>
      <c r="S21" s="148"/>
      <c r="T21" s="148" t="s">
        <v>384</v>
      </c>
      <c r="U21" s="148" t="s">
        <v>394</v>
      </c>
      <c r="V21" s="148" t="s">
        <v>938</v>
      </c>
      <c r="W21" s="148" t="s">
        <v>350</v>
      </c>
      <c r="X21" s="148" t="s">
        <v>955</v>
      </c>
      <c r="Y21" s="148"/>
      <c r="Z21" s="148" t="s">
        <v>974</v>
      </c>
      <c r="AA21" s="148" t="s">
        <v>461</v>
      </c>
      <c r="AB21" s="148" t="s">
        <v>954</v>
      </c>
      <c r="AC21" s="148" t="s">
        <v>494</v>
      </c>
      <c r="AD21" s="148" t="s">
        <v>1009</v>
      </c>
      <c r="AE21" s="148" t="s">
        <v>535</v>
      </c>
      <c r="AF21" s="148"/>
      <c r="AG21" s="148" t="s">
        <v>555</v>
      </c>
      <c r="AH21" s="148" t="s">
        <v>564</v>
      </c>
      <c r="AI21" s="148" t="s">
        <v>961</v>
      </c>
      <c r="AJ21" s="148"/>
      <c r="AK21" s="148" t="s">
        <v>591</v>
      </c>
      <c r="AL21" s="148"/>
      <c r="AM21" s="148" t="s">
        <v>931</v>
      </c>
      <c r="AN21" s="148"/>
      <c r="AO21" s="148"/>
      <c r="AP21" s="148" t="s">
        <v>632</v>
      </c>
      <c r="AQ21" s="148"/>
      <c r="AR21" s="148" t="s">
        <v>1082</v>
      </c>
      <c r="AS21" s="148" t="s">
        <v>1144</v>
      </c>
      <c r="AT21" s="148" t="s">
        <v>677</v>
      </c>
      <c r="AU21" s="148" t="s">
        <v>930</v>
      </c>
      <c r="AV21" s="148" t="s">
        <v>1172</v>
      </c>
    </row>
    <row r="22" spans="1:48" x14ac:dyDescent="0.25">
      <c r="A22" s="148" t="s">
        <v>689</v>
      </c>
      <c r="B22" s="148" t="s">
        <v>1172</v>
      </c>
      <c r="C22" s="148" t="s">
        <v>704</v>
      </c>
      <c r="D22" s="148" t="s">
        <v>733</v>
      </c>
      <c r="E22" s="148" t="s">
        <v>196</v>
      </c>
      <c r="F22" s="148" t="s">
        <v>754</v>
      </c>
      <c r="G22" s="148"/>
      <c r="H22" s="148" t="s">
        <v>229</v>
      </c>
      <c r="I22" s="234" t="s">
        <v>792</v>
      </c>
      <c r="J22" s="148" t="s">
        <v>259</v>
      </c>
      <c r="K22" s="148" t="s">
        <v>812</v>
      </c>
      <c r="L22" s="148" t="s">
        <v>290</v>
      </c>
      <c r="M22" s="148"/>
      <c r="N22" s="148"/>
      <c r="O22" s="148"/>
      <c r="P22" s="148" t="s">
        <v>861</v>
      </c>
      <c r="Q22" s="148" t="s">
        <v>869</v>
      </c>
      <c r="R22" s="148" t="s">
        <v>878</v>
      </c>
      <c r="S22" s="148"/>
      <c r="T22" s="148" t="s">
        <v>898</v>
      </c>
      <c r="U22" s="148" t="s">
        <v>925</v>
      </c>
      <c r="V22" s="148" t="s">
        <v>939</v>
      </c>
      <c r="W22" s="148" t="s">
        <v>417</v>
      </c>
      <c r="X22" s="148" t="s">
        <v>956</v>
      </c>
      <c r="Y22" s="148"/>
      <c r="Z22" s="148" t="s">
        <v>443</v>
      </c>
      <c r="AA22" s="148" t="s">
        <v>462</v>
      </c>
      <c r="AB22" s="148" t="s">
        <v>992</v>
      </c>
      <c r="AC22" s="148"/>
      <c r="AD22" s="148" t="s">
        <v>763</v>
      </c>
      <c r="AE22" s="148" t="s">
        <v>536</v>
      </c>
      <c r="AF22" s="148"/>
      <c r="AG22" s="148" t="s">
        <v>1049</v>
      </c>
      <c r="AH22" s="148" t="s">
        <v>565</v>
      </c>
      <c r="AI22" s="148" t="s">
        <v>1065</v>
      </c>
      <c r="AJ22" s="148"/>
      <c r="AK22" s="148" t="s">
        <v>554</v>
      </c>
      <c r="AL22" s="148"/>
      <c r="AM22" s="148" t="s">
        <v>324</v>
      </c>
      <c r="AN22" s="148"/>
      <c r="AO22" s="148"/>
      <c r="AP22" s="148" t="s">
        <v>1113</v>
      </c>
      <c r="AQ22" s="148"/>
      <c r="AR22" s="148" t="s">
        <v>874</v>
      </c>
      <c r="AS22" s="148" t="s">
        <v>1145</v>
      </c>
      <c r="AT22" s="148" t="s">
        <v>1154</v>
      </c>
      <c r="AU22" s="148" t="s">
        <v>930</v>
      </c>
      <c r="AV22" s="148" t="s">
        <v>1188</v>
      </c>
    </row>
    <row r="23" spans="1:48" x14ac:dyDescent="0.25">
      <c r="A23" s="148" t="s">
        <v>690</v>
      </c>
      <c r="B23" s="148" t="s">
        <v>1173</v>
      </c>
      <c r="C23" s="148" t="s">
        <v>705</v>
      </c>
      <c r="D23" s="148"/>
      <c r="E23" s="148" t="s">
        <v>740</v>
      </c>
      <c r="F23" s="148" t="s">
        <v>755</v>
      </c>
      <c r="G23" s="148"/>
      <c r="H23" s="148" t="s">
        <v>230</v>
      </c>
      <c r="I23" s="234" t="s">
        <v>251</v>
      </c>
      <c r="J23" s="148" t="s">
        <v>260</v>
      </c>
      <c r="K23" s="148" t="s">
        <v>813</v>
      </c>
      <c r="L23" s="148" t="s">
        <v>291</v>
      </c>
      <c r="M23" s="148"/>
      <c r="N23" s="148"/>
      <c r="O23" s="148"/>
      <c r="P23" s="148" t="s">
        <v>862</v>
      </c>
      <c r="Q23" s="148" t="s">
        <v>352</v>
      </c>
      <c r="R23" s="148" t="s">
        <v>879</v>
      </c>
      <c r="S23" s="148"/>
      <c r="T23" s="148" t="s">
        <v>899</v>
      </c>
      <c r="U23" s="148" t="s">
        <v>926</v>
      </c>
      <c r="V23" s="148" t="s">
        <v>940</v>
      </c>
      <c r="W23" s="148" t="s">
        <v>418</v>
      </c>
      <c r="X23" s="148" t="s">
        <v>957</v>
      </c>
      <c r="Y23" s="148"/>
      <c r="Z23" s="148" t="s">
        <v>444</v>
      </c>
      <c r="AA23" s="148" t="s">
        <v>463</v>
      </c>
      <c r="AB23" s="148" t="s">
        <v>993</v>
      </c>
      <c r="AC23" s="148"/>
      <c r="AD23" s="148" t="s">
        <v>1010</v>
      </c>
      <c r="AE23" s="148" t="s">
        <v>537</v>
      </c>
      <c r="AF23" s="148"/>
      <c r="AG23" s="148" t="s">
        <v>1050</v>
      </c>
      <c r="AH23" s="148" t="s">
        <v>566</v>
      </c>
      <c r="AJ23" s="148"/>
      <c r="AK23" s="148" t="s">
        <v>383</v>
      </c>
      <c r="AL23" s="148"/>
      <c r="AM23" s="148" t="s">
        <v>325</v>
      </c>
      <c r="AN23" s="148"/>
      <c r="AO23" s="148"/>
      <c r="AP23" s="148" t="s">
        <v>634</v>
      </c>
      <c r="AQ23" s="148"/>
      <c r="AR23" s="148" t="s">
        <v>1127</v>
      </c>
      <c r="AS23" s="148" t="s">
        <v>1146</v>
      </c>
      <c r="AT23" s="148" t="s">
        <v>678</v>
      </c>
      <c r="AU23" s="148" t="s">
        <v>971</v>
      </c>
      <c r="AV23" s="148" t="s">
        <v>1176</v>
      </c>
    </row>
    <row r="24" spans="1:48" x14ac:dyDescent="0.25">
      <c r="A24" s="148" t="s">
        <v>691</v>
      </c>
      <c r="B24" s="148" t="s">
        <v>1174</v>
      </c>
      <c r="C24" s="148" t="s">
        <v>432</v>
      </c>
      <c r="D24" s="148"/>
      <c r="E24" s="148" t="s">
        <v>741</v>
      </c>
      <c r="F24" s="148" t="s">
        <v>757</v>
      </c>
      <c r="G24" s="148"/>
      <c r="H24" s="148" t="s">
        <v>231</v>
      </c>
      <c r="I24" s="234" t="s">
        <v>793</v>
      </c>
      <c r="J24" s="148" t="s">
        <v>262</v>
      </c>
      <c r="K24" s="148" t="s">
        <v>814</v>
      </c>
      <c r="L24" s="148" t="s">
        <v>292</v>
      </c>
      <c r="M24" s="148"/>
      <c r="N24" s="148"/>
      <c r="O24" s="148"/>
      <c r="P24" s="148" t="s">
        <v>863</v>
      </c>
      <c r="R24" s="148" t="s">
        <v>880</v>
      </c>
      <c r="S24" s="148"/>
      <c r="T24" s="148" t="s">
        <v>900</v>
      </c>
      <c r="U24" s="148"/>
      <c r="V24" s="148"/>
      <c r="W24" s="148" t="s">
        <v>419</v>
      </c>
      <c r="X24" s="148" t="s">
        <v>959</v>
      </c>
      <c r="Y24" s="148"/>
      <c r="Z24" s="148" t="s">
        <v>445</v>
      </c>
      <c r="AA24" s="148" t="s">
        <v>464</v>
      </c>
      <c r="AB24" s="148" t="s">
        <v>833</v>
      </c>
      <c r="AC24" s="148"/>
      <c r="AD24" s="148" t="s">
        <v>1011</v>
      </c>
      <c r="AE24" s="148" t="s">
        <v>538</v>
      </c>
      <c r="AF24" s="148"/>
      <c r="AG24" s="148" t="s">
        <v>1051</v>
      </c>
      <c r="AH24" s="148" t="s">
        <v>567</v>
      </c>
      <c r="AI24" s="148"/>
      <c r="AJ24" s="148"/>
      <c r="AK24" s="148" t="s">
        <v>1028</v>
      </c>
      <c r="AL24" s="148"/>
      <c r="AM24" s="148" t="s">
        <v>1085</v>
      </c>
      <c r="AN24" s="148"/>
      <c r="AO24" s="148"/>
      <c r="AP24" s="148" t="s">
        <v>1114</v>
      </c>
      <c r="AQ24" s="148"/>
      <c r="AR24" s="148" t="s">
        <v>652</v>
      </c>
      <c r="AU24" s="148" t="s">
        <v>971</v>
      </c>
      <c r="AV24" s="148" t="s">
        <v>1194</v>
      </c>
    </row>
    <row r="25" spans="1:48" x14ac:dyDescent="0.25">
      <c r="B25" s="148" t="s">
        <v>1175</v>
      </c>
      <c r="C25" s="148" t="s">
        <v>706</v>
      </c>
      <c r="D25" s="148"/>
      <c r="E25" s="148" t="s">
        <v>742</v>
      </c>
      <c r="F25" s="148" t="s">
        <v>214</v>
      </c>
      <c r="G25" s="148"/>
      <c r="H25" s="148" t="s">
        <v>232</v>
      </c>
      <c r="I25" s="234" t="s">
        <v>794</v>
      </c>
      <c r="J25" s="148" t="s">
        <v>261</v>
      </c>
      <c r="K25" s="148" t="s">
        <v>815</v>
      </c>
      <c r="L25" s="148" t="s">
        <v>231</v>
      </c>
      <c r="M25" s="148"/>
      <c r="N25" s="148"/>
      <c r="O25" s="148"/>
      <c r="P25" s="148" t="s">
        <v>315</v>
      </c>
      <c r="Q25" s="148"/>
      <c r="R25" s="148" t="s">
        <v>881</v>
      </c>
      <c r="S25" s="148"/>
      <c r="T25" s="148" t="s">
        <v>901</v>
      </c>
      <c r="U25" s="148"/>
      <c r="V25" s="148"/>
      <c r="W25" s="148" t="s">
        <v>941</v>
      </c>
      <c r="X25" s="148" t="s">
        <v>960</v>
      </c>
      <c r="Y25" s="148"/>
      <c r="Z25" s="148" t="s">
        <v>446</v>
      </c>
      <c r="AA25" s="148" t="s">
        <v>465</v>
      </c>
      <c r="AB25" s="148" t="s">
        <v>233</v>
      </c>
      <c r="AC25" s="148"/>
      <c r="AD25" s="148" t="s">
        <v>510</v>
      </c>
      <c r="AE25" s="148" t="s">
        <v>1025</v>
      </c>
      <c r="AF25" s="148"/>
      <c r="AG25" s="148" t="s">
        <v>1052</v>
      </c>
      <c r="AH25" s="148" t="s">
        <v>1060</v>
      </c>
      <c r="AI25" s="148"/>
      <c r="AJ25" s="148"/>
      <c r="AK25" s="148" t="s">
        <v>902</v>
      </c>
      <c r="AL25" s="148"/>
      <c r="AM25" s="148" t="s">
        <v>1086</v>
      </c>
      <c r="AN25" s="148"/>
      <c r="AO25" s="148"/>
      <c r="AP25" s="148" t="s">
        <v>1017</v>
      </c>
      <c r="AQ25" s="148"/>
      <c r="AR25" s="148" t="s">
        <v>1128</v>
      </c>
      <c r="AS25" s="148"/>
      <c r="AT25" s="148"/>
      <c r="AU25" s="148" t="s">
        <v>846</v>
      </c>
      <c r="AV25" s="148" t="s">
        <v>1164</v>
      </c>
    </row>
    <row r="26" spans="1:48" x14ac:dyDescent="0.25">
      <c r="B26" s="148" t="s">
        <v>1176</v>
      </c>
      <c r="C26" s="148" t="s">
        <v>326</v>
      </c>
      <c r="D26" s="148"/>
      <c r="E26" s="148" t="s">
        <v>743</v>
      </c>
      <c r="F26" s="148" t="s">
        <v>758</v>
      </c>
      <c r="G26" s="148"/>
      <c r="H26" s="148" t="s">
        <v>779</v>
      </c>
      <c r="I26" s="234" t="s">
        <v>795</v>
      </c>
      <c r="J26" s="148" t="s">
        <v>717</v>
      </c>
      <c r="K26" s="148" t="s">
        <v>816</v>
      </c>
      <c r="L26" s="148" t="s">
        <v>294</v>
      </c>
      <c r="M26" s="148"/>
      <c r="N26" s="148"/>
      <c r="O26" s="148"/>
      <c r="P26" s="148" t="s">
        <v>703</v>
      </c>
      <c r="Q26" s="148"/>
      <c r="R26" s="148" t="s">
        <v>882</v>
      </c>
      <c r="S26" s="148"/>
      <c r="T26" s="148" t="s">
        <v>902</v>
      </c>
      <c r="U26" s="148"/>
      <c r="V26" s="148"/>
      <c r="W26" s="148" t="s">
        <v>942</v>
      </c>
      <c r="X26" s="148" t="s">
        <v>961</v>
      </c>
      <c r="Y26" s="148"/>
      <c r="Z26" s="148" t="s">
        <v>447</v>
      </c>
      <c r="AA26" s="148" t="s">
        <v>466</v>
      </c>
      <c r="AB26" s="148" t="s">
        <v>487</v>
      </c>
      <c r="AC26" s="148"/>
      <c r="AD26" s="148" t="s">
        <v>512</v>
      </c>
      <c r="AE26" s="148" t="s">
        <v>1026</v>
      </c>
      <c r="AF26" s="148"/>
      <c r="AG26" s="148" t="s">
        <v>1053</v>
      </c>
      <c r="AH26" s="148"/>
      <c r="AI26" s="148"/>
      <c r="AJ26" s="148"/>
      <c r="AK26" s="148" t="s">
        <v>905</v>
      </c>
      <c r="AL26" s="148"/>
      <c r="AM26" s="148" t="s">
        <v>1087</v>
      </c>
      <c r="AN26" s="148"/>
      <c r="AO26" s="148"/>
      <c r="AP26" s="148" t="s">
        <v>519</v>
      </c>
      <c r="AQ26" s="148"/>
      <c r="AR26" s="148" t="s">
        <v>653</v>
      </c>
      <c r="AS26" s="148"/>
      <c r="AT26" s="148"/>
      <c r="AU26" s="148" t="s">
        <v>846</v>
      </c>
      <c r="AV26" s="148" t="s">
        <v>1171</v>
      </c>
    </row>
    <row r="27" spans="1:48" x14ac:dyDescent="0.25">
      <c r="B27" s="148" t="s">
        <v>1177</v>
      </c>
      <c r="C27" s="148" t="s">
        <v>707</v>
      </c>
      <c r="D27" s="148"/>
      <c r="E27" s="148" t="s">
        <v>744</v>
      </c>
      <c r="F27" s="148" t="s">
        <v>759</v>
      </c>
      <c r="G27" s="148"/>
      <c r="H27" s="148" t="s">
        <v>780</v>
      </c>
      <c r="I27" s="148"/>
      <c r="J27" s="148"/>
      <c r="K27" s="148" t="s">
        <v>514</v>
      </c>
      <c r="L27" s="148" t="s">
        <v>232</v>
      </c>
      <c r="M27" s="148"/>
      <c r="N27" s="148"/>
      <c r="O27" s="148"/>
      <c r="P27" s="148" t="s">
        <v>316</v>
      </c>
      <c r="Q27" s="148"/>
      <c r="R27" s="148" t="s">
        <v>364</v>
      </c>
      <c r="S27" s="148"/>
      <c r="T27" s="148" t="s">
        <v>903</v>
      </c>
      <c r="U27" s="148"/>
      <c r="V27" s="148"/>
      <c r="W27" s="148" t="s">
        <v>747</v>
      </c>
      <c r="X27" s="148" t="s">
        <v>962</v>
      </c>
      <c r="Y27" s="148"/>
      <c r="Z27" s="148" t="s">
        <v>448</v>
      </c>
      <c r="AA27" s="148" t="s">
        <v>467</v>
      </c>
      <c r="AB27" s="148" t="s">
        <v>995</v>
      </c>
      <c r="AC27" s="148"/>
      <c r="AD27" s="148" t="s">
        <v>513</v>
      </c>
      <c r="AE27" s="148" t="s">
        <v>1027</v>
      </c>
      <c r="AF27" s="148"/>
      <c r="AG27" s="148" t="s">
        <v>982</v>
      </c>
      <c r="AH27" s="148"/>
      <c r="AI27" s="148"/>
      <c r="AJ27" s="148"/>
      <c r="AK27" s="148" t="s">
        <v>1072</v>
      </c>
      <c r="AL27" s="148"/>
      <c r="AM27" s="148" t="s">
        <v>1088</v>
      </c>
      <c r="AN27" s="148"/>
      <c r="AO27" s="148"/>
      <c r="AP27" s="148" t="s">
        <v>521</v>
      </c>
      <c r="AQ27" s="148"/>
      <c r="AR27" s="148" t="s">
        <v>973</v>
      </c>
      <c r="AS27" s="148"/>
      <c r="AT27" s="148"/>
      <c r="AU27" s="148" t="s">
        <v>723</v>
      </c>
      <c r="AV27" s="148" t="s">
        <v>1156</v>
      </c>
    </row>
    <row r="28" spans="1:48" x14ac:dyDescent="0.25">
      <c r="B28" s="148" t="s">
        <v>1178</v>
      </c>
      <c r="C28" s="148" t="s">
        <v>329</v>
      </c>
      <c r="D28" s="148"/>
      <c r="E28" s="148" t="s">
        <v>745</v>
      </c>
      <c r="G28" s="148"/>
      <c r="H28" s="148" t="s">
        <v>781</v>
      </c>
      <c r="I28" s="148"/>
      <c r="J28" s="148"/>
      <c r="K28" s="148" t="s">
        <v>817</v>
      </c>
      <c r="L28" s="148" t="s">
        <v>293</v>
      </c>
      <c r="M28" s="148"/>
      <c r="N28" s="148"/>
      <c r="O28" s="148"/>
      <c r="P28" s="148" t="s">
        <v>170</v>
      </c>
      <c r="Q28" s="148"/>
      <c r="R28" s="148" t="s">
        <v>365</v>
      </c>
      <c r="S28" s="148"/>
      <c r="T28" s="148" t="s">
        <v>904</v>
      </c>
      <c r="U28" s="148"/>
      <c r="V28" s="148"/>
      <c r="W28" s="148" t="s">
        <v>944</v>
      </c>
      <c r="Y28" s="148"/>
      <c r="Z28" s="148" t="s">
        <v>450</v>
      </c>
      <c r="AA28" s="148" t="s">
        <v>468</v>
      </c>
      <c r="AB28" s="148" t="s">
        <v>837</v>
      </c>
      <c r="AC28" s="148"/>
      <c r="AD28" s="148" t="s">
        <v>515</v>
      </c>
      <c r="AE28" s="148" t="s">
        <v>1028</v>
      </c>
      <c r="AF28" s="148"/>
      <c r="AG28" s="148"/>
      <c r="AH28" s="148"/>
      <c r="AI28" s="148"/>
      <c r="AJ28" s="148"/>
      <c r="AK28" s="148" t="s">
        <v>592</v>
      </c>
      <c r="AL28" s="148"/>
      <c r="AM28" s="148" t="s">
        <v>609</v>
      </c>
      <c r="AN28" s="148"/>
      <c r="AO28" s="148"/>
      <c r="AP28" s="148" t="s">
        <v>522</v>
      </c>
      <c r="AQ28" s="148"/>
      <c r="AR28" s="148" t="s">
        <v>1129</v>
      </c>
      <c r="AS28" s="148"/>
      <c r="AT28" s="148"/>
      <c r="AU28" s="148" t="s">
        <v>723</v>
      </c>
      <c r="AV28" s="148" t="s">
        <v>1193</v>
      </c>
    </row>
    <row r="29" spans="1:48" x14ac:dyDescent="0.25">
      <c r="B29" s="148" t="s">
        <v>1179</v>
      </c>
      <c r="C29" s="148" t="s">
        <v>708</v>
      </c>
      <c r="D29" s="148"/>
      <c r="E29" s="148" t="s">
        <v>746</v>
      </c>
      <c r="F29" s="148"/>
      <c r="G29" s="148"/>
      <c r="H29" s="148" t="s">
        <v>233</v>
      </c>
      <c r="I29" s="148"/>
      <c r="J29" s="148"/>
      <c r="K29" s="148" t="s">
        <v>818</v>
      </c>
      <c r="L29" s="148" t="s">
        <v>831</v>
      </c>
      <c r="M29" s="148"/>
      <c r="N29" s="148"/>
      <c r="O29" s="148"/>
      <c r="P29" s="148" t="s">
        <v>317</v>
      </c>
      <c r="Q29" s="148"/>
      <c r="R29" s="148" t="s">
        <v>883</v>
      </c>
      <c r="S29" s="148"/>
      <c r="T29" s="148" t="s">
        <v>905</v>
      </c>
      <c r="U29" s="148"/>
      <c r="V29" s="148"/>
      <c r="W29" s="148" t="s">
        <v>945</v>
      </c>
      <c r="X29" s="148"/>
      <c r="Y29" s="148"/>
      <c r="Z29" s="148" t="s">
        <v>449</v>
      </c>
      <c r="AA29" s="148" t="s">
        <v>469</v>
      </c>
      <c r="AB29" s="148" t="s">
        <v>996</v>
      </c>
      <c r="AC29" s="148"/>
      <c r="AD29" s="148" t="s">
        <v>509</v>
      </c>
      <c r="AE29" s="148" t="s">
        <v>1029</v>
      </c>
      <c r="AF29" s="148"/>
      <c r="AG29" s="148"/>
      <c r="AH29" s="148"/>
      <c r="AI29" s="148"/>
      <c r="AJ29" s="148"/>
      <c r="AK29" s="148" t="s">
        <v>1035</v>
      </c>
      <c r="AL29" s="148"/>
      <c r="AM29" s="148" t="s">
        <v>608</v>
      </c>
      <c r="AN29" s="148"/>
      <c r="AO29" s="148"/>
      <c r="AP29" s="148" t="s">
        <v>1115</v>
      </c>
      <c r="AQ29" s="148"/>
      <c r="AR29" s="148" t="s">
        <v>1130</v>
      </c>
      <c r="AS29" s="148"/>
      <c r="AT29" s="148"/>
      <c r="AU29" s="148" t="s">
        <v>871</v>
      </c>
      <c r="AV29" s="148" t="s">
        <v>1168</v>
      </c>
    </row>
    <row r="30" spans="1:48" x14ac:dyDescent="0.25">
      <c r="B30" s="148" t="s">
        <v>1180</v>
      </c>
      <c r="C30" s="148" t="s">
        <v>709</v>
      </c>
      <c r="D30" s="148"/>
      <c r="E30" s="148" t="s">
        <v>747</v>
      </c>
      <c r="F30" s="148"/>
      <c r="G30" s="148"/>
      <c r="H30" s="148" t="s">
        <v>234</v>
      </c>
      <c r="I30" s="148"/>
      <c r="J30" s="148"/>
      <c r="K30" s="148" t="s">
        <v>819</v>
      </c>
      <c r="L30" s="148" t="s">
        <v>832</v>
      </c>
      <c r="M30" s="148"/>
      <c r="N30" s="148"/>
      <c r="O30" s="148"/>
      <c r="P30" s="148" t="s">
        <v>171</v>
      </c>
      <c r="Q30" s="148"/>
      <c r="R30" s="148" t="s">
        <v>884</v>
      </c>
      <c r="S30" s="148"/>
      <c r="T30" s="148" t="s">
        <v>906</v>
      </c>
      <c r="U30" s="148"/>
      <c r="V30" s="148"/>
      <c r="X30" s="148"/>
      <c r="Y30" s="148"/>
      <c r="Z30" s="148"/>
      <c r="AA30" s="148" t="s">
        <v>470</v>
      </c>
      <c r="AB30" s="148" t="s">
        <v>997</v>
      </c>
      <c r="AC30" s="148"/>
      <c r="AD30" s="148" t="s">
        <v>514</v>
      </c>
      <c r="AE30" s="148" t="s">
        <v>1030</v>
      </c>
      <c r="AF30" s="148"/>
      <c r="AG30" s="148"/>
      <c r="AH30" s="148"/>
      <c r="AI30" s="148"/>
      <c r="AJ30" s="148"/>
      <c r="AK30" s="148" t="s">
        <v>982</v>
      </c>
      <c r="AL30" s="148"/>
      <c r="AM30" s="148" t="s">
        <v>337</v>
      </c>
      <c r="AN30" s="148"/>
      <c r="AO30" s="148"/>
      <c r="AP30" s="148"/>
      <c r="AQ30" s="148"/>
      <c r="AR30" s="148" t="s">
        <v>1131</v>
      </c>
      <c r="AS30" s="148"/>
      <c r="AT30" s="148"/>
      <c r="AU30" s="148" t="s">
        <v>871</v>
      </c>
      <c r="AV30" s="148" t="s">
        <v>1187</v>
      </c>
    </row>
    <row r="31" spans="1:48" x14ac:dyDescent="0.25">
      <c r="B31" s="148" t="s">
        <v>1181</v>
      </c>
      <c r="C31" s="148" t="s">
        <v>174</v>
      </c>
      <c r="D31" s="148"/>
      <c r="E31" s="148" t="s">
        <v>197</v>
      </c>
      <c r="F31" s="148"/>
      <c r="G31" s="148"/>
      <c r="H31" s="148" t="s">
        <v>236</v>
      </c>
      <c r="I31" s="148"/>
      <c r="J31" s="148"/>
      <c r="K31" s="148" t="s">
        <v>274</v>
      </c>
      <c r="L31" s="148" t="s">
        <v>833</v>
      </c>
      <c r="M31" s="148"/>
      <c r="N31" s="148"/>
      <c r="O31" s="148"/>
      <c r="P31" s="148" t="s">
        <v>318</v>
      </c>
      <c r="Q31" s="148"/>
      <c r="R31" s="148" t="s">
        <v>886</v>
      </c>
      <c r="S31" s="148"/>
      <c r="T31" s="148" t="s">
        <v>907</v>
      </c>
      <c r="U31" s="148"/>
      <c r="V31" s="148"/>
      <c r="W31" s="148"/>
      <c r="X31" s="148"/>
      <c r="Y31" s="148"/>
      <c r="Z31" s="148"/>
      <c r="AA31" s="148" t="s">
        <v>471</v>
      </c>
      <c r="AC31" s="148"/>
      <c r="AD31" s="148" t="s">
        <v>1012</v>
      </c>
      <c r="AE31" s="148" t="s">
        <v>1031</v>
      </c>
      <c r="AF31" s="148"/>
      <c r="AG31" s="148"/>
      <c r="AH31" s="148"/>
      <c r="AI31" s="148"/>
      <c r="AJ31" s="148"/>
      <c r="AK31" s="148" t="s">
        <v>1074</v>
      </c>
      <c r="AL31" s="148"/>
      <c r="AM31" s="148" t="s">
        <v>1373</v>
      </c>
      <c r="AN31" s="148"/>
      <c r="AO31" s="148"/>
      <c r="AP31" s="148"/>
      <c r="AQ31" s="148"/>
      <c r="AR31" s="148" t="s">
        <v>881</v>
      </c>
      <c r="AS31" s="148"/>
      <c r="AT31" s="148"/>
      <c r="AU31" s="148" t="s">
        <v>871</v>
      </c>
      <c r="AV31" s="148" t="s">
        <v>1194</v>
      </c>
    </row>
    <row r="32" spans="1:48" x14ac:dyDescent="0.25">
      <c r="B32" s="148" t="s">
        <v>1182</v>
      </c>
      <c r="C32" s="148" t="s">
        <v>710</v>
      </c>
      <c r="D32" s="148"/>
      <c r="E32" s="148" t="s">
        <v>749</v>
      </c>
      <c r="F32" s="148"/>
      <c r="G32" s="148"/>
      <c r="H32" s="148" t="s">
        <v>783</v>
      </c>
      <c r="I32" s="148"/>
      <c r="J32" s="148"/>
      <c r="K32" s="148" t="s">
        <v>275</v>
      </c>
      <c r="L32" s="148" t="s">
        <v>834</v>
      </c>
      <c r="M32" s="148"/>
      <c r="N32" s="148"/>
      <c r="O32" s="148"/>
      <c r="P32" s="148" t="s">
        <v>319</v>
      </c>
      <c r="Q32" s="148"/>
      <c r="R32" s="148" t="s">
        <v>887</v>
      </c>
      <c r="S32" s="148"/>
      <c r="T32" s="148" t="s">
        <v>908</v>
      </c>
      <c r="U32" s="148"/>
      <c r="V32" s="148"/>
      <c r="W32" s="148"/>
      <c r="X32" s="148"/>
      <c r="Y32" s="148"/>
      <c r="Z32" s="148"/>
      <c r="AA32" s="148" t="s">
        <v>473</v>
      </c>
      <c r="AB32" s="148"/>
      <c r="AC32" s="148"/>
      <c r="AD32" s="148" t="s">
        <v>511</v>
      </c>
      <c r="AE32" s="148" t="s">
        <v>1032</v>
      </c>
      <c r="AF32" s="148"/>
      <c r="AG32" s="148"/>
      <c r="AH32" s="148"/>
      <c r="AI32" s="148"/>
      <c r="AJ32" s="148"/>
      <c r="AK32" s="148" t="s">
        <v>1037</v>
      </c>
      <c r="AL32" s="148"/>
      <c r="AM32" s="148"/>
      <c r="AN32" s="148"/>
      <c r="AO32" s="148"/>
      <c r="AP32" s="148"/>
      <c r="AQ32" s="148"/>
      <c r="AR32" s="148" t="s">
        <v>1132</v>
      </c>
      <c r="AS32" s="148"/>
      <c r="AT32" s="148"/>
      <c r="AU32" s="148" t="s">
        <v>1082</v>
      </c>
      <c r="AV32" s="148" t="s">
        <v>1188</v>
      </c>
    </row>
    <row r="33" spans="2:48" x14ac:dyDescent="0.25">
      <c r="B33" s="148" t="s">
        <v>1183</v>
      </c>
      <c r="C33" s="148" t="s">
        <v>711</v>
      </c>
      <c r="D33" s="148"/>
      <c r="E33" s="148" t="s">
        <v>750</v>
      </c>
      <c r="F33" s="148"/>
      <c r="G33" s="148"/>
      <c r="H33" s="148" t="s">
        <v>784</v>
      </c>
      <c r="I33" s="148"/>
      <c r="J33" s="148"/>
      <c r="K33" s="148" t="s">
        <v>276</v>
      </c>
      <c r="L33" s="148" t="s">
        <v>233</v>
      </c>
      <c r="M33" s="148"/>
      <c r="N33" s="148"/>
      <c r="O33" s="148"/>
      <c r="P33" s="148" t="s">
        <v>321</v>
      </c>
      <c r="Q33" s="148"/>
      <c r="R33" s="148" t="s">
        <v>888</v>
      </c>
      <c r="S33" s="148"/>
      <c r="T33" s="148" t="s">
        <v>909</v>
      </c>
      <c r="U33" s="148"/>
      <c r="V33" s="148"/>
      <c r="W33" s="148"/>
      <c r="X33" s="148"/>
      <c r="Y33" s="148"/>
      <c r="Z33" s="148"/>
      <c r="AA33" s="148" t="s">
        <v>472</v>
      </c>
      <c r="AB33" s="148"/>
      <c r="AC33" s="148"/>
      <c r="AD33" s="148" t="s">
        <v>1013</v>
      </c>
      <c r="AE33" s="148" t="s">
        <v>1033</v>
      </c>
      <c r="AF33" s="148"/>
      <c r="AG33" s="148"/>
      <c r="AH33" s="148"/>
      <c r="AI33" s="148"/>
      <c r="AJ33" s="148"/>
      <c r="AK33" s="148" t="s">
        <v>1075</v>
      </c>
      <c r="AL33" s="148"/>
      <c r="AM33" s="148"/>
      <c r="AN33" s="148"/>
      <c r="AO33" s="148"/>
      <c r="AP33" s="148"/>
      <c r="AQ33" s="148"/>
      <c r="AR33" s="148" t="s">
        <v>1133</v>
      </c>
      <c r="AS33" s="148"/>
      <c r="AT33" s="148"/>
      <c r="AU33" s="148" t="s">
        <v>1082</v>
      </c>
      <c r="AV33" s="148" t="s">
        <v>1194</v>
      </c>
    </row>
    <row r="34" spans="2:48" x14ac:dyDescent="0.25">
      <c r="B34" s="148" t="s">
        <v>1184</v>
      </c>
      <c r="C34" s="148" t="s">
        <v>176</v>
      </c>
      <c r="D34" s="148"/>
      <c r="F34" s="148"/>
      <c r="G34" s="148"/>
      <c r="H34" s="148" t="s">
        <v>235</v>
      </c>
      <c r="I34" s="148"/>
      <c r="J34" s="148"/>
      <c r="K34" s="148" t="s">
        <v>277</v>
      </c>
      <c r="L34" s="148" t="s">
        <v>836</v>
      </c>
      <c r="M34" s="148"/>
      <c r="N34" s="148"/>
      <c r="O34" s="148"/>
      <c r="P34" s="148" t="s">
        <v>322</v>
      </c>
      <c r="Q34" s="148"/>
      <c r="R34" s="148" t="s">
        <v>889</v>
      </c>
      <c r="S34" s="148"/>
      <c r="T34" s="148" t="s">
        <v>910</v>
      </c>
      <c r="U34" s="148"/>
      <c r="V34" s="148"/>
      <c r="W34" s="148"/>
      <c r="X34" s="148"/>
      <c r="Y34" s="148"/>
      <c r="Z34" s="148"/>
      <c r="AA34" s="148" t="s">
        <v>474</v>
      </c>
      <c r="AB34" s="148"/>
      <c r="AC34" s="148"/>
      <c r="AD34" s="148" t="s">
        <v>1014</v>
      </c>
      <c r="AE34" s="148" t="s">
        <v>1034</v>
      </c>
      <c r="AF34" s="148"/>
      <c r="AG34" s="148"/>
      <c r="AH34" s="148"/>
      <c r="AI34" s="148"/>
      <c r="AJ34" s="148"/>
      <c r="AL34" s="148"/>
      <c r="AM34" s="148"/>
      <c r="AN34" s="148"/>
      <c r="AO34" s="148"/>
      <c r="AP34" s="148"/>
      <c r="AQ34" s="148"/>
      <c r="AR34" s="148" t="s">
        <v>1134</v>
      </c>
      <c r="AS34" s="148"/>
      <c r="AT34" s="148"/>
      <c r="AU34" s="148" t="s">
        <v>522</v>
      </c>
      <c r="AV34" s="148" t="s">
        <v>1180</v>
      </c>
    </row>
    <row r="35" spans="2:48" x14ac:dyDescent="0.25">
      <c r="B35" s="148" t="s">
        <v>1185</v>
      </c>
      <c r="C35" s="148" t="s">
        <v>177</v>
      </c>
      <c r="D35" s="148"/>
      <c r="E35" s="148"/>
      <c r="F35" s="148"/>
      <c r="G35" s="148"/>
      <c r="H35" s="148" t="s">
        <v>785</v>
      </c>
      <c r="I35" s="148"/>
      <c r="J35" s="148"/>
      <c r="K35" s="148" t="s">
        <v>278</v>
      </c>
      <c r="L35" s="148" t="s">
        <v>837</v>
      </c>
      <c r="M35" s="148"/>
      <c r="N35" s="148"/>
      <c r="O35" s="148"/>
      <c r="P35" s="148" t="s">
        <v>320</v>
      </c>
      <c r="Q35" s="148"/>
      <c r="R35" s="148" t="s">
        <v>367</v>
      </c>
      <c r="S35" s="148"/>
      <c r="T35" s="148" t="s">
        <v>386</v>
      </c>
      <c r="U35" s="148"/>
      <c r="V35" s="148"/>
      <c r="W35" s="148"/>
      <c r="X35" s="148"/>
      <c r="Y35" s="148"/>
      <c r="Z35" s="148"/>
      <c r="AA35" s="148" t="s">
        <v>475</v>
      </c>
      <c r="AB35" s="148"/>
      <c r="AC35" s="148"/>
      <c r="AD35" s="148" t="s">
        <v>1015</v>
      </c>
      <c r="AE35" s="148" t="s">
        <v>1035</v>
      </c>
      <c r="AF35" s="148"/>
      <c r="AG35" s="148"/>
      <c r="AH35" s="148"/>
      <c r="AI35" s="148"/>
      <c r="AJ35" s="148"/>
      <c r="AK35" s="148"/>
      <c r="AL35" s="148"/>
      <c r="AM35" s="148"/>
      <c r="AN35" s="148"/>
      <c r="AO35" s="148"/>
      <c r="AP35" s="148"/>
      <c r="AQ35" s="148"/>
      <c r="AR35" s="148" t="s">
        <v>1135</v>
      </c>
      <c r="AS35" s="148"/>
      <c r="AT35" s="148"/>
      <c r="AU35" s="148" t="s">
        <v>522</v>
      </c>
      <c r="AV35" s="148" t="s">
        <v>1190</v>
      </c>
    </row>
    <row r="36" spans="2:48" x14ac:dyDescent="0.25">
      <c r="B36" s="148" t="s">
        <v>1186</v>
      </c>
      <c r="C36" s="148" t="s">
        <v>175</v>
      </c>
      <c r="D36" s="148"/>
      <c r="E36" s="148"/>
      <c r="F36" s="148"/>
      <c r="G36" s="148"/>
      <c r="H36" s="148" t="s">
        <v>1372</v>
      </c>
      <c r="I36" s="148"/>
      <c r="J36" s="148"/>
      <c r="K36" s="148" t="s">
        <v>821</v>
      </c>
      <c r="M36" s="148"/>
      <c r="N36" s="148"/>
      <c r="O36" s="148"/>
      <c r="P36" s="148" t="s">
        <v>339</v>
      </c>
      <c r="Q36" s="148"/>
      <c r="R36" s="148" t="s">
        <v>366</v>
      </c>
      <c r="S36" s="148"/>
      <c r="T36" s="148" t="s">
        <v>385</v>
      </c>
      <c r="U36" s="148"/>
      <c r="V36" s="148"/>
      <c r="W36" s="148"/>
      <c r="X36" s="148"/>
      <c r="Y36" s="148"/>
      <c r="Z36" s="148"/>
      <c r="AA36" s="148" t="s">
        <v>476</v>
      </c>
      <c r="AB36" s="148"/>
      <c r="AC36" s="148"/>
      <c r="AD36" s="148" t="s">
        <v>516</v>
      </c>
      <c r="AE36" s="148" t="s">
        <v>1036</v>
      </c>
      <c r="AF36" s="148"/>
      <c r="AG36" s="148"/>
      <c r="AH36" s="148"/>
      <c r="AI36" s="148"/>
      <c r="AJ36" s="148"/>
      <c r="AK36" s="148"/>
      <c r="AL36" s="148"/>
      <c r="AM36" s="148"/>
      <c r="AN36" s="148"/>
      <c r="AO36" s="148"/>
      <c r="AP36" s="148"/>
      <c r="AQ36" s="148"/>
      <c r="AR36" s="148" t="s">
        <v>886</v>
      </c>
      <c r="AS36" s="148"/>
      <c r="AT36" s="148"/>
      <c r="AU36" s="148" t="s">
        <v>486</v>
      </c>
      <c r="AV36" s="148" t="s">
        <v>1162</v>
      </c>
    </row>
    <row r="37" spans="2:48" x14ac:dyDescent="0.25">
      <c r="B37" s="148" t="s">
        <v>1195</v>
      </c>
      <c r="C37" s="148" t="s">
        <v>712</v>
      </c>
      <c r="D37" s="148"/>
      <c r="E37" s="148"/>
      <c r="F37" s="148"/>
      <c r="G37" s="148"/>
      <c r="H37" s="148" t="s">
        <v>786</v>
      </c>
      <c r="I37" s="148"/>
      <c r="J37" s="148"/>
      <c r="K37" s="148" t="s">
        <v>822</v>
      </c>
      <c r="L37" s="148"/>
      <c r="M37" s="148"/>
      <c r="N37" s="148"/>
      <c r="O37" s="148"/>
      <c r="P37" s="148" t="s">
        <v>338</v>
      </c>
      <c r="Q37" s="148"/>
      <c r="S37" s="148"/>
      <c r="T37" s="148" t="s">
        <v>911</v>
      </c>
      <c r="U37" s="148"/>
      <c r="V37" s="148"/>
      <c r="W37" s="148"/>
      <c r="X37" s="148"/>
      <c r="Y37" s="148"/>
      <c r="Z37" s="148"/>
      <c r="AA37" s="148" t="s">
        <v>477</v>
      </c>
      <c r="AB37" s="148"/>
      <c r="AC37" s="148"/>
      <c r="AD37" s="148" t="s">
        <v>517</v>
      </c>
      <c r="AE37" s="148" t="s">
        <v>1037</v>
      </c>
      <c r="AF37" s="148"/>
      <c r="AG37" s="148"/>
      <c r="AH37" s="148"/>
      <c r="AI37" s="148"/>
      <c r="AJ37" s="148"/>
      <c r="AK37" s="148"/>
      <c r="AL37" s="148"/>
      <c r="AM37" s="148"/>
      <c r="AN37" s="148"/>
      <c r="AO37" s="148"/>
      <c r="AP37" s="148"/>
      <c r="AQ37" s="148"/>
      <c r="AR37" s="148" t="s">
        <v>1136</v>
      </c>
      <c r="AS37" s="148"/>
      <c r="AT37" s="148"/>
      <c r="AU37" s="148" t="s">
        <v>486</v>
      </c>
      <c r="AV37" s="148" t="s">
        <v>1178</v>
      </c>
    </row>
    <row r="38" spans="2:48" x14ac:dyDescent="0.25">
      <c r="B38" s="148" t="s">
        <v>1187</v>
      </c>
      <c r="C38" s="148" t="s">
        <v>178</v>
      </c>
      <c r="D38" s="148"/>
      <c r="E38" s="148"/>
      <c r="F38" s="148"/>
      <c r="G38" s="148"/>
      <c r="H38" s="148"/>
      <c r="I38" s="148"/>
      <c r="J38" s="148"/>
      <c r="K38" s="148" t="s">
        <v>823</v>
      </c>
      <c r="L38" s="148"/>
      <c r="M38" s="148"/>
      <c r="N38" s="148"/>
      <c r="O38" s="148"/>
      <c r="P38" s="148" t="s">
        <v>323</v>
      </c>
      <c r="Q38" s="148"/>
      <c r="R38" s="148"/>
      <c r="S38" s="148"/>
      <c r="T38" s="148" t="s">
        <v>912</v>
      </c>
      <c r="U38" s="148"/>
      <c r="V38" s="148"/>
      <c r="W38" s="148"/>
      <c r="X38" s="148"/>
      <c r="Y38" s="148"/>
      <c r="Z38" s="148"/>
      <c r="AA38" s="148" t="s">
        <v>478</v>
      </c>
      <c r="AB38" s="148"/>
      <c r="AC38" s="148"/>
      <c r="AD38" s="148" t="s">
        <v>518</v>
      </c>
      <c r="AE38" s="148" t="s">
        <v>541</v>
      </c>
      <c r="AF38" s="148"/>
      <c r="AG38" s="148"/>
      <c r="AH38" s="148"/>
      <c r="AI38" s="148"/>
      <c r="AJ38" s="148"/>
      <c r="AK38" s="148"/>
      <c r="AL38" s="148"/>
      <c r="AM38" s="148"/>
      <c r="AN38" s="148"/>
      <c r="AO38" s="148"/>
      <c r="AP38" s="148"/>
      <c r="AQ38" s="148"/>
      <c r="AR38" s="148" t="s">
        <v>1005</v>
      </c>
      <c r="AS38" s="148"/>
      <c r="AT38" s="148"/>
      <c r="AU38" s="148" t="s">
        <v>917</v>
      </c>
      <c r="AV38" s="148" t="s">
        <v>1171</v>
      </c>
    </row>
    <row r="39" spans="2:48" x14ac:dyDescent="0.25">
      <c r="B39" s="148" t="s">
        <v>1188</v>
      </c>
      <c r="C39" s="148" t="s">
        <v>713</v>
      </c>
      <c r="D39" s="148"/>
      <c r="E39" s="148"/>
      <c r="F39" s="148"/>
      <c r="G39" s="148"/>
      <c r="H39" s="148"/>
      <c r="I39" s="148"/>
      <c r="J39" s="148"/>
      <c r="K39" s="148" t="s">
        <v>1275</v>
      </c>
      <c r="L39" s="148"/>
      <c r="M39" s="148"/>
      <c r="N39" s="148"/>
      <c r="O39" s="148"/>
      <c r="P39" s="148" t="s">
        <v>324</v>
      </c>
      <c r="Q39" s="148"/>
      <c r="R39" s="148"/>
      <c r="S39" s="148"/>
      <c r="T39" s="148" t="s">
        <v>913</v>
      </c>
      <c r="U39" s="148"/>
      <c r="V39" s="148"/>
      <c r="W39" s="148"/>
      <c r="X39" s="148"/>
      <c r="Y39" s="148"/>
      <c r="Z39" s="148"/>
      <c r="AA39" s="148" t="s">
        <v>979</v>
      </c>
      <c r="AB39" s="148"/>
      <c r="AC39" s="148"/>
      <c r="AD39" s="148" t="s">
        <v>1016</v>
      </c>
      <c r="AE39" s="148" t="s">
        <v>539</v>
      </c>
      <c r="AF39" s="148"/>
      <c r="AG39" s="148"/>
      <c r="AH39" s="148"/>
      <c r="AI39" s="148"/>
      <c r="AJ39" s="148"/>
      <c r="AK39" s="148"/>
      <c r="AL39" s="148"/>
      <c r="AM39" s="148"/>
      <c r="AN39" s="148"/>
      <c r="AO39" s="148"/>
      <c r="AP39" s="148"/>
      <c r="AQ39" s="148"/>
      <c r="AR39" s="148" t="s">
        <v>654</v>
      </c>
      <c r="AS39" s="148"/>
      <c r="AT39" s="148"/>
      <c r="AU39" s="148" t="s">
        <v>917</v>
      </c>
      <c r="AV39" s="148" t="s">
        <v>1182</v>
      </c>
    </row>
    <row r="40" spans="2:48" x14ac:dyDescent="0.25">
      <c r="B40" s="148" t="s">
        <v>1189</v>
      </c>
      <c r="C40" s="148" t="s">
        <v>714</v>
      </c>
      <c r="D40" s="148"/>
      <c r="E40" s="148"/>
      <c r="F40" s="148"/>
      <c r="G40" s="148"/>
      <c r="H40" s="148"/>
      <c r="I40" s="148"/>
      <c r="J40" s="148"/>
      <c r="K40" s="148" t="s">
        <v>824</v>
      </c>
      <c r="L40" s="148"/>
      <c r="M40" s="148"/>
      <c r="N40" s="148"/>
      <c r="O40" s="148"/>
      <c r="P40" s="148" t="s">
        <v>706</v>
      </c>
      <c r="Q40" s="148"/>
      <c r="R40" s="148"/>
      <c r="S40" s="148"/>
      <c r="T40" s="148" t="s">
        <v>914</v>
      </c>
      <c r="U40" s="148"/>
      <c r="V40" s="148"/>
      <c r="W40" s="148"/>
      <c r="X40" s="148"/>
      <c r="Y40" s="148"/>
      <c r="Z40" s="148"/>
      <c r="AA40" s="148" t="s">
        <v>980</v>
      </c>
      <c r="AB40" s="148"/>
      <c r="AC40" s="148"/>
      <c r="AD40" s="148" t="s">
        <v>1017</v>
      </c>
      <c r="AE40" s="148" t="s">
        <v>542</v>
      </c>
      <c r="AF40" s="148"/>
      <c r="AG40" s="148"/>
      <c r="AH40" s="148"/>
      <c r="AI40" s="148"/>
      <c r="AJ40" s="148"/>
      <c r="AK40" s="148"/>
      <c r="AL40" s="148"/>
      <c r="AM40" s="148"/>
      <c r="AN40" s="148"/>
      <c r="AO40" s="148"/>
      <c r="AP40" s="148"/>
      <c r="AQ40" s="148"/>
      <c r="AR40" s="148" t="s">
        <v>1137</v>
      </c>
      <c r="AS40" s="148"/>
      <c r="AT40" s="148"/>
      <c r="AU40" s="148" t="s">
        <v>355</v>
      </c>
      <c r="AV40" s="148" t="s">
        <v>1168</v>
      </c>
    </row>
    <row r="41" spans="2:48" x14ac:dyDescent="0.25">
      <c r="B41" s="148" t="s">
        <v>164</v>
      </c>
      <c r="C41" s="148" t="s">
        <v>715</v>
      </c>
      <c r="D41" s="148"/>
      <c r="E41" s="148"/>
      <c r="F41" s="148"/>
      <c r="G41" s="148"/>
      <c r="H41" s="148"/>
      <c r="I41" s="148"/>
      <c r="J41" s="148"/>
      <c r="K41" s="148" t="s">
        <v>825</v>
      </c>
      <c r="L41" s="148"/>
      <c r="M41" s="148"/>
      <c r="N41" s="148"/>
      <c r="O41" s="148"/>
      <c r="P41" s="148" t="s">
        <v>325</v>
      </c>
      <c r="Q41" s="148"/>
      <c r="R41" s="148"/>
      <c r="S41" s="148"/>
      <c r="T41" s="148" t="s">
        <v>915</v>
      </c>
      <c r="U41" s="148"/>
      <c r="V41" s="148"/>
      <c r="W41" s="148"/>
      <c r="X41" s="148"/>
      <c r="Y41" s="148"/>
      <c r="Z41" s="148"/>
      <c r="AA41" s="148" t="s">
        <v>479</v>
      </c>
      <c r="AB41" s="148"/>
      <c r="AC41" s="148"/>
      <c r="AD41" s="148" t="s">
        <v>519</v>
      </c>
      <c r="AE41" s="148" t="s">
        <v>540</v>
      </c>
      <c r="AF41" s="148"/>
      <c r="AG41" s="148"/>
      <c r="AH41" s="148"/>
      <c r="AI41" s="148"/>
      <c r="AJ41" s="148"/>
      <c r="AK41" s="148"/>
      <c r="AL41" s="148"/>
      <c r="AM41" s="148"/>
      <c r="AN41" s="148"/>
      <c r="AO41" s="148"/>
      <c r="AP41" s="148"/>
      <c r="AQ41" s="148"/>
      <c r="AR41" s="148" t="s">
        <v>655</v>
      </c>
      <c r="AS41" s="148"/>
      <c r="AT41" s="148"/>
      <c r="AU41" s="148" t="s">
        <v>355</v>
      </c>
      <c r="AV41" s="148" t="s">
        <v>1186</v>
      </c>
    </row>
    <row r="42" spans="2:48" x14ac:dyDescent="0.25">
      <c r="B42" s="148" t="s">
        <v>1190</v>
      </c>
      <c r="C42" s="148" t="s">
        <v>716</v>
      </c>
      <c r="D42" s="148"/>
      <c r="E42" s="148"/>
      <c r="F42" s="148"/>
      <c r="G42" s="148"/>
      <c r="H42" s="148"/>
      <c r="I42" s="148"/>
      <c r="J42" s="148"/>
      <c r="K42" s="148"/>
      <c r="L42" s="148"/>
      <c r="M42" s="148"/>
      <c r="N42" s="148"/>
      <c r="O42" s="148"/>
      <c r="P42" s="148" t="s">
        <v>326</v>
      </c>
      <c r="Q42" s="148"/>
      <c r="R42" s="148"/>
      <c r="S42" s="148"/>
      <c r="T42" s="148" t="s">
        <v>916</v>
      </c>
      <c r="U42" s="148"/>
      <c r="V42" s="148"/>
      <c r="W42" s="148"/>
      <c r="X42" s="148"/>
      <c r="Y42" s="148"/>
      <c r="Z42" s="148"/>
      <c r="AA42" s="148" t="s">
        <v>982</v>
      </c>
      <c r="AB42" s="148"/>
      <c r="AC42" s="148"/>
      <c r="AD42" s="148" t="s">
        <v>520</v>
      </c>
      <c r="AE42" s="148"/>
      <c r="AF42" s="148"/>
      <c r="AG42" s="148"/>
      <c r="AH42" s="148"/>
      <c r="AI42" s="148"/>
      <c r="AJ42" s="148"/>
      <c r="AK42" s="148"/>
      <c r="AL42" s="148"/>
      <c r="AM42" s="148"/>
      <c r="AN42" s="148"/>
      <c r="AO42" s="148"/>
      <c r="AP42" s="148"/>
      <c r="AQ42" s="148"/>
      <c r="AR42" s="148" t="s">
        <v>656</v>
      </c>
      <c r="AS42" s="148"/>
      <c r="AT42" s="148"/>
      <c r="AU42" s="148" t="s">
        <v>696</v>
      </c>
      <c r="AV42" s="148" t="s">
        <v>1155</v>
      </c>
    </row>
    <row r="43" spans="2:48" x14ac:dyDescent="0.25">
      <c r="B43" s="148" t="s">
        <v>1191</v>
      </c>
      <c r="C43" s="148" t="s">
        <v>717</v>
      </c>
      <c r="D43" s="148"/>
      <c r="E43" s="148"/>
      <c r="F43" s="148"/>
      <c r="G43" s="148"/>
      <c r="H43" s="148"/>
      <c r="I43" s="148"/>
      <c r="J43" s="148"/>
      <c r="K43" s="148"/>
      <c r="L43" s="148"/>
      <c r="M43" s="148"/>
      <c r="N43" s="148"/>
      <c r="O43" s="148"/>
      <c r="P43" s="148" t="s">
        <v>327</v>
      </c>
      <c r="Q43" s="148"/>
      <c r="R43" s="148"/>
      <c r="S43" s="148"/>
      <c r="T43" s="148"/>
      <c r="U43" s="148"/>
      <c r="V43" s="148"/>
      <c r="W43" s="148"/>
      <c r="X43" s="148"/>
      <c r="Y43" s="148"/>
      <c r="Z43" s="148"/>
      <c r="AA43" s="148" t="s">
        <v>983</v>
      </c>
      <c r="AB43" s="148"/>
      <c r="AC43" s="148"/>
      <c r="AD43" s="148" t="s">
        <v>1018</v>
      </c>
      <c r="AE43" s="148"/>
      <c r="AF43" s="148"/>
      <c r="AG43" s="148"/>
      <c r="AH43" s="148"/>
      <c r="AI43" s="148"/>
      <c r="AJ43" s="148"/>
      <c r="AK43" s="148"/>
      <c r="AL43" s="148"/>
      <c r="AM43" s="148"/>
      <c r="AN43" s="148"/>
      <c r="AO43" s="148"/>
      <c r="AP43" s="148"/>
      <c r="AQ43" s="148"/>
      <c r="AR43" s="148"/>
      <c r="AS43" s="148"/>
      <c r="AT43" s="148"/>
      <c r="AU43" s="148" t="s">
        <v>696</v>
      </c>
      <c r="AV43" s="148" t="s">
        <v>1160</v>
      </c>
    </row>
    <row r="44" spans="2:48" x14ac:dyDescent="0.25">
      <c r="B44" s="148" t="s">
        <v>1194</v>
      </c>
      <c r="C44" s="148"/>
      <c r="D44" s="148"/>
      <c r="E44" s="148"/>
      <c r="F44" s="148"/>
      <c r="G44" s="148"/>
      <c r="H44" s="148"/>
      <c r="I44" s="148"/>
      <c r="J44" s="148"/>
      <c r="K44" s="148"/>
      <c r="L44" s="148"/>
      <c r="M44" s="148"/>
      <c r="N44" s="148"/>
      <c r="O44" s="148"/>
      <c r="P44" s="148" t="s">
        <v>864</v>
      </c>
      <c r="Q44" s="148"/>
      <c r="R44" s="148"/>
      <c r="S44" s="148"/>
      <c r="T44" s="148"/>
      <c r="U44" s="148"/>
      <c r="V44" s="148"/>
      <c r="W44" s="148"/>
      <c r="X44" s="148"/>
      <c r="Y44" s="148"/>
      <c r="Z44" s="148"/>
      <c r="AA44" s="148"/>
      <c r="AB44" s="148"/>
      <c r="AC44" s="148"/>
      <c r="AD44" s="148" t="s">
        <v>521</v>
      </c>
      <c r="AE44" s="148"/>
      <c r="AF44" s="148"/>
      <c r="AG44" s="148"/>
      <c r="AH44" s="148"/>
      <c r="AI44" s="148"/>
      <c r="AJ44" s="148"/>
      <c r="AK44" s="148"/>
      <c r="AL44" s="148"/>
      <c r="AM44" s="148"/>
      <c r="AN44" s="148"/>
      <c r="AO44" s="148"/>
      <c r="AP44" s="148"/>
      <c r="AQ44" s="148"/>
      <c r="AR44" s="148"/>
      <c r="AS44" s="148"/>
      <c r="AT44" s="148"/>
      <c r="AU44" s="148" t="s">
        <v>696</v>
      </c>
      <c r="AV44" s="148" t="s">
        <v>1175</v>
      </c>
    </row>
    <row r="45" spans="2:48" x14ac:dyDescent="0.25">
      <c r="B45" s="148" t="s">
        <v>1192</v>
      </c>
      <c r="C45" s="148"/>
      <c r="D45" s="148"/>
      <c r="E45" s="148"/>
      <c r="F45" s="148"/>
      <c r="G45" s="148"/>
      <c r="H45" s="148"/>
      <c r="I45" s="148"/>
      <c r="J45" s="148"/>
      <c r="K45" s="148"/>
      <c r="L45" s="148"/>
      <c r="M45" s="148"/>
      <c r="N45" s="148"/>
      <c r="O45" s="148"/>
      <c r="P45" s="148" t="s">
        <v>328</v>
      </c>
      <c r="Q45" s="148"/>
      <c r="R45" s="148"/>
      <c r="S45" s="148"/>
      <c r="T45" s="148"/>
      <c r="U45" s="148"/>
      <c r="V45" s="148"/>
      <c r="W45" s="148"/>
      <c r="X45" s="148"/>
      <c r="Y45" s="148"/>
      <c r="Z45" s="148"/>
      <c r="AA45" s="148"/>
      <c r="AB45" s="148"/>
      <c r="AC45" s="148"/>
      <c r="AD45" s="148" t="s">
        <v>1253</v>
      </c>
      <c r="AE45" s="148"/>
      <c r="AF45" s="148"/>
      <c r="AG45" s="148"/>
      <c r="AH45" s="148"/>
      <c r="AI45" s="148"/>
      <c r="AJ45" s="148"/>
      <c r="AK45" s="148"/>
      <c r="AL45" s="148"/>
      <c r="AM45" s="148"/>
      <c r="AN45" s="148"/>
      <c r="AO45" s="148"/>
      <c r="AP45" s="148"/>
      <c r="AQ45" s="148"/>
      <c r="AR45" s="148"/>
      <c r="AS45" s="148"/>
      <c r="AT45" s="148"/>
      <c r="AU45" s="148" t="s">
        <v>551</v>
      </c>
      <c r="AV45" s="148" t="s">
        <v>1177</v>
      </c>
    </row>
    <row r="46" spans="2:48" x14ac:dyDescent="0.25">
      <c r="B46" s="148" t="s">
        <v>1193</v>
      </c>
      <c r="C46" s="148"/>
      <c r="D46" s="148"/>
      <c r="E46" s="148"/>
      <c r="F46" s="148"/>
      <c r="G46" s="148"/>
      <c r="H46" s="148"/>
      <c r="I46" s="148"/>
      <c r="J46" s="148"/>
      <c r="K46" s="148"/>
      <c r="L46" s="148"/>
      <c r="M46" s="148"/>
      <c r="N46" s="148"/>
      <c r="O46" s="148"/>
      <c r="P46" s="148" t="s">
        <v>329</v>
      </c>
      <c r="Q46" s="148"/>
      <c r="R46" s="148"/>
      <c r="S46" s="148"/>
      <c r="T46" s="148"/>
      <c r="U46" s="148"/>
      <c r="V46" s="148"/>
      <c r="W46" s="148"/>
      <c r="X46" s="148"/>
      <c r="Y46" s="148"/>
      <c r="Z46" s="148"/>
      <c r="AA46" s="148"/>
      <c r="AB46" s="148"/>
      <c r="AC46" s="148"/>
      <c r="AD46" s="148" t="s">
        <v>522</v>
      </c>
      <c r="AE46" s="148"/>
      <c r="AF46" s="148"/>
      <c r="AG46" s="148"/>
      <c r="AH46" s="148"/>
      <c r="AI46" s="148"/>
      <c r="AJ46" s="148"/>
      <c r="AK46" s="148"/>
      <c r="AL46" s="148"/>
      <c r="AM46" s="148"/>
      <c r="AN46" s="148"/>
      <c r="AO46" s="148"/>
      <c r="AP46" s="148"/>
      <c r="AQ46" s="148"/>
      <c r="AR46" s="148"/>
      <c r="AS46" s="148"/>
      <c r="AT46" s="148"/>
      <c r="AU46" s="148" t="s">
        <v>551</v>
      </c>
      <c r="AV46" s="148" t="s">
        <v>1183</v>
      </c>
    </row>
    <row r="47" spans="2:48" x14ac:dyDescent="0.25">
      <c r="P47" t="s">
        <v>330</v>
      </c>
      <c r="AD47" s="148" t="s">
        <v>523</v>
      </c>
      <c r="AU47" s="148" t="s">
        <v>190</v>
      </c>
      <c r="AV47" s="148" t="s">
        <v>1157</v>
      </c>
    </row>
    <row r="48" spans="2:48" x14ac:dyDescent="0.25">
      <c r="P48" t="s">
        <v>331</v>
      </c>
      <c r="AD48" s="148" t="s">
        <v>1375</v>
      </c>
      <c r="AU48" s="148" t="s">
        <v>190</v>
      </c>
      <c r="AV48" s="148" t="s">
        <v>164</v>
      </c>
    </row>
    <row r="49" spans="16:48" x14ac:dyDescent="0.25">
      <c r="P49" t="s">
        <v>174</v>
      </c>
      <c r="AD49" s="148" t="s">
        <v>1019</v>
      </c>
      <c r="AU49" s="148" t="s">
        <v>283</v>
      </c>
      <c r="AV49" s="148" t="s">
        <v>1162</v>
      </c>
    </row>
    <row r="50" spans="16:48" x14ac:dyDescent="0.25">
      <c r="P50" t="s">
        <v>332</v>
      </c>
      <c r="AU50" s="148" t="s">
        <v>283</v>
      </c>
      <c r="AV50" s="148" t="s">
        <v>1178</v>
      </c>
    </row>
    <row r="51" spans="16:48" x14ac:dyDescent="0.25">
      <c r="P51" t="s">
        <v>334</v>
      </c>
      <c r="AU51" s="148" t="s">
        <v>313</v>
      </c>
      <c r="AV51" s="148" t="s">
        <v>1155</v>
      </c>
    </row>
    <row r="52" spans="16:48" x14ac:dyDescent="0.25">
      <c r="P52" t="s">
        <v>335</v>
      </c>
      <c r="AU52" s="148" t="s">
        <v>313</v>
      </c>
      <c r="AV52" s="148" t="s">
        <v>1166</v>
      </c>
    </row>
    <row r="53" spans="16:48" x14ac:dyDescent="0.25">
      <c r="P53" t="s">
        <v>336</v>
      </c>
      <c r="AU53" s="148" t="s">
        <v>711</v>
      </c>
      <c r="AV53" s="148" t="s">
        <v>1155</v>
      </c>
    </row>
    <row r="54" spans="16:48" x14ac:dyDescent="0.25">
      <c r="P54" t="s">
        <v>333</v>
      </c>
      <c r="AU54" s="148" t="s">
        <v>711</v>
      </c>
      <c r="AV54" s="148" t="s">
        <v>1166</v>
      </c>
    </row>
    <row r="55" spans="16:48" x14ac:dyDescent="0.25">
      <c r="P55" t="s">
        <v>711</v>
      </c>
      <c r="AU55" s="148" t="s">
        <v>1017</v>
      </c>
      <c r="AV55" s="148" t="s">
        <v>1180</v>
      </c>
    </row>
    <row r="56" spans="16:48" x14ac:dyDescent="0.25">
      <c r="P56" t="s">
        <v>176</v>
      </c>
      <c r="AU56" s="148" t="s">
        <v>1017</v>
      </c>
      <c r="AV56" s="148" t="s">
        <v>1190</v>
      </c>
    </row>
    <row r="57" spans="16:48" x14ac:dyDescent="0.25">
      <c r="P57" t="s">
        <v>1262</v>
      </c>
      <c r="AU57" s="148" t="s">
        <v>519</v>
      </c>
      <c r="AV57" s="148" t="s">
        <v>1180</v>
      </c>
    </row>
    <row r="58" spans="16:48" x14ac:dyDescent="0.25">
      <c r="P58" t="s">
        <v>337</v>
      </c>
      <c r="AU58" s="148" t="s">
        <v>519</v>
      </c>
      <c r="AV58" s="148" t="s">
        <v>1190</v>
      </c>
    </row>
    <row r="59" spans="16:48" x14ac:dyDescent="0.25">
      <c r="P59" t="s">
        <v>1373</v>
      </c>
      <c r="AU59" s="148" t="s">
        <v>975</v>
      </c>
      <c r="AV59" s="148" t="s">
        <v>1177</v>
      </c>
    </row>
    <row r="60" spans="16:48" x14ac:dyDescent="0.25">
      <c r="P60" t="s">
        <v>865</v>
      </c>
      <c r="AU60" s="148" t="s">
        <v>975</v>
      </c>
      <c r="AV60" s="148" t="s">
        <v>1183</v>
      </c>
    </row>
    <row r="61" spans="16:48" x14ac:dyDescent="0.25">
      <c r="P61" t="s">
        <v>866</v>
      </c>
      <c r="AU61" s="148" t="s">
        <v>1045</v>
      </c>
      <c r="AV61" s="148" t="s">
        <v>1183</v>
      </c>
    </row>
    <row r="62" spans="16:48" x14ac:dyDescent="0.25">
      <c r="P62" t="s">
        <v>340</v>
      </c>
      <c r="AU62" s="148" t="s">
        <v>1045</v>
      </c>
      <c r="AV62" s="148" t="s">
        <v>1195</v>
      </c>
    </row>
    <row r="63" spans="16:48" x14ac:dyDescent="0.25">
      <c r="P63" t="s">
        <v>714</v>
      </c>
      <c r="AU63" s="148" t="s">
        <v>747</v>
      </c>
      <c r="AV63" s="148" t="s">
        <v>1157</v>
      </c>
    </row>
    <row r="64" spans="16:48" x14ac:dyDescent="0.25">
      <c r="AU64" s="148" t="s">
        <v>747</v>
      </c>
      <c r="AV64" s="148" t="s">
        <v>1173</v>
      </c>
    </row>
    <row r="65" spans="47:48" x14ac:dyDescent="0.25">
      <c r="AU65" s="148" t="s">
        <v>894</v>
      </c>
      <c r="AV65" s="148" t="s">
        <v>1170</v>
      </c>
    </row>
    <row r="66" spans="47:48" x14ac:dyDescent="0.25">
      <c r="AU66" s="148" t="s">
        <v>894</v>
      </c>
      <c r="AV66" s="148" t="s">
        <v>1181</v>
      </c>
    </row>
    <row r="67" spans="47:48" x14ac:dyDescent="0.25">
      <c r="AU67" s="148" t="s">
        <v>432</v>
      </c>
      <c r="AV67" s="148" t="s">
        <v>1155</v>
      </c>
    </row>
    <row r="68" spans="47:48" x14ac:dyDescent="0.25">
      <c r="AU68" s="148" t="s">
        <v>432</v>
      </c>
      <c r="AV68" s="148" t="s">
        <v>1160</v>
      </c>
    </row>
    <row r="69" spans="47:48" x14ac:dyDescent="0.25">
      <c r="AU69" s="148" t="s">
        <v>432</v>
      </c>
      <c r="AV69" s="148" t="s">
        <v>1175</v>
      </c>
    </row>
    <row r="70" spans="47:48" x14ac:dyDescent="0.25">
      <c r="AU70" s="148" t="s">
        <v>799</v>
      </c>
      <c r="AV70" s="148" t="s">
        <v>1160</v>
      </c>
    </row>
    <row r="71" spans="47:48" x14ac:dyDescent="0.25">
      <c r="AU71" s="148" t="s">
        <v>799</v>
      </c>
      <c r="AV71" s="148" t="s">
        <v>1175</v>
      </c>
    </row>
    <row r="72" spans="47:48" x14ac:dyDescent="0.25">
      <c r="AU72" s="148" t="s">
        <v>703</v>
      </c>
      <c r="AV72" s="148" t="s">
        <v>1155</v>
      </c>
    </row>
    <row r="73" spans="47:48" x14ac:dyDescent="0.25">
      <c r="AU73" s="148" t="s">
        <v>703</v>
      </c>
      <c r="AV73" s="148" t="s">
        <v>1166</v>
      </c>
    </row>
    <row r="74" spans="47:48" x14ac:dyDescent="0.25">
      <c r="AU74" s="148" t="s">
        <v>632</v>
      </c>
      <c r="AV74" s="148" t="s">
        <v>1158</v>
      </c>
    </row>
    <row r="75" spans="47:48" x14ac:dyDescent="0.25">
      <c r="AU75" s="148" t="s">
        <v>632</v>
      </c>
      <c r="AV75" s="148" t="s">
        <v>1190</v>
      </c>
    </row>
    <row r="76" spans="47:48" x14ac:dyDescent="0.25">
      <c r="AU76" s="148" t="s">
        <v>233</v>
      </c>
      <c r="AV76" s="148" t="s">
        <v>1159</v>
      </c>
    </row>
    <row r="77" spans="47:48" x14ac:dyDescent="0.25">
      <c r="AU77" s="148" t="s">
        <v>233</v>
      </c>
      <c r="AV77" s="148" t="s">
        <v>1162</v>
      </c>
    </row>
    <row r="78" spans="47:48" x14ac:dyDescent="0.25">
      <c r="AU78" s="148" t="s">
        <v>233</v>
      </c>
      <c r="AV78" s="148" t="s">
        <v>1178</v>
      </c>
    </row>
    <row r="79" spans="47:48" x14ac:dyDescent="0.25">
      <c r="AU79" s="148" t="s">
        <v>233</v>
      </c>
      <c r="AV79" s="148" t="s">
        <v>1185</v>
      </c>
    </row>
    <row r="80" spans="47:48" x14ac:dyDescent="0.25">
      <c r="AU80" s="148" t="s">
        <v>174</v>
      </c>
      <c r="AV80" s="148" t="s">
        <v>1155</v>
      </c>
    </row>
    <row r="81" spans="47:48" x14ac:dyDescent="0.25">
      <c r="AU81" s="148" t="s">
        <v>174</v>
      </c>
      <c r="AV81" s="148" t="s">
        <v>1166</v>
      </c>
    </row>
    <row r="82" spans="47:48" x14ac:dyDescent="0.25">
      <c r="AU82" s="148" t="s">
        <v>181</v>
      </c>
      <c r="AV82" s="148" t="s">
        <v>1156</v>
      </c>
    </row>
    <row r="83" spans="47:48" x14ac:dyDescent="0.25">
      <c r="AU83" s="148" t="s">
        <v>181</v>
      </c>
      <c r="AV83" s="148" t="s">
        <v>1193</v>
      </c>
    </row>
    <row r="84" spans="47:48" x14ac:dyDescent="0.25">
      <c r="AU84" s="148" t="s">
        <v>288</v>
      </c>
      <c r="AV84" s="148" t="s">
        <v>1162</v>
      </c>
    </row>
    <row r="85" spans="47:48" x14ac:dyDescent="0.25">
      <c r="AU85" s="148" t="s">
        <v>288</v>
      </c>
      <c r="AV85" s="148" t="s">
        <v>1167</v>
      </c>
    </row>
    <row r="86" spans="47:48" x14ac:dyDescent="0.25">
      <c r="AU86" s="148" t="s">
        <v>946</v>
      </c>
      <c r="AV86" s="148" t="s">
        <v>1174</v>
      </c>
    </row>
    <row r="87" spans="47:48" x14ac:dyDescent="0.25">
      <c r="AU87" s="148" t="s">
        <v>946</v>
      </c>
      <c r="AV87" s="148" t="s">
        <v>1185</v>
      </c>
    </row>
    <row r="88" spans="47:48" x14ac:dyDescent="0.25">
      <c r="AU88" s="148" t="s">
        <v>534</v>
      </c>
      <c r="AV88" s="148" t="s">
        <v>1181</v>
      </c>
    </row>
    <row r="89" spans="47:48" x14ac:dyDescent="0.25">
      <c r="AU89" s="148" t="s">
        <v>534</v>
      </c>
      <c r="AV89" s="148" t="s">
        <v>1195</v>
      </c>
    </row>
    <row r="90" spans="47:48" x14ac:dyDescent="0.25">
      <c r="AU90" s="148" t="s">
        <v>1028</v>
      </c>
      <c r="AV90" s="148" t="s">
        <v>1181</v>
      </c>
    </row>
    <row r="91" spans="47:48" x14ac:dyDescent="0.25">
      <c r="AU91" s="148" t="s">
        <v>1028</v>
      </c>
      <c r="AV91" s="148" t="s">
        <v>1195</v>
      </c>
    </row>
    <row r="92" spans="47:48" x14ac:dyDescent="0.25">
      <c r="AU92" s="148" t="s">
        <v>1021</v>
      </c>
      <c r="AV92" s="148" t="s">
        <v>1181</v>
      </c>
    </row>
    <row r="93" spans="47:48" x14ac:dyDescent="0.25">
      <c r="AU93" s="148" t="s">
        <v>1021</v>
      </c>
      <c r="AV93" s="148" t="s">
        <v>1195</v>
      </c>
    </row>
    <row r="94" spans="47:48" x14ac:dyDescent="0.25">
      <c r="AU94" s="148" t="s">
        <v>927</v>
      </c>
      <c r="AV94" s="148" t="s">
        <v>1172</v>
      </c>
    </row>
    <row r="95" spans="47:48" x14ac:dyDescent="0.25">
      <c r="AU95" s="148" t="s">
        <v>927</v>
      </c>
      <c r="AV95" s="148" t="s">
        <v>1188</v>
      </c>
    </row>
    <row r="96" spans="47:48" x14ac:dyDescent="0.25">
      <c r="AU96" s="148" t="s">
        <v>967</v>
      </c>
      <c r="AV96" s="148" t="s">
        <v>1176</v>
      </c>
    </row>
    <row r="97" spans="47:48" x14ac:dyDescent="0.25">
      <c r="AU97" s="148" t="s">
        <v>967</v>
      </c>
      <c r="AV97" s="148" t="s">
        <v>1184</v>
      </c>
    </row>
    <row r="98" spans="47:48" x14ac:dyDescent="0.25">
      <c r="AU98" s="148" t="s">
        <v>736</v>
      </c>
      <c r="AV98" s="148" t="s">
        <v>1157</v>
      </c>
    </row>
    <row r="99" spans="47:48" x14ac:dyDescent="0.25">
      <c r="AU99" s="148" t="s">
        <v>736</v>
      </c>
      <c r="AV99" s="148" t="s">
        <v>1167</v>
      </c>
    </row>
    <row r="100" spans="47:48" x14ac:dyDescent="0.25">
      <c r="AU100" s="148" t="s">
        <v>736</v>
      </c>
      <c r="AV100" s="148" t="s">
        <v>1173</v>
      </c>
    </row>
    <row r="101" spans="47:48" x14ac:dyDescent="0.25">
      <c r="AU101" s="148" t="s">
        <v>931</v>
      </c>
      <c r="AV101" s="148" t="s">
        <v>1172</v>
      </c>
    </row>
    <row r="102" spans="47:48" x14ac:dyDescent="0.25">
      <c r="AU102" s="148" t="s">
        <v>931</v>
      </c>
      <c r="AV102" s="148" t="s">
        <v>1188</v>
      </c>
    </row>
    <row r="103" spans="47:48" x14ac:dyDescent="0.25">
      <c r="AU103" s="148" t="s">
        <v>973</v>
      </c>
      <c r="AV103" s="148" t="s">
        <v>1176</v>
      </c>
    </row>
    <row r="104" spans="47:48" x14ac:dyDescent="0.25">
      <c r="AU104" s="148" t="s">
        <v>973</v>
      </c>
      <c r="AV104" s="148" t="s">
        <v>1194</v>
      </c>
    </row>
    <row r="105" spans="47:48" x14ac:dyDescent="0.25">
      <c r="AU105" s="148" t="s">
        <v>969</v>
      </c>
      <c r="AV105" s="148" t="s">
        <v>1176</v>
      </c>
    </row>
    <row r="106" spans="47:48" x14ac:dyDescent="0.25">
      <c r="AU106" s="148" t="s">
        <v>969</v>
      </c>
      <c r="AV106" s="148" t="s">
        <v>1194</v>
      </c>
    </row>
    <row r="107" spans="47:48" x14ac:dyDescent="0.25">
      <c r="AU107" s="148" t="s">
        <v>954</v>
      </c>
      <c r="AV107" s="148" t="s">
        <v>1174</v>
      </c>
    </row>
    <row r="108" spans="47:48" x14ac:dyDescent="0.25">
      <c r="AU108" s="148" t="s">
        <v>954</v>
      </c>
      <c r="AV108" s="148" t="s">
        <v>1178</v>
      </c>
    </row>
    <row r="109" spans="47:48" x14ac:dyDescent="0.25">
      <c r="AU109" s="148" t="s">
        <v>977</v>
      </c>
      <c r="AV109" s="148" t="s">
        <v>1177</v>
      </c>
    </row>
    <row r="110" spans="47:48" x14ac:dyDescent="0.25">
      <c r="AU110" s="148" t="s">
        <v>977</v>
      </c>
      <c r="AV110" s="148" t="s">
        <v>1183</v>
      </c>
    </row>
    <row r="111" spans="47:48" x14ac:dyDescent="0.25">
      <c r="AU111" s="148" t="s">
        <v>977</v>
      </c>
      <c r="AV111" s="148" t="s">
        <v>1195</v>
      </c>
    </row>
    <row r="112" spans="47:48" x14ac:dyDescent="0.25">
      <c r="AU112" s="148" t="s">
        <v>324</v>
      </c>
      <c r="AV112" s="148" t="s">
        <v>1166</v>
      </c>
    </row>
    <row r="113" spans="47:48" x14ac:dyDescent="0.25">
      <c r="AU113" s="148" t="s">
        <v>324</v>
      </c>
      <c r="AV113" s="148" t="s">
        <v>1188</v>
      </c>
    </row>
    <row r="114" spans="47:48" x14ac:dyDescent="0.25">
      <c r="AU114" s="148" t="s">
        <v>1373</v>
      </c>
      <c r="AV114" s="148" t="s">
        <v>1166</v>
      </c>
    </row>
    <row r="115" spans="47:48" x14ac:dyDescent="0.25">
      <c r="AU115" s="148" t="s">
        <v>1373</v>
      </c>
      <c r="AV115" s="148" t="s">
        <v>1188</v>
      </c>
    </row>
    <row r="116" spans="47:48" x14ac:dyDescent="0.25">
      <c r="AU116" s="148" t="s">
        <v>863</v>
      </c>
      <c r="AV116" s="148" t="s">
        <v>1166</v>
      </c>
    </row>
    <row r="117" spans="47:48" x14ac:dyDescent="0.25">
      <c r="AU117" s="148" t="s">
        <v>863</v>
      </c>
      <c r="AV117" s="148" t="s">
        <v>1188</v>
      </c>
    </row>
    <row r="118" spans="47:48" x14ac:dyDescent="0.25">
      <c r="AU118" s="148" t="s">
        <v>1037</v>
      </c>
      <c r="AV118" s="148" t="s">
        <v>1181</v>
      </c>
    </row>
    <row r="119" spans="47:48" x14ac:dyDescent="0.25">
      <c r="AU119" s="148" t="s">
        <v>1037</v>
      </c>
      <c r="AV119" s="148" t="s">
        <v>1195</v>
      </c>
    </row>
    <row r="120" spans="47:48" x14ac:dyDescent="0.25">
      <c r="AU120" s="148" t="s">
        <v>837</v>
      </c>
      <c r="AV120" s="148" t="s">
        <v>1162</v>
      </c>
    </row>
    <row r="121" spans="47:48" x14ac:dyDescent="0.25">
      <c r="AU121" s="148" t="s">
        <v>837</v>
      </c>
      <c r="AV121" s="148" t="s">
        <v>1178</v>
      </c>
    </row>
    <row r="122" spans="47:48" x14ac:dyDescent="0.25">
      <c r="AU122" s="148" t="s">
        <v>833</v>
      </c>
      <c r="AV122" s="148" t="s">
        <v>1162</v>
      </c>
    </row>
    <row r="123" spans="47:48" x14ac:dyDescent="0.25">
      <c r="AU123" s="148" t="s">
        <v>833</v>
      </c>
      <c r="AV123" s="148" t="s">
        <v>1178</v>
      </c>
    </row>
    <row r="124" spans="47:48" x14ac:dyDescent="0.25">
      <c r="AU124" s="148" t="s">
        <v>833</v>
      </c>
      <c r="AV124" s="148" t="s">
        <v>1185</v>
      </c>
    </row>
    <row r="125" spans="47:48" x14ac:dyDescent="0.25">
      <c r="AU125" s="148" t="s">
        <v>984</v>
      </c>
      <c r="AV125" s="148" t="s">
        <v>1178</v>
      </c>
    </row>
    <row r="126" spans="47:48" x14ac:dyDescent="0.25">
      <c r="AU126" s="148" t="s">
        <v>984</v>
      </c>
      <c r="AV126" s="148" t="s">
        <v>1185</v>
      </c>
    </row>
    <row r="127" spans="47:48" x14ac:dyDescent="0.25">
      <c r="AU127" s="148" t="s">
        <v>970</v>
      </c>
      <c r="AV127" s="148" t="s">
        <v>1176</v>
      </c>
    </row>
    <row r="128" spans="47:48" x14ac:dyDescent="0.25">
      <c r="AU128" s="148" t="s">
        <v>970</v>
      </c>
      <c r="AV128" s="148" t="s">
        <v>1179</v>
      </c>
    </row>
    <row r="129" spans="47:48" x14ac:dyDescent="0.25">
      <c r="AU129" s="148" t="s">
        <v>970</v>
      </c>
      <c r="AV129" s="148" t="s">
        <v>1184</v>
      </c>
    </row>
    <row r="130" spans="47:48" x14ac:dyDescent="0.25">
      <c r="AU130" s="148" t="s">
        <v>463</v>
      </c>
      <c r="AV130" s="148" t="s">
        <v>1177</v>
      </c>
    </row>
    <row r="131" spans="47:48" x14ac:dyDescent="0.25">
      <c r="AU131" s="148" t="s">
        <v>463</v>
      </c>
      <c r="AV131" s="148" t="s">
        <v>1183</v>
      </c>
    </row>
    <row r="132" spans="47:48" x14ac:dyDescent="0.25">
      <c r="AU132" s="148" t="s">
        <v>473</v>
      </c>
      <c r="AV132" s="148" t="s">
        <v>1177</v>
      </c>
    </row>
    <row r="133" spans="47:48" x14ac:dyDescent="0.25">
      <c r="AU133" s="148" t="s">
        <v>473</v>
      </c>
      <c r="AV133" s="148" t="s">
        <v>1183</v>
      </c>
    </row>
    <row r="134" spans="47:48" x14ac:dyDescent="0.25">
      <c r="AU134" s="148" t="s">
        <v>976</v>
      </c>
      <c r="AV134" s="148" t="s">
        <v>1177</v>
      </c>
    </row>
    <row r="135" spans="47:48" x14ac:dyDescent="0.25">
      <c r="AU135" s="148" t="s">
        <v>976</v>
      </c>
      <c r="AV135" s="148" t="s">
        <v>1183</v>
      </c>
    </row>
    <row r="136" spans="47:48" x14ac:dyDescent="0.25">
      <c r="AU136" s="148" t="s">
        <v>1009</v>
      </c>
      <c r="AV136" s="148" t="s">
        <v>1180</v>
      </c>
    </row>
    <row r="137" spans="47:48" x14ac:dyDescent="0.25">
      <c r="AU137" s="148" t="s">
        <v>1009</v>
      </c>
      <c r="AV137" s="148" t="s">
        <v>1190</v>
      </c>
    </row>
    <row r="138" spans="47:48" x14ac:dyDescent="0.25">
      <c r="AU138" s="148" t="s">
        <v>892</v>
      </c>
      <c r="AV138" s="148" t="s">
        <v>1170</v>
      </c>
    </row>
    <row r="139" spans="47:48" x14ac:dyDescent="0.25">
      <c r="AU139" s="148" t="s">
        <v>892</v>
      </c>
      <c r="AV139" s="148" t="s">
        <v>1181</v>
      </c>
    </row>
    <row r="140" spans="47:48" x14ac:dyDescent="0.25">
      <c r="AU140" s="148" t="s">
        <v>892</v>
      </c>
      <c r="AV140" s="148" t="s">
        <v>1195</v>
      </c>
    </row>
    <row r="141" spans="47:48" x14ac:dyDescent="0.25">
      <c r="AU141" s="148" t="s">
        <v>521</v>
      </c>
      <c r="AV141" s="148" t="s">
        <v>1180</v>
      </c>
    </row>
    <row r="142" spans="47:48" x14ac:dyDescent="0.25">
      <c r="AU142" s="148" t="s">
        <v>521</v>
      </c>
      <c r="AV142" s="148" t="s">
        <v>1190</v>
      </c>
    </row>
    <row r="143" spans="47:48" x14ac:dyDescent="0.25">
      <c r="AU143" s="148" t="s">
        <v>762</v>
      </c>
      <c r="AV143" s="148" t="s">
        <v>1158</v>
      </c>
    </row>
    <row r="144" spans="47:48" x14ac:dyDescent="0.25">
      <c r="AU144" s="148" t="s">
        <v>762</v>
      </c>
      <c r="AV144" s="148" t="s">
        <v>1180</v>
      </c>
    </row>
    <row r="145" spans="47:48" x14ac:dyDescent="0.25">
      <c r="AU145" s="148" t="s">
        <v>170</v>
      </c>
      <c r="AV145" s="148" t="s">
        <v>1155</v>
      </c>
    </row>
    <row r="146" spans="47:48" x14ac:dyDescent="0.25">
      <c r="AU146" s="148" t="s">
        <v>170</v>
      </c>
      <c r="AV146" s="148" t="s">
        <v>1166</v>
      </c>
    </row>
    <row r="147" spans="47:48" x14ac:dyDescent="0.25">
      <c r="AU147" s="148" t="s">
        <v>706</v>
      </c>
      <c r="AV147" s="148" t="s">
        <v>1155</v>
      </c>
    </row>
    <row r="148" spans="47:48" x14ac:dyDescent="0.25">
      <c r="AU148" s="148" t="s">
        <v>706</v>
      </c>
      <c r="AV148" s="148" t="s">
        <v>1166</v>
      </c>
    </row>
    <row r="149" spans="47:48" x14ac:dyDescent="0.25">
      <c r="AU149" s="148" t="s">
        <v>176</v>
      </c>
      <c r="AV149" s="148" t="s">
        <v>1155</v>
      </c>
    </row>
    <row r="150" spans="47:48" x14ac:dyDescent="0.25">
      <c r="AU150" s="148" t="s">
        <v>176</v>
      </c>
      <c r="AV150" s="148" t="s">
        <v>1166</v>
      </c>
    </row>
    <row r="151" spans="47:48" x14ac:dyDescent="0.25">
      <c r="AU151" s="148" t="s">
        <v>701</v>
      </c>
      <c r="AV151" s="148" t="s">
        <v>1155</v>
      </c>
    </row>
    <row r="152" spans="47:48" x14ac:dyDescent="0.25">
      <c r="AU152" s="148" t="s">
        <v>701</v>
      </c>
      <c r="AV152" s="148" t="s">
        <v>1166</v>
      </c>
    </row>
    <row r="153" spans="47:48" x14ac:dyDescent="0.25">
      <c r="AU153" s="148" t="s">
        <v>805</v>
      </c>
      <c r="AV153" s="148" t="s">
        <v>1161</v>
      </c>
    </row>
    <row r="154" spans="47:48" x14ac:dyDescent="0.25">
      <c r="AU154" s="148" t="s">
        <v>805</v>
      </c>
      <c r="AV154" s="148" t="s">
        <v>1180</v>
      </c>
    </row>
    <row r="155" spans="47:48" x14ac:dyDescent="0.25">
      <c r="AU155" s="148" t="s">
        <v>193</v>
      </c>
      <c r="AV155" s="148" t="s">
        <v>1157</v>
      </c>
    </row>
    <row r="156" spans="47:48" x14ac:dyDescent="0.25">
      <c r="AU156" s="148" t="s">
        <v>193</v>
      </c>
      <c r="AV156" s="148" t="s">
        <v>1167</v>
      </c>
    </row>
    <row r="157" spans="47:48" x14ac:dyDescent="0.25">
      <c r="AU157" s="148" t="s">
        <v>337</v>
      </c>
      <c r="AV157" s="148" t="s">
        <v>1166</v>
      </c>
    </row>
    <row r="158" spans="47:48" x14ac:dyDescent="0.25">
      <c r="AU158" s="148" t="s">
        <v>337</v>
      </c>
      <c r="AV158" s="148" t="s">
        <v>1188</v>
      </c>
    </row>
    <row r="159" spans="47:48" x14ac:dyDescent="0.25">
      <c r="AU159" s="148" t="s">
        <v>300</v>
      </c>
      <c r="AV159" s="148" t="s">
        <v>1164</v>
      </c>
    </row>
    <row r="160" spans="47:48" x14ac:dyDescent="0.25">
      <c r="AU160" s="148" t="s">
        <v>300</v>
      </c>
      <c r="AV160" s="148" t="s">
        <v>1171</v>
      </c>
    </row>
    <row r="161" spans="47:48" x14ac:dyDescent="0.25">
      <c r="AU161" s="148" t="s">
        <v>847</v>
      </c>
      <c r="AV161" s="148" t="s">
        <v>1164</v>
      </c>
    </row>
    <row r="162" spans="47:48" x14ac:dyDescent="0.25">
      <c r="AU162" s="148" t="s">
        <v>847</v>
      </c>
      <c r="AV162" s="148" t="s">
        <v>1171</v>
      </c>
    </row>
    <row r="163" spans="47:48" x14ac:dyDescent="0.25">
      <c r="AU163" s="148" t="s">
        <v>734</v>
      </c>
      <c r="AV163" s="148" t="s">
        <v>1157</v>
      </c>
    </row>
    <row r="164" spans="47:48" x14ac:dyDescent="0.25">
      <c r="AU164" s="148" t="s">
        <v>734</v>
      </c>
      <c r="AV164" s="148" t="s">
        <v>1167</v>
      </c>
    </row>
    <row r="165" spans="47:48" x14ac:dyDescent="0.25">
      <c r="AU165" s="148" t="s">
        <v>325</v>
      </c>
      <c r="AV165" s="148" t="s">
        <v>1166</v>
      </c>
    </row>
    <row r="166" spans="47:48" x14ac:dyDescent="0.25">
      <c r="AU166" s="148" t="s">
        <v>325</v>
      </c>
      <c r="AV166" s="148" t="s">
        <v>1188</v>
      </c>
    </row>
    <row r="167" spans="47:48" x14ac:dyDescent="0.25">
      <c r="AU167" s="148" t="s">
        <v>862</v>
      </c>
      <c r="AV167" s="148" t="s">
        <v>1166</v>
      </c>
    </row>
    <row r="168" spans="47:48" x14ac:dyDescent="0.25">
      <c r="AU168" s="148" t="s">
        <v>862</v>
      </c>
      <c r="AV168" s="148" t="s">
        <v>1188</v>
      </c>
    </row>
    <row r="169" spans="47:48" x14ac:dyDescent="0.25">
      <c r="AU169" s="148" t="s">
        <v>722</v>
      </c>
      <c r="AV169" s="148" t="s">
        <v>1156</v>
      </c>
    </row>
    <row r="170" spans="47:48" x14ac:dyDescent="0.25">
      <c r="AU170" s="148" t="s">
        <v>722</v>
      </c>
      <c r="AV170" s="148" t="s">
        <v>1192</v>
      </c>
    </row>
    <row r="171" spans="47:48" x14ac:dyDescent="0.25">
      <c r="AU171" s="148" t="s">
        <v>171</v>
      </c>
      <c r="AV171" s="148" t="s">
        <v>1155</v>
      </c>
    </row>
    <row r="172" spans="47:48" x14ac:dyDescent="0.25">
      <c r="AU172" s="148" t="s">
        <v>171</v>
      </c>
      <c r="AV172" s="148" t="s">
        <v>1166</v>
      </c>
    </row>
    <row r="173" spans="47:48" x14ac:dyDescent="0.25">
      <c r="AU173" s="148" t="s">
        <v>326</v>
      </c>
      <c r="AV173" s="148" t="s">
        <v>1155</v>
      </c>
    </row>
    <row r="174" spans="47:48" x14ac:dyDescent="0.25">
      <c r="AU174" s="148" t="s">
        <v>326</v>
      </c>
      <c r="AV174" s="148" t="s">
        <v>1166</v>
      </c>
    </row>
    <row r="175" spans="47:48" x14ac:dyDescent="0.25">
      <c r="AU175" s="148" t="s">
        <v>702</v>
      </c>
      <c r="AV175" s="148" t="s">
        <v>1155</v>
      </c>
    </row>
    <row r="176" spans="47:48" x14ac:dyDescent="0.25">
      <c r="AU176" s="148" t="s">
        <v>702</v>
      </c>
      <c r="AV176" s="148" t="s">
        <v>1166</v>
      </c>
    </row>
    <row r="177" spans="47:48" x14ac:dyDescent="0.25">
      <c r="AU177" s="148" t="s">
        <v>702</v>
      </c>
      <c r="AV177" s="148" t="s">
        <v>1188</v>
      </c>
    </row>
    <row r="178" spans="47:48" x14ac:dyDescent="0.25">
      <c r="AU178" s="148" t="s">
        <v>327</v>
      </c>
      <c r="AV178" s="148" t="s">
        <v>1166</v>
      </c>
    </row>
    <row r="179" spans="47:48" x14ac:dyDescent="0.25">
      <c r="AU179" s="148" t="s">
        <v>327</v>
      </c>
      <c r="AV179" s="148" t="s">
        <v>1175</v>
      </c>
    </row>
    <row r="180" spans="47:48" x14ac:dyDescent="0.25">
      <c r="AU180" s="148" t="s">
        <v>789</v>
      </c>
      <c r="AV180" s="148" t="s">
        <v>1199</v>
      </c>
    </row>
    <row r="181" spans="47:48" x14ac:dyDescent="0.25">
      <c r="AU181" s="148" t="s">
        <v>789</v>
      </c>
      <c r="AV181" s="148" t="s">
        <v>1168</v>
      </c>
    </row>
    <row r="182" spans="47:48" x14ac:dyDescent="0.25">
      <c r="AU182" s="148" t="s">
        <v>789</v>
      </c>
      <c r="AV182" s="148" t="s">
        <v>1186</v>
      </c>
    </row>
    <row r="183" spans="47:48" x14ac:dyDescent="0.25">
      <c r="AU183" s="148" t="s">
        <v>872</v>
      </c>
      <c r="AV183" s="148" t="s">
        <v>1168</v>
      </c>
    </row>
    <row r="184" spans="47:48" x14ac:dyDescent="0.25">
      <c r="AU184" s="148" t="s">
        <v>872</v>
      </c>
      <c r="AV184" s="148" t="s">
        <v>1179</v>
      </c>
    </row>
    <row r="185" spans="47:48" x14ac:dyDescent="0.25">
      <c r="AU185" s="148" t="s">
        <v>872</v>
      </c>
      <c r="AV185" s="148" t="s">
        <v>1184</v>
      </c>
    </row>
    <row r="186" spans="47:48" x14ac:dyDescent="0.25">
      <c r="AU186" s="148" t="s">
        <v>872</v>
      </c>
      <c r="AV186" s="148" t="s">
        <v>1186</v>
      </c>
    </row>
    <row r="187" spans="47:48" x14ac:dyDescent="0.25">
      <c r="AU187" s="148" t="s">
        <v>886</v>
      </c>
      <c r="AV187" s="148" t="s">
        <v>1168</v>
      </c>
    </row>
    <row r="188" spans="47:48" x14ac:dyDescent="0.25">
      <c r="AU188" s="148" t="s">
        <v>886</v>
      </c>
      <c r="AV188" s="148" t="s">
        <v>1194</v>
      </c>
    </row>
    <row r="189" spans="47:48" x14ac:dyDescent="0.25">
      <c r="AU189" s="148" t="s">
        <v>874</v>
      </c>
      <c r="AV189" s="148" t="s">
        <v>1168</v>
      </c>
    </row>
    <row r="190" spans="47:48" x14ac:dyDescent="0.25">
      <c r="AU190" s="148" t="s">
        <v>874</v>
      </c>
      <c r="AV190" s="148" t="s">
        <v>1194</v>
      </c>
    </row>
    <row r="191" spans="47:48" x14ac:dyDescent="0.25">
      <c r="AU191" s="148" t="s">
        <v>897</v>
      </c>
      <c r="AV191" s="148" t="s">
        <v>1170</v>
      </c>
    </row>
    <row r="192" spans="47:48" x14ac:dyDescent="0.25">
      <c r="AU192" s="148" t="s">
        <v>897</v>
      </c>
      <c r="AV192" s="148" t="s">
        <v>1195</v>
      </c>
    </row>
    <row r="193" spans="47:48" x14ac:dyDescent="0.25">
      <c r="AU193" s="148" t="s">
        <v>919</v>
      </c>
      <c r="AV193" s="148" t="s">
        <v>1171</v>
      </c>
    </row>
    <row r="194" spans="47:48" x14ac:dyDescent="0.25">
      <c r="AU194" s="148" t="s">
        <v>919</v>
      </c>
      <c r="AV194" s="148" t="s">
        <v>1182</v>
      </c>
    </row>
    <row r="195" spans="47:48" x14ac:dyDescent="0.25">
      <c r="AU195" s="148" t="s">
        <v>893</v>
      </c>
      <c r="AV195" s="148" t="s">
        <v>1170</v>
      </c>
    </row>
    <row r="196" spans="47:48" x14ac:dyDescent="0.25">
      <c r="AU196" s="148" t="s">
        <v>893</v>
      </c>
      <c r="AV196" s="148" t="s">
        <v>1177</v>
      </c>
    </row>
    <row r="197" spans="47:48" x14ac:dyDescent="0.25">
      <c r="AU197" s="148" t="s">
        <v>893</v>
      </c>
      <c r="AV197" s="148" t="s">
        <v>1183</v>
      </c>
    </row>
    <row r="198" spans="47:48" x14ac:dyDescent="0.25">
      <c r="AU198" s="148" t="s">
        <v>537</v>
      </c>
      <c r="AV198" s="148" t="s">
        <v>1181</v>
      </c>
    </row>
    <row r="199" spans="47:48" x14ac:dyDescent="0.25">
      <c r="AU199" s="148" t="s">
        <v>537</v>
      </c>
      <c r="AV199" s="148" t="s">
        <v>1195</v>
      </c>
    </row>
    <row r="200" spans="47:48" x14ac:dyDescent="0.25">
      <c r="AU200" s="148" t="s">
        <v>891</v>
      </c>
      <c r="AV200" s="148" t="s">
        <v>1170</v>
      </c>
    </row>
    <row r="201" spans="47:48" x14ac:dyDescent="0.25">
      <c r="AU201" s="148" t="s">
        <v>891</v>
      </c>
      <c r="AV201" s="148" t="s">
        <v>1183</v>
      </c>
    </row>
    <row r="202" spans="47:48" x14ac:dyDescent="0.25">
      <c r="AU202" s="148" t="s">
        <v>891</v>
      </c>
      <c r="AV202" s="148" t="s">
        <v>1195</v>
      </c>
    </row>
    <row r="203" spans="47:48" x14ac:dyDescent="0.25">
      <c r="AU203" s="148" t="s">
        <v>328</v>
      </c>
      <c r="AV203" s="148" t="s">
        <v>1166</v>
      </c>
    </row>
    <row r="204" spans="47:48" x14ac:dyDescent="0.25">
      <c r="AU204" s="148" t="s">
        <v>328</v>
      </c>
      <c r="AV204" s="148" t="s">
        <v>1189</v>
      </c>
    </row>
    <row r="205" spans="47:48" x14ac:dyDescent="0.25">
      <c r="AU205" s="148" t="s">
        <v>1090</v>
      </c>
      <c r="AV205" s="148" t="s">
        <v>1189</v>
      </c>
    </row>
    <row r="206" spans="47:48" x14ac:dyDescent="0.25">
      <c r="AU206" s="148" t="s">
        <v>1090</v>
      </c>
      <c r="AV206" s="148" t="s">
        <v>1193</v>
      </c>
    </row>
    <row r="207" spans="47:48" x14ac:dyDescent="0.25">
      <c r="AU207" s="148" t="s">
        <v>763</v>
      </c>
      <c r="AV207" s="148" t="s">
        <v>1158</v>
      </c>
    </row>
    <row r="208" spans="47:48" x14ac:dyDescent="0.25">
      <c r="AU208" s="148" t="s">
        <v>763</v>
      </c>
      <c r="AV208" s="148" t="s">
        <v>1180</v>
      </c>
    </row>
    <row r="209" spans="47:48" x14ac:dyDescent="0.25">
      <c r="AU209" s="148" t="s">
        <v>982</v>
      </c>
      <c r="AV209" s="148" t="s">
        <v>1177</v>
      </c>
    </row>
    <row r="210" spans="47:48" x14ac:dyDescent="0.25">
      <c r="AU210" s="148" t="s">
        <v>982</v>
      </c>
      <c r="AV210" s="148" t="s">
        <v>1183</v>
      </c>
    </row>
    <row r="211" spans="47:48" x14ac:dyDescent="0.25">
      <c r="AU211" s="148" t="s">
        <v>982</v>
      </c>
      <c r="AV211" s="148" t="s">
        <v>1195</v>
      </c>
    </row>
    <row r="212" spans="47:48" x14ac:dyDescent="0.25">
      <c r="AU212" s="148" t="s">
        <v>737</v>
      </c>
      <c r="AV212" s="148" t="s">
        <v>1157</v>
      </c>
    </row>
    <row r="213" spans="47:48" x14ac:dyDescent="0.25">
      <c r="AU213" s="148" t="s">
        <v>737</v>
      </c>
      <c r="AV213" s="148" t="s">
        <v>1173</v>
      </c>
    </row>
    <row r="214" spans="47:48" x14ac:dyDescent="0.25">
      <c r="AU214" s="148" t="s">
        <v>554</v>
      </c>
      <c r="AV214" s="148" t="s">
        <v>1183</v>
      </c>
    </row>
    <row r="215" spans="47:48" x14ac:dyDescent="0.25">
      <c r="AU215" s="148" t="s">
        <v>554</v>
      </c>
      <c r="AV215" s="148" t="s">
        <v>1195</v>
      </c>
    </row>
    <row r="216" spans="47:48" x14ac:dyDescent="0.25">
      <c r="AU216" s="148" t="s">
        <v>1046</v>
      </c>
      <c r="AV216" s="148" t="s">
        <v>1183</v>
      </c>
    </row>
    <row r="217" spans="47:48" x14ac:dyDescent="0.25">
      <c r="AU217" s="148" t="s">
        <v>1046</v>
      </c>
      <c r="AV217" s="148" t="s">
        <v>1195</v>
      </c>
    </row>
    <row r="218" spans="47:48" x14ac:dyDescent="0.25">
      <c r="AU218" s="148" t="s">
        <v>828</v>
      </c>
      <c r="AV218" s="148" t="s">
        <v>1162</v>
      </c>
    </row>
    <row r="219" spans="47:48" x14ac:dyDescent="0.25">
      <c r="AU219" s="148" t="s">
        <v>828</v>
      </c>
      <c r="AV219" s="148" t="s">
        <v>1178</v>
      </c>
    </row>
    <row r="220" spans="47:48" x14ac:dyDescent="0.25">
      <c r="AU220" s="148" t="s">
        <v>881</v>
      </c>
      <c r="AV220" s="148" t="s">
        <v>1168</v>
      </c>
    </row>
    <row r="221" spans="47:48" x14ac:dyDescent="0.25">
      <c r="AU221" s="148" t="s">
        <v>881</v>
      </c>
      <c r="AV221" s="148" t="s">
        <v>1194</v>
      </c>
    </row>
    <row r="222" spans="47:48" x14ac:dyDescent="0.25">
      <c r="AU222" s="148" t="s">
        <v>724</v>
      </c>
      <c r="AV222" s="148" t="s">
        <v>1156</v>
      </c>
    </row>
    <row r="223" spans="47:48" x14ac:dyDescent="0.25">
      <c r="AU223" s="148" t="s">
        <v>724</v>
      </c>
      <c r="AV223" s="148" t="s">
        <v>1177</v>
      </c>
    </row>
    <row r="224" spans="47:48" x14ac:dyDescent="0.25">
      <c r="AU224" s="148" t="s">
        <v>775</v>
      </c>
      <c r="AV224" s="148" t="s">
        <v>1159</v>
      </c>
    </row>
    <row r="225" spans="47:48" x14ac:dyDescent="0.25">
      <c r="AU225" s="148" t="s">
        <v>775</v>
      </c>
      <c r="AV225" s="148" t="s">
        <v>1162</v>
      </c>
    </row>
    <row r="226" spans="47:48" x14ac:dyDescent="0.25">
      <c r="AU226" s="148" t="s">
        <v>292</v>
      </c>
      <c r="AV226" s="148" t="s">
        <v>1162</v>
      </c>
    </row>
    <row r="227" spans="47:48" x14ac:dyDescent="0.25">
      <c r="AU227" s="148" t="s">
        <v>292</v>
      </c>
      <c r="AV227" s="148" t="s">
        <v>1178</v>
      </c>
    </row>
    <row r="228" spans="47:48" x14ac:dyDescent="0.25">
      <c r="AU228" s="148" t="s">
        <v>1011</v>
      </c>
      <c r="AV228" s="148" t="s">
        <v>1180</v>
      </c>
    </row>
    <row r="229" spans="47:48" x14ac:dyDescent="0.25">
      <c r="AU229" s="148" t="s">
        <v>1011</v>
      </c>
      <c r="AV229" s="148" t="s">
        <v>1190</v>
      </c>
    </row>
    <row r="230" spans="47:48" x14ac:dyDescent="0.25">
      <c r="AU230" s="148" t="s">
        <v>999</v>
      </c>
      <c r="AV230" s="148" t="s">
        <v>1179</v>
      </c>
    </row>
    <row r="231" spans="47:48" x14ac:dyDescent="0.25">
      <c r="AU231" s="148" t="s">
        <v>999</v>
      </c>
      <c r="AV231" s="148" t="s">
        <v>1184</v>
      </c>
    </row>
    <row r="232" spans="47:48" x14ac:dyDescent="0.25">
      <c r="AU232" s="148" t="s">
        <v>1005</v>
      </c>
      <c r="AV232" s="148" t="s">
        <v>1179</v>
      </c>
    </row>
    <row r="233" spans="47:48" x14ac:dyDescent="0.25">
      <c r="AU233" s="148" t="s">
        <v>1005</v>
      </c>
      <c r="AV233" s="148" t="s">
        <v>1194</v>
      </c>
    </row>
    <row r="234" spans="47:48" x14ac:dyDescent="0.25">
      <c r="AU234" s="148" t="s">
        <v>753</v>
      </c>
      <c r="AV234" s="148" t="s">
        <v>1196</v>
      </c>
    </row>
    <row r="235" spans="47:48" x14ac:dyDescent="0.25">
      <c r="AU235" s="148" t="s">
        <v>753</v>
      </c>
      <c r="AV235" s="148" t="s">
        <v>1162</v>
      </c>
    </row>
    <row r="236" spans="47:48" x14ac:dyDescent="0.25">
      <c r="AU236" s="148" t="s">
        <v>753</v>
      </c>
      <c r="AV236" s="148" t="s">
        <v>1167</v>
      </c>
    </row>
    <row r="237" spans="47:48" x14ac:dyDescent="0.25">
      <c r="AU237" s="148" t="s">
        <v>1035</v>
      </c>
      <c r="AV237" s="148" t="s">
        <v>1181</v>
      </c>
    </row>
    <row r="238" spans="47:48" x14ac:dyDescent="0.25">
      <c r="AU238" s="148" t="s">
        <v>1035</v>
      </c>
      <c r="AV238" s="148" t="s">
        <v>1195</v>
      </c>
    </row>
    <row r="239" spans="47:48" x14ac:dyDescent="0.25">
      <c r="AU239" s="148" t="s">
        <v>383</v>
      </c>
      <c r="AV239" s="148" t="s">
        <v>1170</v>
      </c>
    </row>
    <row r="240" spans="47:48" x14ac:dyDescent="0.25">
      <c r="AU240" s="148" t="s">
        <v>383</v>
      </c>
      <c r="AV240" s="148" t="s">
        <v>1195</v>
      </c>
    </row>
    <row r="241" spans="47:48" x14ac:dyDescent="0.25">
      <c r="AU241" s="148" t="s">
        <v>512</v>
      </c>
      <c r="AV241" s="148" t="s">
        <v>1161</v>
      </c>
    </row>
    <row r="242" spans="47:48" x14ac:dyDescent="0.25">
      <c r="AU242" s="148" t="s">
        <v>512</v>
      </c>
      <c r="AV242" s="148" t="s">
        <v>1180</v>
      </c>
    </row>
    <row r="243" spans="47:48" x14ac:dyDescent="0.25">
      <c r="AU243" s="148" t="s">
        <v>761</v>
      </c>
      <c r="AV243" s="148" t="s">
        <v>1158</v>
      </c>
    </row>
    <row r="244" spans="47:48" x14ac:dyDescent="0.25">
      <c r="AU244" s="148" t="s">
        <v>761</v>
      </c>
      <c r="AV244" s="148" t="s">
        <v>1190</v>
      </c>
    </row>
    <row r="245" spans="47:48" x14ac:dyDescent="0.25">
      <c r="AU245" s="148" t="s">
        <v>513</v>
      </c>
      <c r="AV245" s="148" t="s">
        <v>1158</v>
      </c>
    </row>
    <row r="246" spans="47:48" x14ac:dyDescent="0.25">
      <c r="AU246" s="148" t="s">
        <v>513</v>
      </c>
      <c r="AV246" s="148" t="s">
        <v>1180</v>
      </c>
    </row>
    <row r="247" spans="47:48" x14ac:dyDescent="0.25">
      <c r="AU247" s="148" t="s">
        <v>329</v>
      </c>
      <c r="AV247" s="148" t="s">
        <v>1155</v>
      </c>
    </row>
    <row r="248" spans="47:48" x14ac:dyDescent="0.25">
      <c r="AU248" s="148" t="s">
        <v>329</v>
      </c>
      <c r="AV248" s="148" t="s">
        <v>1166</v>
      </c>
    </row>
    <row r="249" spans="47:48" x14ac:dyDescent="0.25">
      <c r="AU249" s="148" t="s">
        <v>714</v>
      </c>
      <c r="AV249" s="148" t="s">
        <v>1155</v>
      </c>
    </row>
    <row r="250" spans="47:48" x14ac:dyDescent="0.25">
      <c r="AU250" s="148" t="s">
        <v>714</v>
      </c>
      <c r="AV250" s="148" t="s">
        <v>1166</v>
      </c>
    </row>
    <row r="251" spans="47:48" x14ac:dyDescent="0.25">
      <c r="AU251" s="148" t="s">
        <v>961</v>
      </c>
      <c r="AV251" s="148" t="s">
        <v>1174</v>
      </c>
    </row>
    <row r="252" spans="47:48" x14ac:dyDescent="0.25">
      <c r="AU252" s="148" t="s">
        <v>961</v>
      </c>
      <c r="AV252" s="148" t="s">
        <v>1185</v>
      </c>
    </row>
    <row r="253" spans="47:48" x14ac:dyDescent="0.25">
      <c r="AU253" s="148" t="s">
        <v>947</v>
      </c>
      <c r="AV253" s="148" t="s">
        <v>1174</v>
      </c>
    </row>
    <row r="254" spans="47:48" x14ac:dyDescent="0.25">
      <c r="AU254" s="148" t="s">
        <v>947</v>
      </c>
      <c r="AV254" s="148" t="s">
        <v>1185</v>
      </c>
    </row>
    <row r="255" spans="47:48" x14ac:dyDescent="0.25">
      <c r="AU255" s="148" t="s">
        <v>905</v>
      </c>
      <c r="AV255" s="148" t="s">
        <v>1170</v>
      </c>
    </row>
    <row r="256" spans="47:48" x14ac:dyDescent="0.25">
      <c r="AU256" s="148" t="s">
        <v>905</v>
      </c>
      <c r="AV256" s="148" t="s">
        <v>1195</v>
      </c>
    </row>
    <row r="257" spans="47:48" x14ac:dyDescent="0.25">
      <c r="AU257" s="148" t="s">
        <v>231</v>
      </c>
      <c r="AV257" s="148" t="s">
        <v>1159</v>
      </c>
    </row>
    <row r="258" spans="47:48" x14ac:dyDescent="0.25">
      <c r="AU258" s="148" t="s">
        <v>231</v>
      </c>
      <c r="AV258" s="148" t="s">
        <v>1162</v>
      </c>
    </row>
    <row r="259" spans="47:48" x14ac:dyDescent="0.25">
      <c r="AU259" s="148" t="s">
        <v>577</v>
      </c>
      <c r="AV259" s="148" t="s">
        <v>1174</v>
      </c>
    </row>
    <row r="260" spans="47:48" x14ac:dyDescent="0.25">
      <c r="AU260" s="148" t="s">
        <v>577</v>
      </c>
      <c r="AV260" s="148" t="s">
        <v>1185</v>
      </c>
    </row>
    <row r="261" spans="47:48" x14ac:dyDescent="0.25">
      <c r="AU261" s="148" t="s">
        <v>350</v>
      </c>
      <c r="AV261" s="148" t="s">
        <v>1167</v>
      </c>
    </row>
    <row r="262" spans="47:48" x14ac:dyDescent="0.25">
      <c r="AU262" s="148" t="s">
        <v>350</v>
      </c>
      <c r="AV262" s="148" t="s">
        <v>1173</v>
      </c>
    </row>
    <row r="263" spans="47:48" x14ac:dyDescent="0.25">
      <c r="AU263" s="148" t="s">
        <v>1081</v>
      </c>
      <c r="AV263" s="148" t="s">
        <v>1188</v>
      </c>
    </row>
    <row r="264" spans="47:48" x14ac:dyDescent="0.25">
      <c r="AU264" s="148" t="s">
        <v>1081</v>
      </c>
      <c r="AV264" s="148" t="s">
        <v>1194</v>
      </c>
    </row>
    <row r="265" spans="47:48" x14ac:dyDescent="0.25">
      <c r="AU265" s="148" t="s">
        <v>514</v>
      </c>
      <c r="AV265" s="148" t="s">
        <v>1161</v>
      </c>
    </row>
    <row r="266" spans="47:48" x14ac:dyDescent="0.25">
      <c r="AU266" s="148" t="s">
        <v>514</v>
      </c>
      <c r="AV266" s="148" t="s">
        <v>1180</v>
      </c>
    </row>
    <row r="267" spans="47:48" x14ac:dyDescent="0.25">
      <c r="AU267" s="148" t="s">
        <v>166</v>
      </c>
      <c r="AV267" s="148" t="s">
        <v>1155</v>
      </c>
    </row>
    <row r="268" spans="47:48" x14ac:dyDescent="0.25">
      <c r="AU268" s="148" t="s">
        <v>166</v>
      </c>
      <c r="AV268" s="148" t="s">
        <v>1166</v>
      </c>
    </row>
    <row r="269" spans="47:48" x14ac:dyDescent="0.25">
      <c r="AU269" s="148" t="s">
        <v>1002</v>
      </c>
      <c r="AV269" s="148" t="s">
        <v>1179</v>
      </c>
    </row>
    <row r="270" spans="47:48" x14ac:dyDescent="0.25">
      <c r="AU270" s="148" t="s">
        <v>1002</v>
      </c>
      <c r="AV270" s="148" t="s">
        <v>1186</v>
      </c>
    </row>
    <row r="271" spans="47:48" x14ac:dyDescent="0.25">
      <c r="AU271" s="148" t="s">
        <v>304</v>
      </c>
      <c r="AV271" s="148" t="s">
        <v>1199</v>
      </c>
    </row>
    <row r="272" spans="47:48" x14ac:dyDescent="0.25">
      <c r="AU272" s="148" t="s">
        <v>304</v>
      </c>
      <c r="AV272" s="148" t="s">
        <v>1165</v>
      </c>
    </row>
    <row r="273" spans="47:48" x14ac:dyDescent="0.25">
      <c r="AU273" s="148" t="s">
        <v>738</v>
      </c>
      <c r="AV273" s="148" t="s">
        <v>1157</v>
      </c>
    </row>
    <row r="274" spans="47:48" x14ac:dyDescent="0.25">
      <c r="AU274" s="148" t="s">
        <v>738</v>
      </c>
      <c r="AV274" s="148" t="s">
        <v>1173</v>
      </c>
    </row>
    <row r="275" spans="47:48" x14ac:dyDescent="0.25">
      <c r="AU275" s="148" t="s">
        <v>232</v>
      </c>
      <c r="AV275" s="148" t="s">
        <v>1159</v>
      </c>
    </row>
    <row r="276" spans="47:48" x14ac:dyDescent="0.25">
      <c r="AU276" s="148" t="s">
        <v>232</v>
      </c>
      <c r="AV276" s="148" t="s">
        <v>1162</v>
      </c>
    </row>
  </sheetData>
  <sortState xmlns:xlrd2="http://schemas.microsoft.com/office/spreadsheetml/2017/richdata2" ref="AU3:AU270">
    <sortCondition ref="AU3"/>
  </sortState>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12756-0F3F-4486-AD9F-8E2BBD02E4FD}">
  <sheetPr codeName="Sheet13">
    <tabColor rgb="FFFF0000"/>
  </sheetPr>
  <dimension ref="B1:S17"/>
  <sheetViews>
    <sheetView showGridLines="0" tabSelected="1" workbookViewId="0"/>
  </sheetViews>
  <sheetFormatPr defaultColWidth="9" defaultRowHeight="15.75" x14ac:dyDescent="0.25"/>
  <cols>
    <col min="1" max="1" width="7" customWidth="1"/>
    <col min="2" max="2" width="9.25" customWidth="1"/>
    <col min="3" max="3" width="12.375" customWidth="1"/>
    <col min="18" max="18" width="7.875" customWidth="1"/>
    <col min="19" max="19" width="7" customWidth="1"/>
  </cols>
  <sheetData>
    <row r="1" spans="2:19" ht="16.5" thickBot="1" x14ac:dyDescent="0.3"/>
    <row r="2" spans="2:19" x14ac:dyDescent="0.25">
      <c r="B2" s="223" t="s">
        <v>1249</v>
      </c>
      <c r="C2" s="224"/>
      <c r="D2" s="224"/>
      <c r="E2" s="224"/>
      <c r="F2" s="224"/>
      <c r="G2" s="224"/>
      <c r="H2" s="224"/>
      <c r="I2" s="224"/>
      <c r="J2" s="224"/>
      <c r="K2" s="224"/>
      <c r="L2" s="224"/>
      <c r="M2" s="224"/>
      <c r="N2" s="224"/>
      <c r="O2" s="224"/>
      <c r="P2" s="224"/>
      <c r="Q2" s="224"/>
      <c r="R2" s="224"/>
      <c r="S2" s="225"/>
    </row>
    <row r="3" spans="2:19" x14ac:dyDescent="0.25">
      <c r="B3" s="226"/>
      <c r="S3" s="227"/>
    </row>
    <row r="4" spans="2:19" x14ac:dyDescent="0.25">
      <c r="B4" s="226" t="s">
        <v>1411</v>
      </c>
      <c r="S4" s="227"/>
    </row>
    <row r="5" spans="2:19" x14ac:dyDescent="0.25">
      <c r="B5" s="226" t="s">
        <v>1412</v>
      </c>
      <c r="S5" s="227"/>
    </row>
    <row r="6" spans="2:19" x14ac:dyDescent="0.25">
      <c r="B6" s="226" t="s">
        <v>1413</v>
      </c>
      <c r="S6" s="227"/>
    </row>
    <row r="7" spans="2:19" x14ac:dyDescent="0.25">
      <c r="B7" s="226"/>
      <c r="S7" s="227"/>
    </row>
    <row r="8" spans="2:19" x14ac:dyDescent="0.25">
      <c r="B8" s="232"/>
      <c r="C8" s="157" t="s">
        <v>1216</v>
      </c>
      <c r="D8" s="157"/>
      <c r="E8" s="157"/>
      <c r="F8" s="157"/>
      <c r="G8" s="158"/>
      <c r="S8" s="227"/>
    </row>
    <row r="9" spans="2:19" x14ac:dyDescent="0.25">
      <c r="B9" s="226"/>
      <c r="C9" s="157"/>
      <c r="S9" s="227"/>
    </row>
    <row r="10" spans="2:19" x14ac:dyDescent="0.25">
      <c r="B10" s="232"/>
      <c r="C10" s="159" t="s">
        <v>1215</v>
      </c>
      <c r="D10" s="159"/>
      <c r="E10" s="159"/>
      <c r="F10" s="160"/>
      <c r="S10" s="227"/>
    </row>
    <row r="11" spans="2:19" x14ac:dyDescent="0.25">
      <c r="B11" s="226"/>
      <c r="C11" s="157"/>
      <c r="S11" s="227"/>
    </row>
    <row r="12" spans="2:19" x14ac:dyDescent="0.25">
      <c r="B12" s="232"/>
      <c r="C12" s="161" t="s">
        <v>1247</v>
      </c>
      <c r="D12" s="161"/>
      <c r="E12" s="161"/>
      <c r="F12" s="161"/>
      <c r="G12" s="162"/>
      <c r="S12" s="227"/>
    </row>
    <row r="13" spans="2:19" x14ac:dyDescent="0.25">
      <c r="B13" s="226"/>
      <c r="S13" s="227"/>
    </row>
    <row r="14" spans="2:19" ht="40.5" customHeight="1" x14ac:dyDescent="0.25">
      <c r="B14" s="228" t="s">
        <v>1241</v>
      </c>
      <c r="S14" s="227"/>
    </row>
    <row r="15" spans="2:19" x14ac:dyDescent="0.25">
      <c r="B15" s="226"/>
      <c r="S15" s="227"/>
    </row>
    <row r="16" spans="2:19" x14ac:dyDescent="0.25">
      <c r="B16" s="226"/>
      <c r="S16" s="227"/>
    </row>
    <row r="17" spans="2:19" ht="16.5" thickBot="1" x14ac:dyDescent="0.3">
      <c r="B17" s="229" t="s">
        <v>1318</v>
      </c>
      <c r="C17" s="230"/>
      <c r="D17" s="230"/>
      <c r="E17" s="230"/>
      <c r="F17" s="230"/>
      <c r="G17" s="230"/>
      <c r="H17" s="230"/>
      <c r="I17" s="230"/>
      <c r="J17" s="230"/>
      <c r="K17" s="230"/>
      <c r="L17" s="230"/>
      <c r="M17" s="230"/>
      <c r="N17" s="230"/>
      <c r="O17" s="230"/>
      <c r="P17" s="230"/>
      <c r="Q17" s="230"/>
      <c r="R17" s="230"/>
      <c r="S17" s="231"/>
    </row>
  </sheetData>
  <sheetProtection sheet="1" objects="1" scenarios="1"/>
  <conditionalFormatting sqref="C12:G12">
    <cfRule type="cellIs" dxfId="100" priority="1" operator="greaterThan">
      <formula>0</formula>
    </cfRule>
  </conditionalFormatting>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26403-FD25-4A4B-8B34-CBFE54E794C5}">
  <sheetPr codeName="Sheet1">
    <tabColor theme="4"/>
    <pageSetUpPr fitToPage="1"/>
  </sheetPr>
  <dimension ref="B1:K68"/>
  <sheetViews>
    <sheetView zoomScaleNormal="100" workbookViewId="0">
      <selection activeCell="G11" sqref="G11:I11"/>
    </sheetView>
  </sheetViews>
  <sheetFormatPr defaultColWidth="9" defaultRowHeight="15.75" x14ac:dyDescent="0.25"/>
  <cols>
    <col min="1" max="1" width="9" style="151" customWidth="1"/>
    <col min="2" max="2" width="10.875" style="151" customWidth="1"/>
    <col min="3" max="4" width="9" style="151"/>
    <col min="5" max="5" width="11.375" style="151" customWidth="1"/>
    <col min="6" max="6" width="11.875" style="151" customWidth="1"/>
    <col min="7" max="7" width="14.375" style="151" customWidth="1"/>
    <col min="8" max="8" width="9" style="151" customWidth="1"/>
    <col min="9" max="9" width="12.75" style="151" customWidth="1"/>
    <col min="10" max="10" width="9.25" style="151" customWidth="1"/>
    <col min="11" max="11" width="9" style="151" customWidth="1"/>
    <col min="12" max="16384" width="9" style="151"/>
  </cols>
  <sheetData>
    <row r="1" spans="2:11" ht="16.5" thickBot="1" x14ac:dyDescent="0.3"/>
    <row r="2" spans="2:11" ht="15.75" customHeight="1" x14ac:dyDescent="0.25">
      <c r="B2" s="347" t="s">
        <v>1310</v>
      </c>
      <c r="C2" s="348"/>
      <c r="D2" s="348"/>
      <c r="E2" s="348"/>
      <c r="F2" s="348"/>
      <c r="G2" s="348"/>
      <c r="H2" s="348"/>
      <c r="I2" s="349"/>
    </row>
    <row r="3" spans="2:11" ht="16.5" customHeight="1" thickBot="1" x14ac:dyDescent="0.3">
      <c r="B3" s="350"/>
      <c r="C3" s="351"/>
      <c r="D3" s="351"/>
      <c r="E3" s="351"/>
      <c r="F3" s="351"/>
      <c r="G3" s="351"/>
      <c r="H3" s="351"/>
      <c r="I3" s="352"/>
    </row>
    <row r="4" spans="2:11" ht="15.75" customHeight="1" x14ac:dyDescent="0.25">
      <c r="B4" s="356" t="s">
        <v>1240</v>
      </c>
      <c r="C4" s="357"/>
      <c r="D4" s="357"/>
      <c r="E4" s="357"/>
      <c r="F4" s="357"/>
      <c r="G4" s="358"/>
      <c r="H4" s="359"/>
      <c r="I4" s="360"/>
    </row>
    <row r="5" spans="2:11" ht="15.75" customHeight="1" x14ac:dyDescent="0.25">
      <c r="B5" s="382" t="s">
        <v>1244</v>
      </c>
      <c r="C5" s="383"/>
      <c r="D5" s="383"/>
      <c r="E5" s="383"/>
      <c r="F5" s="383"/>
      <c r="G5" s="384"/>
      <c r="H5" s="380" t="s">
        <v>1245</v>
      </c>
      <c r="I5" s="381"/>
    </row>
    <row r="6" spans="2:11" ht="16.5" customHeight="1" thickBot="1" x14ac:dyDescent="0.3">
      <c r="B6" s="353" t="s">
        <v>1246</v>
      </c>
      <c r="C6" s="354"/>
      <c r="D6" s="354"/>
      <c r="E6" s="354"/>
      <c r="F6" s="354"/>
      <c r="G6" s="354"/>
      <c r="H6" s="354"/>
      <c r="I6" s="355"/>
    </row>
    <row r="7" spans="2:11" ht="16.5" thickBot="1" x14ac:dyDescent="0.3"/>
    <row r="8" spans="2:11" x14ac:dyDescent="0.25">
      <c r="B8" s="401" t="s">
        <v>1326</v>
      </c>
      <c r="C8" s="402"/>
      <c r="D8" s="402"/>
      <c r="E8" s="402"/>
      <c r="F8" s="402"/>
      <c r="G8" s="402"/>
      <c r="H8" s="402"/>
      <c r="I8" s="403"/>
    </row>
    <row r="9" spans="2:11" ht="16.5" thickBot="1" x14ac:dyDescent="0.3">
      <c r="B9" s="404"/>
      <c r="C9" s="405"/>
      <c r="D9" s="405"/>
      <c r="E9" s="405"/>
      <c r="F9" s="405"/>
      <c r="G9" s="405"/>
      <c r="H9" s="405"/>
      <c r="I9" s="406"/>
    </row>
    <row r="10" spans="2:11" x14ac:dyDescent="0.25">
      <c r="B10" s="365" t="s">
        <v>1307</v>
      </c>
      <c r="C10" s="366"/>
      <c r="D10" s="366"/>
      <c r="E10" s="366"/>
      <c r="F10" s="366"/>
      <c r="G10" s="367" t="s">
        <v>1239</v>
      </c>
      <c r="H10" s="368"/>
      <c r="I10" s="369"/>
    </row>
    <row r="11" spans="2:11" x14ac:dyDescent="0.25">
      <c r="B11" s="407" t="s">
        <v>157</v>
      </c>
      <c r="C11" s="408"/>
      <c r="D11" s="408"/>
      <c r="E11" s="408"/>
      <c r="F11" s="408"/>
      <c r="G11" s="409"/>
      <c r="H11" s="410"/>
      <c r="I11" s="411"/>
    </row>
    <row r="12" spans="2:11" x14ac:dyDescent="0.25">
      <c r="B12" s="407" t="s">
        <v>679</v>
      </c>
      <c r="C12" s="408"/>
      <c r="D12" s="408"/>
      <c r="E12" s="408"/>
      <c r="F12" s="408"/>
      <c r="G12" s="409"/>
      <c r="H12" s="410"/>
      <c r="I12" s="411"/>
    </row>
    <row r="13" spans="2:11" x14ac:dyDescent="0.25">
      <c r="B13" s="415" t="s">
        <v>1248</v>
      </c>
      <c r="C13" s="416"/>
      <c r="D13" s="416"/>
      <c r="E13" s="416"/>
      <c r="F13" s="416"/>
      <c r="G13" s="417"/>
      <c r="H13" s="418"/>
      <c r="I13" s="419"/>
      <c r="K13" s="233" t="str">
        <f>IFERROR(IF(H48="Different form", "You have selected a County with a Road and Bridge fund that does not span the entire county.",""),"")</f>
        <v/>
      </c>
    </row>
    <row r="14" spans="2:11" x14ac:dyDescent="0.25">
      <c r="B14" s="412" t="s">
        <v>1214</v>
      </c>
      <c r="C14" s="413"/>
      <c r="D14" s="413"/>
      <c r="E14" s="413"/>
      <c r="F14" s="413"/>
      <c r="G14" s="413"/>
      <c r="H14" s="413"/>
      <c r="I14" s="414"/>
      <c r="K14" s="233" t="str">
        <f>IFERROR(IF(H48="Different form", "This form cannot be used for this district, please go to tax.idaho.gov to get the correct form for this district",""),"")</f>
        <v/>
      </c>
    </row>
    <row r="15" spans="2:11" x14ac:dyDescent="0.25">
      <c r="B15" s="154"/>
      <c r="C15" s="172"/>
      <c r="D15" s="172"/>
      <c r="E15" s="391" t="s">
        <v>155</v>
      </c>
      <c r="F15" s="391"/>
      <c r="G15" s="389">
        <f>IF(F16="NO",G12,IF(COUNTIF(JointDistricts,G13),INDEX(JointCounties,MATCH(G13,JointDistricts))))</f>
        <v>0</v>
      </c>
      <c r="H15" s="389"/>
      <c r="I15" s="390"/>
    </row>
    <row r="16" spans="2:11" x14ac:dyDescent="0.25">
      <c r="B16" s="155"/>
      <c r="C16" s="391" t="str">
        <f>IF(G15="","","Multi-County District:")</f>
        <v>Multi-County District:</v>
      </c>
      <c r="D16" s="391"/>
      <c r="E16" s="391"/>
      <c r="F16" s="170" t="str">
        <f>IF(COUNTIF(JointDistricts,G13), "YES", "NO")</f>
        <v>NO</v>
      </c>
      <c r="G16" s="388" t="str" cm="1">
        <f t="array" ref="G16">IF(F16="YES",IF(COUNTIF(JointDistricts,G13),INDEX(JointCounties,MATCH(G13,JointDistricts)-1)," ")," ")</f>
        <v xml:space="preserve"> </v>
      </c>
      <c r="H16" s="389"/>
      <c r="I16" s="390"/>
    </row>
    <row r="17" spans="2:9" x14ac:dyDescent="0.25">
      <c r="B17" s="155"/>
      <c r="C17" s="391" t="str">
        <f>IF(G16="","","More than two counties:")</f>
        <v>More than two counties:</v>
      </c>
      <c r="D17" s="391"/>
      <c r="E17" s="391"/>
      <c r="F17" s="170" t="str">
        <f>IF(COUNTIF(JointDistricts,G13)&gt;2, "YES", "NO")</f>
        <v>NO</v>
      </c>
      <c r="G17" s="388" t="str" cm="1">
        <f t="array" ref="G17">IF(F17="YES",IF(COUNTIF(JointDistricts,G13),INDEX(JointCounties,MATCH(G13,JointDistricts)-2)," ")," ")</f>
        <v xml:space="preserve"> </v>
      </c>
      <c r="H17" s="389"/>
      <c r="I17" s="390"/>
    </row>
    <row r="18" spans="2:9" ht="16.5" thickBot="1" x14ac:dyDescent="0.3">
      <c r="B18" s="156"/>
      <c r="C18" s="375" t="str">
        <f>IF(G17="","","More than three counties:")</f>
        <v>More than three counties:</v>
      </c>
      <c r="D18" s="375"/>
      <c r="E18" s="375"/>
      <c r="F18" s="171" t="str">
        <f>IF(COUNTIF(JointDistricts,G13)&gt;3, "YES", "NO")</f>
        <v>NO</v>
      </c>
      <c r="G18" s="372" t="str" cm="1">
        <f t="array" ref="G18">IF(F18="YES",IF(COUNTIF(JointDistricts,G13),INDEX(JointCounties,MATCH(G13,JointDistricts)-3)," ")," ")</f>
        <v xml:space="preserve"> </v>
      </c>
      <c r="H18" s="373"/>
      <c r="I18" s="374"/>
    </row>
    <row r="19" spans="2:9" ht="16.5" thickBot="1" x14ac:dyDescent="0.3">
      <c r="B19" s="152"/>
      <c r="C19" s="152"/>
      <c r="D19" s="152"/>
      <c r="E19" s="152"/>
      <c r="F19" s="152"/>
    </row>
    <row r="20" spans="2:9" ht="21" x14ac:dyDescent="0.25">
      <c r="B20" s="422" t="s">
        <v>1236</v>
      </c>
      <c r="C20" s="423"/>
      <c r="D20" s="423"/>
      <c r="E20" s="423"/>
      <c r="F20" s="423"/>
      <c r="G20" s="423"/>
      <c r="H20" s="420">
        <v>0.03</v>
      </c>
      <c r="I20" s="421"/>
    </row>
    <row r="21" spans="2:9" x14ac:dyDescent="0.25">
      <c r="B21" s="376" t="s">
        <v>1357</v>
      </c>
      <c r="C21" s="377"/>
      <c r="D21" s="377"/>
      <c r="E21" s="377"/>
      <c r="F21" s="377"/>
      <c r="G21" s="153">
        <f>IF($F$16="NO",$G$12,IF(COUNTIF(JointDistricts,$G$13),INDEX(JointCounties,MATCH($G$13,JointDistricts))))</f>
        <v>0</v>
      </c>
      <c r="H21" s="294"/>
      <c r="I21" s="295"/>
    </row>
    <row r="22" spans="2:9" x14ac:dyDescent="0.25">
      <c r="B22" s="378" t="s">
        <v>1212</v>
      </c>
      <c r="C22" s="379"/>
      <c r="D22" s="379"/>
      <c r="E22" s="379"/>
      <c r="F22" s="379"/>
      <c r="G22" s="168" t="str" cm="1">
        <f t="array" ref="G22">IF($F$16="YES",IF(COUNTIF(JointDistricts,$G$13),INDEX(JointCounties,MATCH($G$13,JointDistricts)-1)," ")," ")</f>
        <v xml:space="preserve"> </v>
      </c>
      <c r="H22" s="294"/>
      <c r="I22" s="295"/>
    </row>
    <row r="23" spans="2:9" x14ac:dyDescent="0.25">
      <c r="B23" s="378"/>
      <c r="C23" s="379"/>
      <c r="D23" s="379"/>
      <c r="E23" s="379"/>
      <c r="F23" s="379"/>
      <c r="G23" s="168" t="str" cm="1">
        <f t="array" ref="G23">IF($F$17="YES",IF(COUNTIF(JointDistricts,$G$13),INDEX(JointCounties,MATCH($G$13,JointDistricts)-2)," ")," ")</f>
        <v xml:space="preserve"> </v>
      </c>
      <c r="H23" s="294"/>
      <c r="I23" s="295"/>
    </row>
    <row r="24" spans="2:9" x14ac:dyDescent="0.25">
      <c r="B24" s="296"/>
      <c r="C24" s="297"/>
      <c r="D24" s="297"/>
      <c r="E24" s="297"/>
      <c r="F24" s="297"/>
      <c r="G24" s="167" t="str" cm="1">
        <f t="array" ref="G24">IF($F$18="YES",IF(COUNTIF(JointDistricts,$G$13),INDEX(JointCounties,MATCH($G$13,JointDistricts)-3)," ")," ")</f>
        <v xml:space="preserve"> </v>
      </c>
      <c r="H24" s="294"/>
      <c r="I24" s="295"/>
    </row>
    <row r="25" spans="2:9" x14ac:dyDescent="0.25">
      <c r="B25" s="386" t="s">
        <v>1358</v>
      </c>
      <c r="C25" s="387"/>
      <c r="D25" s="387"/>
      <c r="E25" s="387"/>
      <c r="F25" s="387"/>
      <c r="G25" s="153">
        <f>IF($F$16="NO",$G$12,IF(COUNTIF(JointDistricts,$G$13),INDEX(JointCounties,MATCH($G$13,JointDistricts))))</f>
        <v>0</v>
      </c>
      <c r="H25" s="294"/>
      <c r="I25" s="295"/>
    </row>
    <row r="26" spans="2:9" x14ac:dyDescent="0.25">
      <c r="B26" s="361" t="s">
        <v>1263</v>
      </c>
      <c r="C26" s="362"/>
      <c r="D26" s="362"/>
      <c r="E26" s="362"/>
      <c r="F26" s="385"/>
      <c r="G26" s="168" t="str" cm="1">
        <f t="array" ref="G26">IF($F$16="YES",IF(COUNTIF(JointDistricts,$G$13),INDEX(JointCounties,MATCH($G$13,JointDistricts)-1)," ")," ")</f>
        <v xml:space="preserve"> </v>
      </c>
      <c r="H26" s="294"/>
      <c r="I26" s="295"/>
    </row>
    <row r="27" spans="2:9" x14ac:dyDescent="0.25">
      <c r="B27" s="361"/>
      <c r="C27" s="362"/>
      <c r="D27" s="362"/>
      <c r="E27" s="362"/>
      <c r="F27" s="385"/>
      <c r="G27" s="168" t="str" cm="1">
        <f t="array" ref="G27">IF($F$17="YES",IF(COUNTIF(JointDistricts,$G$13),INDEX(JointCounties,MATCH($G$13,JointDistricts)-2)," ")," ")</f>
        <v xml:space="preserve"> </v>
      </c>
      <c r="H27" s="324"/>
      <c r="I27" s="325"/>
    </row>
    <row r="28" spans="2:9" x14ac:dyDescent="0.25">
      <c r="B28" s="361"/>
      <c r="C28" s="362"/>
      <c r="D28" s="362"/>
      <c r="E28" s="362"/>
      <c r="F28" s="385"/>
      <c r="G28" s="168" t="str" cm="1">
        <f t="array" ref="G28">IF($F$18="YES",IF(COUNTIF(JointDistricts,$G$13),INDEX(JointCounties,MATCH($G$13,JointDistricts)-3)," ")," ")</f>
        <v xml:space="preserve"> </v>
      </c>
      <c r="H28" s="370"/>
      <c r="I28" s="371"/>
    </row>
    <row r="29" spans="2:9" x14ac:dyDescent="0.25">
      <c r="B29" s="361" t="s">
        <v>1414</v>
      </c>
      <c r="C29" s="362"/>
      <c r="D29" s="362"/>
      <c r="E29" s="362"/>
      <c r="F29" s="362"/>
      <c r="G29" s="362"/>
      <c r="H29" s="363"/>
      <c r="I29" s="364"/>
    </row>
    <row r="30" spans="2:9" x14ac:dyDescent="0.25">
      <c r="B30" s="155" t="s">
        <v>1361</v>
      </c>
      <c r="C30" s="169"/>
      <c r="D30" s="169"/>
      <c r="E30" s="169"/>
      <c r="F30" s="169"/>
      <c r="G30" s="153">
        <f>IF($F$16="NO",$G$12,IF(COUNTIF(JointDistricts,$G$13),INDEX(JointCounties,MATCH($G$13,JointDistricts))))</f>
        <v>0</v>
      </c>
      <c r="H30" s="324"/>
      <c r="I30" s="325"/>
    </row>
    <row r="31" spans="2:9" x14ac:dyDescent="0.25">
      <c r="B31" s="361" t="s">
        <v>1360</v>
      </c>
      <c r="C31" s="362"/>
      <c r="D31" s="362"/>
      <c r="E31" s="362"/>
      <c r="F31" s="385"/>
      <c r="G31" s="167" t="str" cm="1">
        <f t="array" ref="G31">IF($F$16="YES",IF(COUNTIF(JointDistricts,$G$13),INDEX(JointCounties,MATCH($G$13,JointDistricts)-1)," ")," ")</f>
        <v xml:space="preserve"> </v>
      </c>
      <c r="H31" s="294"/>
      <c r="I31" s="295"/>
    </row>
    <row r="32" spans="2:9" x14ac:dyDescent="0.25">
      <c r="B32" s="361"/>
      <c r="C32" s="362"/>
      <c r="D32" s="362"/>
      <c r="E32" s="362"/>
      <c r="F32" s="362"/>
      <c r="G32" s="167" t="str" cm="1">
        <f t="array" ref="G32">IF($F$17="YES",IF(COUNTIF(JointDistricts,$G$13),INDEX(JointCounties,MATCH($G$13,JointDistricts)-2)," ")," ")</f>
        <v xml:space="preserve"> </v>
      </c>
      <c r="H32" s="324"/>
      <c r="I32" s="325"/>
    </row>
    <row r="33" spans="2:9" x14ac:dyDescent="0.25">
      <c r="B33" s="361"/>
      <c r="C33" s="362"/>
      <c r="D33" s="362"/>
      <c r="E33" s="362"/>
      <c r="F33" s="362"/>
      <c r="G33" s="167" t="str" cm="1">
        <f t="array" ref="G33">IF($F$18="YES",IF(COUNTIF(JointDistricts,$G$13),INDEX(JointCounties,MATCH($G$13,JointDistricts)-3)," ")," ")</f>
        <v xml:space="preserve"> </v>
      </c>
      <c r="H33" s="294"/>
      <c r="I33" s="295"/>
    </row>
    <row r="34" spans="2:9" x14ac:dyDescent="0.25">
      <c r="B34" s="303" t="s">
        <v>1211</v>
      </c>
      <c r="C34" s="304"/>
      <c r="D34" s="304"/>
      <c r="E34" s="304"/>
      <c r="F34" s="304"/>
      <c r="G34" s="305"/>
      <c r="H34" s="318"/>
      <c r="I34" s="319"/>
    </row>
    <row r="35" spans="2:9" x14ac:dyDescent="0.25">
      <c r="B35" s="361" t="s">
        <v>1243</v>
      </c>
      <c r="C35" s="362"/>
      <c r="D35" s="362"/>
      <c r="E35" s="362"/>
      <c r="F35" s="362"/>
      <c r="G35" s="385"/>
      <c r="H35" s="294"/>
      <c r="I35" s="295"/>
    </row>
    <row r="36" spans="2:9" ht="15.75" customHeight="1" x14ac:dyDescent="0.25">
      <c r="B36" s="397" t="str">
        <f>IF(G11="School","",IF(G11="City","Was this city annexed into a fire district this year?","Skip these last two rows that only apply to cities/schools and continue"))</f>
        <v>Skip these last two rows that only apply to cities/schools and continue</v>
      </c>
      <c r="C36" s="398"/>
      <c r="D36" s="398"/>
      <c r="E36" s="398"/>
      <c r="F36" s="398"/>
      <c r="G36" s="398"/>
      <c r="H36" s="298"/>
      <c r="I36" s="299"/>
    </row>
    <row r="37" spans="2:9" ht="47.45" customHeight="1" thickBot="1" x14ac:dyDescent="0.3">
      <c r="B37" s="399" t="str">
        <f>IF(G11="School","Enter the amount of funds received from the School District Facilities Fund in tax year 2024, including any annualized payments from the School Modernization Facilities Fund (if applicable):",IF(AND(G11="City",H36="Yes"), "Enter the amount spent on fire services from the city's property tax budget in the last full year the city provided fire protection services to its residents:", ""))</f>
        <v/>
      </c>
      <c r="C37" s="400"/>
      <c r="D37" s="400"/>
      <c r="E37" s="400"/>
      <c r="F37" s="400"/>
      <c r="G37" s="400"/>
      <c r="H37" s="338"/>
      <c r="I37" s="339"/>
    </row>
    <row r="38" spans="2:9" ht="16.5" thickBot="1" x14ac:dyDescent="0.3"/>
    <row r="39" spans="2:9" ht="24" customHeight="1" x14ac:dyDescent="0.25">
      <c r="B39" s="300" t="s">
        <v>1242</v>
      </c>
      <c r="C39" s="301"/>
      <c r="D39" s="301"/>
      <c r="E39" s="301"/>
      <c r="F39" s="301"/>
      <c r="G39" s="301"/>
      <c r="H39" s="301"/>
      <c r="I39" s="302"/>
    </row>
    <row r="40" spans="2:9" x14ac:dyDescent="0.25">
      <c r="B40" s="296" t="s">
        <v>1213</v>
      </c>
      <c r="C40" s="297"/>
      <c r="D40" s="297"/>
      <c r="E40" s="297"/>
      <c r="F40" s="297"/>
      <c r="G40" s="297"/>
      <c r="H40" s="298"/>
      <c r="I40" s="299"/>
    </row>
    <row r="41" spans="2:9" x14ac:dyDescent="0.25">
      <c r="B41" s="361" t="s">
        <v>1359</v>
      </c>
      <c r="C41" s="362"/>
      <c r="D41" s="362"/>
      <c r="E41" s="362"/>
      <c r="F41" s="362"/>
      <c r="G41" s="385"/>
      <c r="H41" s="294"/>
      <c r="I41" s="295"/>
    </row>
    <row r="42" spans="2:9" ht="15.75" customHeight="1" x14ac:dyDescent="0.25">
      <c r="B42" s="395" t="s">
        <v>1233</v>
      </c>
      <c r="C42" s="396"/>
      <c r="D42" s="396"/>
      <c r="E42" s="396"/>
      <c r="F42" s="396"/>
      <c r="G42" s="396"/>
      <c r="H42" s="298"/>
      <c r="I42" s="299"/>
    </row>
    <row r="43" spans="2:9" x14ac:dyDescent="0.25">
      <c r="B43" s="313" t="s">
        <v>1228</v>
      </c>
      <c r="C43" s="314"/>
      <c r="D43" s="314"/>
      <c r="E43" s="314"/>
      <c r="F43" s="314"/>
      <c r="G43" s="315"/>
      <c r="H43" s="316"/>
      <c r="I43" s="317"/>
    </row>
    <row r="44" spans="2:9" ht="31.5" customHeight="1" x14ac:dyDescent="0.25">
      <c r="B44" s="335" t="s">
        <v>1369</v>
      </c>
      <c r="C44" s="336"/>
      <c r="D44" s="336"/>
      <c r="E44" s="336"/>
      <c r="F44" s="336"/>
      <c r="G44" s="337"/>
      <c r="H44" s="318"/>
      <c r="I44" s="319"/>
    </row>
    <row r="45" spans="2:9" ht="31.5" customHeight="1" thickBot="1" x14ac:dyDescent="0.3">
      <c r="B45" s="340" t="s">
        <v>1381</v>
      </c>
      <c r="C45" s="341"/>
      <c r="D45" s="341"/>
      <c r="E45" s="341"/>
      <c r="F45" s="341"/>
      <c r="G45" s="342"/>
      <c r="H45" s="338"/>
      <c r="I45" s="339"/>
    </row>
    <row r="46" spans="2:9" ht="16.5" thickBot="1" x14ac:dyDescent="0.3">
      <c r="B46" s="27"/>
      <c r="C46" s="27"/>
      <c r="D46" s="27"/>
      <c r="E46" s="27"/>
      <c r="F46" s="27"/>
      <c r="G46" s="27"/>
    </row>
    <row r="47" spans="2:9" ht="24" thickBot="1" x14ac:dyDescent="0.4">
      <c r="B47" s="310" t="str">
        <f>IF(G11="School", "This Section Does Not Apply to School Districts", "Recovery of Forgone Amounts:")</f>
        <v>Recovery of Forgone Amounts:</v>
      </c>
      <c r="C47" s="311"/>
      <c r="D47" s="311"/>
      <c r="E47" s="311"/>
      <c r="F47" s="311"/>
      <c r="G47" s="311"/>
      <c r="H47" s="311"/>
      <c r="I47" s="312"/>
    </row>
    <row r="48" spans="2:9" ht="15.75" customHeight="1" x14ac:dyDescent="0.25">
      <c r="B48" s="392" t="s">
        <v>1210</v>
      </c>
      <c r="C48" s="393"/>
      <c r="D48" s="393"/>
      <c r="E48" s="393"/>
      <c r="F48" s="393"/>
      <c r="G48" s="394"/>
      <c r="H48" s="322">
        <f>IFERROR( IF(Hidden!C54=".","N/A",Hidden!C54),"")</f>
        <v>0</v>
      </c>
      <c r="I48" s="323"/>
    </row>
    <row r="49" spans="2:9" x14ac:dyDescent="0.25">
      <c r="B49" s="306" t="str">
        <f>IF(G11="School", "Not applicable to school districts", "Will the district use its forgone balance to increase this year's budget?")</f>
        <v>Will the district use its forgone balance to increase this year's budget?</v>
      </c>
      <c r="C49" s="307"/>
      <c r="D49" s="307"/>
      <c r="E49" s="307"/>
      <c r="F49" s="307"/>
      <c r="G49" s="307"/>
      <c r="H49" s="308"/>
      <c r="I49" s="309"/>
    </row>
    <row r="50" spans="2:9" x14ac:dyDescent="0.25">
      <c r="B50" s="320" t="s">
        <v>1385</v>
      </c>
      <c r="C50" s="321"/>
      <c r="D50" s="321"/>
      <c r="E50" s="321"/>
      <c r="F50" s="321"/>
      <c r="G50" s="321"/>
      <c r="H50" s="345" t="e">
        <f>IF('1. Dashboard'!G13="School", 0, MAX(ROUND(MIN($H$48,'2. L-2 Worksheet'!$F$42*0.01),0),0))</f>
        <v>#VALUE!</v>
      </c>
      <c r="I50" s="346"/>
    </row>
    <row r="51" spans="2:9" x14ac:dyDescent="0.25">
      <c r="B51" s="320" t="s">
        <v>1386</v>
      </c>
      <c r="C51" s="321"/>
      <c r="D51" s="321"/>
      <c r="E51" s="321"/>
      <c r="F51" s="321"/>
      <c r="G51" s="321"/>
      <c r="H51" s="343"/>
      <c r="I51" s="344"/>
    </row>
    <row r="52" spans="2:9" x14ac:dyDescent="0.25">
      <c r="B52" s="320" t="s">
        <v>1250</v>
      </c>
      <c r="C52" s="321"/>
      <c r="D52" s="321"/>
      <c r="E52" s="321"/>
      <c r="F52" s="321"/>
      <c r="G52" s="321"/>
      <c r="H52" s="345" t="e">
        <f>IF('1. Dashboard'!G13="School", 0, ROUND(MIN($H$48-H51,'2. L-2 Worksheet'!$F$42*0.03),0))</f>
        <v>#VALUE!</v>
      </c>
      <c r="I52" s="346"/>
    </row>
    <row r="53" spans="2:9" x14ac:dyDescent="0.25">
      <c r="B53" s="320" t="s">
        <v>1217</v>
      </c>
      <c r="C53" s="321"/>
      <c r="D53" s="321"/>
      <c r="E53" s="321"/>
      <c r="F53" s="321"/>
      <c r="G53" s="321"/>
      <c r="H53" s="343"/>
      <c r="I53" s="344"/>
    </row>
    <row r="54" spans="2:9" ht="16.5" thickBot="1" x14ac:dyDescent="0.3">
      <c r="B54" s="332" t="s">
        <v>1251</v>
      </c>
      <c r="C54" s="333"/>
      <c r="D54" s="333"/>
      <c r="E54" s="333"/>
      <c r="F54" s="333"/>
      <c r="G54" s="333"/>
      <c r="H54" s="333"/>
      <c r="I54" s="334"/>
    </row>
    <row r="55" spans="2:9" ht="44.25" customHeight="1" thickBot="1" x14ac:dyDescent="0.3">
      <c r="B55" s="212"/>
      <c r="C55" s="212"/>
      <c r="D55" s="212"/>
      <c r="E55" s="212"/>
      <c r="F55" s="212"/>
      <c r="G55" s="212"/>
      <c r="H55" s="212"/>
      <c r="I55" s="212"/>
    </row>
    <row r="56" spans="2:9" ht="24" customHeight="1" x14ac:dyDescent="0.25">
      <c r="B56" s="329" t="s">
        <v>1362</v>
      </c>
      <c r="C56" s="330"/>
      <c r="D56" s="330"/>
      <c r="E56" s="330"/>
      <c r="F56" s="330"/>
      <c r="G56" s="330"/>
      <c r="H56" s="330"/>
      <c r="I56" s="331"/>
    </row>
    <row r="57" spans="2:9" ht="50.25" customHeight="1" x14ac:dyDescent="0.25">
      <c r="B57" s="326" t="s">
        <v>1394</v>
      </c>
      <c r="C57" s="327"/>
      <c r="D57" s="327"/>
      <c r="E57" s="327"/>
      <c r="F57" s="327"/>
      <c r="G57" s="327"/>
      <c r="H57" s="327"/>
      <c r="I57" s="328"/>
    </row>
    <row r="58" spans="2:9" ht="18" customHeight="1" x14ac:dyDescent="0.25">
      <c r="B58" s="288" t="s">
        <v>1405</v>
      </c>
      <c r="C58" s="289"/>
      <c r="D58" s="289"/>
      <c r="E58" s="289"/>
      <c r="F58" s="289"/>
      <c r="G58" s="290"/>
      <c r="H58" s="267">
        <f>H20</f>
        <v>0.03</v>
      </c>
      <c r="I58" s="264">
        <f>IF(G13&lt;&gt;0,'2. L-2 Worksheet'!F6,0)</f>
        <v>0</v>
      </c>
    </row>
    <row r="59" spans="2:9" ht="18" customHeight="1" x14ac:dyDescent="0.25">
      <c r="B59" s="288" t="s">
        <v>1370</v>
      </c>
      <c r="C59" s="289"/>
      <c r="D59" s="289"/>
      <c r="E59" s="289"/>
      <c r="F59" s="289"/>
      <c r="G59" s="290"/>
      <c r="H59" s="263" t="str">
        <f>IFERROR(ROUND(I59/'2. L-2 Worksheet'!$F$5,4),"")</f>
        <v/>
      </c>
      <c r="I59" s="264">
        <f>'2. L-2 Worksheet'!F28</f>
        <v>0</v>
      </c>
    </row>
    <row r="60" spans="2:9" ht="18" customHeight="1" x14ac:dyDescent="0.25">
      <c r="B60" s="288" t="str">
        <f>IF(H29="Yes","Annexation budget increase","")</f>
        <v/>
      </c>
      <c r="C60" s="289"/>
      <c r="D60" s="289"/>
      <c r="E60" s="289"/>
      <c r="F60" s="289"/>
      <c r="G60" s="290"/>
      <c r="H60" s="263" t="str">
        <f>IFERROR(ROUND(I60/'2. L-2 Worksheet'!$F$5,4),"")</f>
        <v/>
      </c>
      <c r="I60" s="264" t="str">
        <f>IF(H29="Yes",'2. L-2 Worksheet'!F34,"")</f>
        <v/>
      </c>
    </row>
    <row r="61" spans="2:9" ht="18" customHeight="1" x14ac:dyDescent="0.25">
      <c r="B61" s="288" t="s">
        <v>1384</v>
      </c>
      <c r="C61" s="289"/>
      <c r="D61" s="289"/>
      <c r="E61" s="289"/>
      <c r="F61" s="289"/>
      <c r="G61" s="290"/>
      <c r="H61" s="263" t="str">
        <f>IFERROR(ROUND(I61/'2. L-2 Worksheet'!$F$5,4),"")</f>
        <v/>
      </c>
      <c r="I61" s="264">
        <f>IFERROR(MIN('2. L-2 Worksheet'!D41-'2. L-2 Worksheet'!D40,0),0)</f>
        <v>0</v>
      </c>
    </row>
    <row r="62" spans="2:9" ht="18" customHeight="1" x14ac:dyDescent="0.25">
      <c r="B62" s="288" t="str">
        <f>IF(H34="Yes","Terminating Urban Renewal allowable increase","")</f>
        <v/>
      </c>
      <c r="C62" s="289"/>
      <c r="D62" s="289"/>
      <c r="E62" s="289"/>
      <c r="F62" s="289"/>
      <c r="G62" s="290"/>
      <c r="H62" s="263" t="str">
        <f>IFERROR(ROUND(I62/'2. L-2 Worksheet'!$F$5,4),"")</f>
        <v/>
      </c>
      <c r="I62" s="264" t="str">
        <f>IF(H34="Yes",'2. L-2 Worksheet'!F38,"")</f>
        <v/>
      </c>
    </row>
    <row r="63" spans="2:9" ht="18" customHeight="1" x14ac:dyDescent="0.25">
      <c r="B63" s="288" t="str">
        <f>IF(H40="Yes","Effect of changing solar farm tax revenue","")</f>
        <v/>
      </c>
      <c r="C63" s="289"/>
      <c r="D63" s="289"/>
      <c r="E63" s="289"/>
      <c r="F63" s="289"/>
      <c r="G63" s="290"/>
      <c r="H63" s="263" t="str">
        <f>IFERROR(ROUND(I63/'2. L-2 Worksheet'!$F$5,4),"")</f>
        <v/>
      </c>
      <c r="I63" s="264" t="str">
        <f>IF(H40="Yes",'2. L-2 Worksheet'!F52-'2. L-2 Worksheet'!F53,"")</f>
        <v/>
      </c>
    </row>
    <row r="64" spans="2:9" ht="18" customHeight="1" x14ac:dyDescent="0.25">
      <c r="B64" s="288" t="s">
        <v>1408</v>
      </c>
      <c r="C64" s="289"/>
      <c r="D64" s="289"/>
      <c r="E64" s="289"/>
      <c r="F64" s="289"/>
      <c r="G64" s="290"/>
      <c r="H64" s="263" t="str">
        <f>IFERROR(ROUND(I64/'2. L-2 Worksheet'!$F$5,4),"")</f>
        <v/>
      </c>
      <c r="I64" s="264">
        <f>SUM(-'2. L-2 Worksheet'!D48,-'2. L-2 Worksheet'!D49)</f>
        <v>0</v>
      </c>
    </row>
    <row r="65" spans="2:9" ht="18" customHeight="1" x14ac:dyDescent="0.25">
      <c r="B65" s="288" t="str">
        <f>IF(G11="City","Budget reduction if city annexed into fire district","")</f>
        <v/>
      </c>
      <c r="C65" s="289"/>
      <c r="D65" s="289"/>
      <c r="E65" s="289"/>
      <c r="F65" s="289"/>
      <c r="G65" s="290"/>
      <c r="H65" s="263" t="str">
        <f>IFERROR(ROUND(I65/'2. L-2 Worksheet'!$F$5,4),"")</f>
        <v/>
      </c>
      <c r="I65" s="264" t="str">
        <f>IF(G11="City",-('2. L-2 Worksheet'!F55),"")</f>
        <v/>
      </c>
    </row>
    <row r="66" spans="2:9" ht="31.5" customHeight="1" x14ac:dyDescent="0.25">
      <c r="B66" s="291" t="s">
        <v>1407</v>
      </c>
      <c r="C66" s="292"/>
      <c r="D66" s="292"/>
      <c r="E66" s="292"/>
      <c r="F66" s="292"/>
      <c r="G66" s="293"/>
      <c r="H66" s="263" t="str">
        <f>IFERROR( IF($G$11="School","",
                    ROUND(I66/'2. L-2 Worksheet'!$F$42,4)),"")</f>
        <v/>
      </c>
      <c r="I66" s="264">
        <f>IF($G$11="School","", '2. L-2 Worksheet'!D58)</f>
        <v>0</v>
      </c>
    </row>
    <row r="67" spans="2:9" ht="31.5" customHeight="1" x14ac:dyDescent="0.25">
      <c r="B67" s="291" t="s">
        <v>1406</v>
      </c>
      <c r="C67" s="292"/>
      <c r="D67" s="292"/>
      <c r="E67" s="292"/>
      <c r="F67" s="292"/>
      <c r="G67" s="293"/>
      <c r="H67" s="263" t="str">
        <f>IFERROR( IF($G$11="School","",
                    ROUND(I67/'2. L-2 Worksheet'!$F$42,4)),"")</f>
        <v/>
      </c>
      <c r="I67" s="264">
        <f>IF($G$11="School","", '2. L-2 Worksheet'!D59)</f>
        <v>0</v>
      </c>
    </row>
    <row r="68" spans="2:9" ht="18" customHeight="1" thickBot="1" x14ac:dyDescent="0.3">
      <c r="B68" s="285" t="s">
        <v>1404</v>
      </c>
      <c r="C68" s="286"/>
      <c r="D68" s="286"/>
      <c r="E68" s="286"/>
      <c r="F68" s="286"/>
      <c r="G68" s="287"/>
      <c r="H68" s="265" t="str">
        <f>IFERROR(ROUND(I68/'2. L-2 Worksheet'!$F$5,4),"")</f>
        <v/>
      </c>
      <c r="I68" s="266">
        <f>SUM(I58:I67)</f>
        <v>0</v>
      </c>
    </row>
  </sheetData>
  <sheetProtection sheet="1" selectLockedCells="1"/>
  <protectedRanges>
    <protectedRange sqref="G10:I18 H56:H57 H20:H42" name="Range1"/>
  </protectedRanges>
  <mergeCells count="99">
    <mergeCell ref="B33:F33"/>
    <mergeCell ref="B8:I9"/>
    <mergeCell ref="B11:F11"/>
    <mergeCell ref="G11:I11"/>
    <mergeCell ref="B12:F12"/>
    <mergeCell ref="G12:I12"/>
    <mergeCell ref="B14:I14"/>
    <mergeCell ref="E15:F15"/>
    <mergeCell ref="G15:I15"/>
    <mergeCell ref="G16:I16"/>
    <mergeCell ref="B13:F13"/>
    <mergeCell ref="G13:I13"/>
    <mergeCell ref="H20:I20"/>
    <mergeCell ref="B20:G20"/>
    <mergeCell ref="H23:I23"/>
    <mergeCell ref="H24:I24"/>
    <mergeCell ref="B48:G48"/>
    <mergeCell ref="H50:I50"/>
    <mergeCell ref="B42:G42"/>
    <mergeCell ref="H42:I42"/>
    <mergeCell ref="B36:G36"/>
    <mergeCell ref="B37:G37"/>
    <mergeCell ref="H36:I36"/>
    <mergeCell ref="H37:I37"/>
    <mergeCell ref="B41:G41"/>
    <mergeCell ref="H41:I41"/>
    <mergeCell ref="H5:I5"/>
    <mergeCell ref="B5:G5"/>
    <mergeCell ref="B35:G35"/>
    <mergeCell ref="B26:F26"/>
    <mergeCell ref="B27:F27"/>
    <mergeCell ref="B28:F28"/>
    <mergeCell ref="H25:I25"/>
    <mergeCell ref="H27:I27"/>
    <mergeCell ref="B25:F25"/>
    <mergeCell ref="B31:F31"/>
    <mergeCell ref="B32:F32"/>
    <mergeCell ref="G17:I17"/>
    <mergeCell ref="C17:E17"/>
    <mergeCell ref="C16:E16"/>
    <mergeCell ref="H31:I31"/>
    <mergeCell ref="H32:I32"/>
    <mergeCell ref="B2:I3"/>
    <mergeCell ref="B6:I6"/>
    <mergeCell ref="B4:G4"/>
    <mergeCell ref="H4:I4"/>
    <mergeCell ref="B29:G29"/>
    <mergeCell ref="H29:I29"/>
    <mergeCell ref="B10:F10"/>
    <mergeCell ref="G10:I10"/>
    <mergeCell ref="H26:I26"/>
    <mergeCell ref="H28:I28"/>
    <mergeCell ref="G18:I18"/>
    <mergeCell ref="C18:E18"/>
    <mergeCell ref="B21:F21"/>
    <mergeCell ref="B22:F22"/>
    <mergeCell ref="B23:F23"/>
    <mergeCell ref="B24:F24"/>
    <mergeCell ref="H30:I30"/>
    <mergeCell ref="H21:I21"/>
    <mergeCell ref="H22:I22"/>
    <mergeCell ref="B57:I57"/>
    <mergeCell ref="B56:I56"/>
    <mergeCell ref="B54:I54"/>
    <mergeCell ref="B44:G44"/>
    <mergeCell ref="H44:I44"/>
    <mergeCell ref="H45:I45"/>
    <mergeCell ref="B45:G45"/>
    <mergeCell ref="B51:G51"/>
    <mergeCell ref="H51:I51"/>
    <mergeCell ref="H52:I52"/>
    <mergeCell ref="B52:G52"/>
    <mergeCell ref="B53:G53"/>
    <mergeCell ref="H53:I53"/>
    <mergeCell ref="B58:G58"/>
    <mergeCell ref="B59:G59"/>
    <mergeCell ref="H33:I33"/>
    <mergeCell ref="B40:G40"/>
    <mergeCell ref="H40:I40"/>
    <mergeCell ref="B39:I39"/>
    <mergeCell ref="H35:I35"/>
    <mergeCell ref="B34:G34"/>
    <mergeCell ref="B49:G49"/>
    <mergeCell ref="H49:I49"/>
    <mergeCell ref="B47:I47"/>
    <mergeCell ref="B43:G43"/>
    <mergeCell ref="H43:I43"/>
    <mergeCell ref="H34:I34"/>
    <mergeCell ref="B50:G50"/>
    <mergeCell ref="H48:I48"/>
    <mergeCell ref="B68:G68"/>
    <mergeCell ref="B65:G65"/>
    <mergeCell ref="B66:G66"/>
    <mergeCell ref="B67:G67"/>
    <mergeCell ref="B60:G60"/>
    <mergeCell ref="B62:G62"/>
    <mergeCell ref="B61:G61"/>
    <mergeCell ref="B63:G63"/>
    <mergeCell ref="B64:G64"/>
  </mergeCells>
  <conditionalFormatting sqref="B27 G27:I27">
    <cfRule type="expression" dxfId="99" priority="111">
      <formula>AND($F$16="NO",$F$17="YES")</formula>
    </cfRule>
    <cfRule type="expression" dxfId="98" priority="120">
      <formula>$F$17="No"</formula>
    </cfRule>
  </conditionalFormatting>
  <conditionalFormatting sqref="B28 G28:I28">
    <cfRule type="expression" dxfId="97" priority="112">
      <formula>AND($F$17="NO", $F$18="YES")</formula>
    </cfRule>
    <cfRule type="expression" dxfId="96" priority="121">
      <formula>$F$18="No"</formula>
    </cfRule>
  </conditionalFormatting>
  <conditionalFormatting sqref="B32 G32:I32">
    <cfRule type="expression" dxfId="95" priority="109">
      <formula>AND($F$16="NO", $F$17="YES")</formula>
    </cfRule>
  </conditionalFormatting>
  <conditionalFormatting sqref="B33 G33:I33">
    <cfRule type="expression" dxfId="94" priority="110">
      <formula>AND($F$17="NO", $F$18="YES", $H$29="Yes")</formula>
    </cfRule>
  </conditionalFormatting>
  <conditionalFormatting sqref="B41">
    <cfRule type="expression" dxfId="93" priority="63">
      <formula>$H$40&lt;&gt;"Yes"</formula>
    </cfRule>
  </conditionalFormatting>
  <conditionalFormatting sqref="B43">
    <cfRule type="expression" dxfId="92" priority="72">
      <formula>$H$42&lt;&gt;"Yes"</formula>
    </cfRule>
  </conditionalFormatting>
  <conditionalFormatting sqref="B12:F13">
    <cfRule type="expression" dxfId="91" priority="13">
      <formula>$G$11=""</formula>
    </cfRule>
  </conditionalFormatting>
  <conditionalFormatting sqref="B30:G33">
    <cfRule type="expression" dxfId="90" priority="113">
      <formula>$H$29&lt;&gt;"Yes"</formula>
    </cfRule>
  </conditionalFormatting>
  <conditionalFormatting sqref="B34:G34">
    <cfRule type="expression" dxfId="89" priority="34">
      <formula>OR($H$29="", AND($H$29="Yes",$H$30=0,$H$31=0,$H$32=0,$H$33=0))</formula>
    </cfRule>
  </conditionalFormatting>
  <conditionalFormatting sqref="B35:G35">
    <cfRule type="expression" dxfId="88" priority="31">
      <formula>$H$34&lt;&gt;"Yes"</formula>
    </cfRule>
  </conditionalFormatting>
  <conditionalFormatting sqref="B36:G36">
    <cfRule type="expression" dxfId="87" priority="44">
      <formula>OR($H$34="", AND($H$34="Yes",$H$35=0))</formula>
    </cfRule>
  </conditionalFormatting>
  <conditionalFormatting sqref="B40:G40">
    <cfRule type="expression" dxfId="86" priority="265">
      <formula>OR($H$34="", AND($H$34="Yes",$H$35=0))</formula>
    </cfRule>
  </conditionalFormatting>
  <conditionalFormatting sqref="B42:G42">
    <cfRule type="expression" dxfId="85" priority="52">
      <formula>OR($H$40="",AND($H$40="Yes",$H$41=0))</formula>
    </cfRule>
  </conditionalFormatting>
  <conditionalFormatting sqref="B44:G44">
    <cfRule type="expression" dxfId="84" priority="39">
      <formula>OR($H$42="", AND($H$42="Yes",$H$43=0))</formula>
    </cfRule>
  </conditionalFormatting>
  <conditionalFormatting sqref="B45:G45">
    <cfRule type="expression" dxfId="83" priority="42">
      <formula>$H$44&lt;&gt;"Yes"</formula>
    </cfRule>
  </conditionalFormatting>
  <conditionalFormatting sqref="B48:G53 B66:G67">
    <cfRule type="expression" dxfId="82" priority="3">
      <formula>$G$11="School"</formula>
    </cfRule>
  </conditionalFormatting>
  <conditionalFormatting sqref="B49:G49">
    <cfRule type="expression" dxfId="81" priority="18">
      <formula>OR($H$40="",$H$42="",$H$44="")</formula>
    </cfRule>
  </conditionalFormatting>
  <conditionalFormatting sqref="B60:G60">
    <cfRule type="expression" dxfId="80" priority="4">
      <formula>$H$29&lt;&gt;"Yes"</formula>
    </cfRule>
  </conditionalFormatting>
  <conditionalFormatting sqref="B14:I20 B21:G37 B40:G46 B58:B68">
    <cfRule type="expression" dxfId="79" priority="83">
      <formula>$G$13=""</formula>
    </cfRule>
  </conditionalFormatting>
  <conditionalFormatting sqref="B17:I18">
    <cfRule type="expression" dxfId="78" priority="236">
      <formula>$F$16="NO"</formula>
    </cfRule>
  </conditionalFormatting>
  <conditionalFormatting sqref="B18:I18">
    <cfRule type="expression" dxfId="77" priority="86">
      <formula>$F$17="NO"</formula>
    </cfRule>
  </conditionalFormatting>
  <conditionalFormatting sqref="B54:I54">
    <cfRule type="expression" dxfId="76" priority="22">
      <formula>OR($H$49&lt;&gt;"Yes", AND($H$51=0,$H$53=0))</formula>
    </cfRule>
  </conditionalFormatting>
  <conditionalFormatting sqref="G21">
    <cfRule type="expression" dxfId="75" priority="71">
      <formula>$G$12=""</formula>
    </cfRule>
  </conditionalFormatting>
  <conditionalFormatting sqref="G23">
    <cfRule type="expression" dxfId="74" priority="99">
      <formula>AND($F$16="NO",$F$17="YES")</formula>
    </cfRule>
  </conditionalFormatting>
  <conditionalFormatting sqref="G25">
    <cfRule type="expression" dxfId="73" priority="70">
      <formula>$G$12=""</formula>
    </cfRule>
  </conditionalFormatting>
  <conditionalFormatting sqref="G30">
    <cfRule type="expression" dxfId="72" priority="53">
      <formula>$G$12=""</formula>
    </cfRule>
  </conditionalFormatting>
  <conditionalFormatting sqref="G12:I13">
    <cfRule type="expression" dxfId="71" priority="12">
      <formula>$G$11=""</formula>
    </cfRule>
  </conditionalFormatting>
  <conditionalFormatting sqref="G13:I13">
    <cfRule type="expression" dxfId="70" priority="26">
      <formula>$G$12=""</formula>
    </cfRule>
  </conditionalFormatting>
  <conditionalFormatting sqref="G15:I15 B13:F13">
    <cfRule type="expression" dxfId="69" priority="14">
      <formula>$G$12=""</formula>
    </cfRule>
  </conditionalFormatting>
  <conditionalFormatting sqref="G22:I22">
    <cfRule type="expression" dxfId="68" priority="91">
      <formula>$F$16="No"</formula>
    </cfRule>
  </conditionalFormatting>
  <conditionalFormatting sqref="G23:I23">
    <cfRule type="expression" dxfId="67" priority="92">
      <formula>$F$17="No"</formula>
    </cfRule>
  </conditionalFormatting>
  <conditionalFormatting sqref="G24:I24">
    <cfRule type="expression" dxfId="66" priority="93">
      <formula>$F$18="No"</formula>
    </cfRule>
  </conditionalFormatting>
  <conditionalFormatting sqref="G30:I33">
    <cfRule type="expression" dxfId="65" priority="114">
      <formula>$H$29&lt;&gt;"Yes"</formula>
    </cfRule>
  </conditionalFormatting>
  <conditionalFormatting sqref="G31:I31 G26:I26">
    <cfRule type="expression" dxfId="64" priority="119">
      <formula>$F$16="No"</formula>
    </cfRule>
  </conditionalFormatting>
  <conditionalFormatting sqref="G32:I32 B32">
    <cfRule type="expression" dxfId="63" priority="117">
      <formula>$F$17="No"</formula>
    </cfRule>
  </conditionalFormatting>
  <conditionalFormatting sqref="G33:I33 B33">
    <cfRule type="expression" dxfId="62" priority="118">
      <formula>$F$18="No"</formula>
    </cfRule>
  </conditionalFormatting>
  <conditionalFormatting sqref="H5">
    <cfRule type="cellIs" dxfId="61" priority="41" operator="greaterThan">
      <formula>0.03</formula>
    </cfRule>
  </conditionalFormatting>
  <conditionalFormatting sqref="H37">
    <cfRule type="expression" dxfId="60" priority="239">
      <formula>OR(AND($G$11&lt;&gt;"City",$G$11&lt;&gt;"School"),AND($G$11&lt;&gt;"School",$H$36&lt;&gt;"Yes"))</formula>
    </cfRule>
  </conditionalFormatting>
  <conditionalFormatting sqref="H41">
    <cfRule type="expression" dxfId="59" priority="60">
      <formula>$H$40&lt;&gt;"Yes"</formula>
    </cfRule>
  </conditionalFormatting>
  <conditionalFormatting sqref="H43">
    <cfRule type="expression" dxfId="58" priority="235">
      <formula>$H$42&lt;&gt;"Yes"</formula>
    </cfRule>
  </conditionalFormatting>
  <conditionalFormatting sqref="H45">
    <cfRule type="expression" dxfId="57" priority="50">
      <formula>$H$44&lt;&gt;"Yes"</formula>
    </cfRule>
  </conditionalFormatting>
  <conditionalFormatting sqref="H49 H51 H53 H66:I67">
    <cfRule type="expression" dxfId="56" priority="1">
      <formula>$G$11="School"</formula>
    </cfRule>
  </conditionalFormatting>
  <conditionalFormatting sqref="H49">
    <cfRule type="expression" dxfId="55" priority="11">
      <formula>OR($H$40="",$H$42="",$H$44="")</formula>
    </cfRule>
  </conditionalFormatting>
  <conditionalFormatting sqref="H50 B50:G53 H52">
    <cfRule type="expression" dxfId="54" priority="21">
      <formula>OR($H$49&lt;&gt;"Yes",$H$48="N/A")</formula>
    </cfRule>
  </conditionalFormatting>
  <conditionalFormatting sqref="H50 H52">
    <cfRule type="expression" dxfId="53" priority="17">
      <formula>$G$11="School"</formula>
    </cfRule>
  </conditionalFormatting>
  <conditionalFormatting sqref="H51 H53">
    <cfRule type="expression" dxfId="52" priority="9">
      <formula>OR($H$49&lt;&gt;"Yes",$H$48="N/A")</formula>
    </cfRule>
    <cfRule type="expression" dxfId="51" priority="16">
      <formula>SUM($H$51,$H$53)&gt;$H$48</formula>
    </cfRule>
  </conditionalFormatting>
  <conditionalFormatting sqref="H51">
    <cfRule type="expression" dxfId="50" priority="19">
      <formula>$H$51&gt;$H$50</formula>
    </cfRule>
  </conditionalFormatting>
  <conditionalFormatting sqref="H53">
    <cfRule type="expression" dxfId="49" priority="20">
      <formula>$H$53&gt;$H$52</formula>
    </cfRule>
  </conditionalFormatting>
  <conditionalFormatting sqref="H14:I18 H21:I37 H40:I45">
    <cfRule type="expression" dxfId="48" priority="2">
      <formula>$G$13=""</formula>
    </cfRule>
  </conditionalFormatting>
  <conditionalFormatting sqref="H23:I23">
    <cfRule type="expression" dxfId="47" priority="90">
      <formula>AND($F$16="NO",$F$17="YES")</formula>
    </cfRule>
  </conditionalFormatting>
  <conditionalFormatting sqref="H24:I24">
    <cfRule type="expression" dxfId="46" priority="89">
      <formula>AND($F$17="NO", $F$18="YES")</formula>
    </cfRule>
  </conditionalFormatting>
  <conditionalFormatting sqref="H30:I33">
    <cfRule type="expression" dxfId="45" priority="43">
      <formula>AND($H$29&lt;&gt;"Yes", OR($H$30&lt;&gt;0, $H$31&lt;&gt;0, $H$32&lt;&gt;0, $H$33&lt;&gt;0))</formula>
    </cfRule>
  </conditionalFormatting>
  <conditionalFormatting sqref="H34:I34">
    <cfRule type="expression" dxfId="44" priority="35">
      <formula>OR($H$29="", AND($H$29="Yes",$H$30=0,$H$31=0,$H$32=0,$H$33=0))</formula>
    </cfRule>
  </conditionalFormatting>
  <conditionalFormatting sqref="H35:I35">
    <cfRule type="expression" dxfId="43" priority="36">
      <formula>$H$34&lt;&gt;"Yes"</formula>
    </cfRule>
  </conditionalFormatting>
  <conditionalFormatting sqref="H36:I36">
    <cfRule type="expression" dxfId="42" priority="85">
      <formula>$G$11&lt;&gt;"City"</formula>
    </cfRule>
    <cfRule type="expression" dxfId="41" priority="238">
      <formula>OR($G$11&lt;&gt;"City",$H$34="", AND($H$34="Yes",$H$35=0))</formula>
    </cfRule>
  </conditionalFormatting>
  <conditionalFormatting sqref="H37:I37">
    <cfRule type="expression" dxfId="40" priority="8">
      <formula>AND($H$36&lt;&gt;"Yes",$H$37&lt;&gt;0,$G$11&lt;&gt;"School")</formula>
    </cfRule>
    <cfRule type="expression" dxfId="39" priority="79">
      <formula>AND($G$11&lt;&gt;"City", $G$11&lt;&gt;"School")</formula>
    </cfRule>
  </conditionalFormatting>
  <conditionalFormatting sqref="H40:I40">
    <cfRule type="expression" dxfId="38" priority="243">
      <formula>OR($H$34="", AND($H$34="Yes",$H$35=0))</formula>
    </cfRule>
  </conditionalFormatting>
  <conditionalFormatting sqref="H41:I41">
    <cfRule type="expression" dxfId="37" priority="55">
      <formula>AND($H$40&lt;&gt;"Yes",$H$41&lt;&gt;0)</formula>
    </cfRule>
  </conditionalFormatting>
  <conditionalFormatting sqref="H42:I42">
    <cfRule type="expression" dxfId="36" priority="105">
      <formula>OR($H$40="",AND($H$40="Yes",$H$41=0))</formula>
    </cfRule>
  </conditionalFormatting>
  <conditionalFormatting sqref="H43:I43">
    <cfRule type="expression" dxfId="35" priority="47">
      <formula>AND($H$42&lt;&gt;"Yes",$H$43&lt;&gt;0)</formula>
    </cfRule>
  </conditionalFormatting>
  <conditionalFormatting sqref="H44:I44">
    <cfRule type="expression" dxfId="34" priority="40">
      <formula>OR($H$42="", AND($H$42="Yes",$H$43=0))</formula>
    </cfRule>
  </conditionalFormatting>
  <dataValidations count="8">
    <dataValidation type="list" allowBlank="1" showInputMessage="1" showErrorMessage="1" sqref="G12:I12" xr:uid="{B230A8A9-2BDB-4616-A376-763A3C59F9FF}">
      <formula1>CountyList</formula1>
    </dataValidation>
    <dataValidation type="list" allowBlank="1" showInputMessage="1" showErrorMessage="1" sqref="G13:I13" xr:uid="{F914A0A2-8BE6-4E38-9873-7BFD10408734}">
      <formula1>INDIRECT($G$12)</formula1>
    </dataValidation>
    <dataValidation type="decimal" allowBlank="1" showInputMessage="1" showErrorMessage="1" error="Non-exempt budget growth cannot exceed 3% per year." sqref="H20:I20" xr:uid="{878C4E15-3A17-4E5F-84D8-34CEDD318FAE}">
      <formula1>0</formula1>
      <formula2>0.03</formula2>
    </dataValidation>
    <dataValidation type="list" allowBlank="1" showInputMessage="1" showErrorMessage="1" sqref="H49:I49 H40:I40 H42:I42 H36:I36 H44:I44 H29:I29 H34:I34" xr:uid="{6F60E505-1E7E-49AA-A607-C4096FE676FE}">
      <formula1>YesNo</formula1>
    </dataValidation>
    <dataValidation type="list" allowBlank="1" showInputMessage="1" showErrorMessage="1" sqref="G11:I11" xr:uid="{B1B948D4-3DAE-4EAF-8DF5-8E15C62DFB05}">
      <formula1>Category</formula1>
    </dataValidation>
    <dataValidation type="list" allowBlank="1" showInputMessage="1" showErrorMessage="1" sqref="G10:I10" xr:uid="{ECE7BD20-6BB7-407E-98ED-C1BD336572EE}">
      <formula1>UserType</formula1>
    </dataValidation>
    <dataValidation type="whole" operator="lessThanOrEqual" allowBlank="1" showInputMessage="1" showErrorMessage="1" error="That amount either exceeds the district's forgone balance or the 3% cap on forgone amounts recovered for capital projects." sqref="H53:I53" xr:uid="{245348CE-5245-426C-83C4-54AB38D4F8E9}">
      <formula1>H52</formula1>
    </dataValidation>
    <dataValidation type="whole" operator="lessThanOrEqual" allowBlank="1" showInputMessage="1" showErrorMessage="1" error="That amount either exceeds the district's forgone balance or the 1% cap on forgone amounts recovered for M&amp;O." sqref="H51:I51" xr:uid="{C872F035-CC7B-444C-AD79-D641B516237E}">
      <formula1>H50</formula1>
    </dataValidation>
  </dataValidations>
  <pageMargins left="0.45" right="0.45" top="0.5" bottom="0.5" header="0.3" footer="0.3"/>
  <pageSetup fitToHeight="0" orientation="portrait" r:id="rId1"/>
  <rowBreaks count="1" manualBreakCount="1">
    <brk id="38"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O64"/>
  <sheetViews>
    <sheetView topLeftCell="A13" zoomScale="110" zoomScaleNormal="110" workbookViewId="0">
      <selection activeCell="C22" sqref="C22"/>
    </sheetView>
  </sheetViews>
  <sheetFormatPr defaultColWidth="14.5" defaultRowHeight="12.75" x14ac:dyDescent="0.2"/>
  <cols>
    <col min="1" max="1" width="3" style="5" customWidth="1"/>
    <col min="2" max="2" width="65.5" style="5" bestFit="1" customWidth="1"/>
    <col min="3" max="3" width="18" style="5" customWidth="1"/>
    <col min="4" max="5" width="4.25" style="64" customWidth="1"/>
    <col min="6" max="6" width="26.5" style="64" bestFit="1" customWidth="1"/>
    <col min="7" max="16384" width="14.5" style="5"/>
  </cols>
  <sheetData>
    <row r="1" spans="2:15" ht="13.5" thickBot="1" x14ac:dyDescent="0.25"/>
    <row r="2" spans="2:15" ht="21" x14ac:dyDescent="0.2">
      <c r="B2" s="426" t="s">
        <v>2</v>
      </c>
      <c r="C2" s="427"/>
      <c r="D2" s="107"/>
      <c r="E2" s="107" t="s">
        <v>1207</v>
      </c>
      <c r="F2" s="149" t="s">
        <v>693</v>
      </c>
      <c r="G2" s="149" t="s">
        <v>1237</v>
      </c>
      <c r="H2" s="149"/>
      <c r="I2" s="149"/>
      <c r="J2" s="149"/>
      <c r="K2" s="149"/>
      <c r="L2" s="149"/>
      <c r="M2" s="149"/>
      <c r="N2" s="149"/>
      <c r="O2" s="149"/>
    </row>
    <row r="3" spans="2:15" ht="21.75" thickBot="1" x14ac:dyDescent="0.25">
      <c r="B3" s="428"/>
      <c r="C3" s="429"/>
      <c r="D3" s="107"/>
      <c r="E3" s="107"/>
    </row>
    <row r="4" spans="2:15" ht="13.5" thickBot="1" x14ac:dyDescent="0.25">
      <c r="E4" s="64" t="s">
        <v>1208</v>
      </c>
      <c r="F4" s="106" t="s">
        <v>147</v>
      </c>
      <c r="G4" s="5" t="s">
        <v>1239</v>
      </c>
    </row>
    <row r="5" spans="2:15" ht="13.5" thickBot="1" x14ac:dyDescent="0.25">
      <c r="B5" s="424" t="s">
        <v>1</v>
      </c>
      <c r="C5" s="425"/>
      <c r="E5" s="64" t="s">
        <v>1209</v>
      </c>
      <c r="F5" s="106" t="s">
        <v>110</v>
      </c>
      <c r="G5" s="5" t="s">
        <v>1238</v>
      </c>
    </row>
    <row r="6" spans="2:15" x14ac:dyDescent="0.2">
      <c r="B6" s="9" t="s">
        <v>4</v>
      </c>
      <c r="C6" s="1" t="str" cm="1">
        <f t="array" ref="C6">IF('1. Dashboard'!G13&lt;&gt;0,INDEX(DataDump!R:R,MATCH(1,(DataDump!C:C='1. Dashboard'!G21) * (DataDump!G:G='1. Dashboard'!G13), 0))," ")</f>
        <v xml:space="preserve"> </v>
      </c>
      <c r="D6" s="64" t="s">
        <v>130</v>
      </c>
      <c r="F6" s="106" t="s">
        <v>148</v>
      </c>
    </row>
    <row r="7" spans="2:15" x14ac:dyDescent="0.2">
      <c r="B7" s="9" t="s">
        <v>5</v>
      </c>
      <c r="C7" s="3">
        <f>'1. Dashboard'!H20</f>
        <v>0.03</v>
      </c>
      <c r="D7" s="64" t="s">
        <v>131</v>
      </c>
      <c r="F7" s="106" t="s">
        <v>161</v>
      </c>
    </row>
    <row r="8" spans="2:15" x14ac:dyDescent="0.2">
      <c r="B8" s="9" t="s">
        <v>10</v>
      </c>
      <c r="C8" s="1" t="e">
        <f>ROUND(C6*(1+C7),0)</f>
        <v>#VALUE!</v>
      </c>
      <c r="D8" s="64" t="s">
        <v>132</v>
      </c>
      <c r="F8" s="106" t="s">
        <v>149</v>
      </c>
    </row>
    <row r="9" spans="2:15" x14ac:dyDescent="0.2">
      <c r="B9" s="2" t="s">
        <v>7</v>
      </c>
      <c r="C9" s="1">
        <f>SUM('1. Dashboard'!H21:I24)</f>
        <v>0</v>
      </c>
      <c r="D9" s="64" t="s">
        <v>133</v>
      </c>
      <c r="F9" s="106" t="s">
        <v>150</v>
      </c>
    </row>
    <row r="10" spans="2:15" x14ac:dyDescent="0.2">
      <c r="B10" s="2" t="s">
        <v>3</v>
      </c>
      <c r="C10" s="1">
        <f>SUM('1. Dashboard'!H30:I33)</f>
        <v>0</v>
      </c>
      <c r="D10" s="64" t="s">
        <v>134</v>
      </c>
      <c r="F10" s="106" t="s">
        <v>151</v>
      </c>
    </row>
    <row r="11" spans="2:15" x14ac:dyDescent="0.2">
      <c r="B11" s="2" t="s">
        <v>9</v>
      </c>
      <c r="C11" s="1">
        <f>SUM(C12:C15)</f>
        <v>0</v>
      </c>
      <c r="D11" s="64" t="s">
        <v>135</v>
      </c>
      <c r="F11" s="106" t="s">
        <v>146</v>
      </c>
    </row>
    <row r="12" spans="2:15" x14ac:dyDescent="0.2">
      <c r="B12" s="2">
        <f>IF('1. Dashboard'!F16="NO",'1. Dashboard'!G12,IF(COUNTIF(JointDistricts,'1. Dashboard'!G13),INDEX(JointCounties,MATCH('1. Dashboard'!G13,JointDistricts))))</f>
        <v>0</v>
      </c>
      <c r="C12" s="1" t="str">
        <f>'2. L-2 Worksheet'!D9</f>
        <v xml:space="preserve"> </v>
      </c>
      <c r="F12" s="106"/>
    </row>
    <row r="13" spans="2:15" x14ac:dyDescent="0.2">
      <c r="B13" s="2" t="str" cm="1">
        <f t="array" ref="B13">IF('1. Dashboard'!F16="YES",IF(COUNTIF(JointDistricts,'1. Dashboard'!G13),INDEX(JointCounties,MATCH('1. Dashboard'!G13,JointDistricts)-1)," ")," ")</f>
        <v xml:space="preserve"> </v>
      </c>
      <c r="C13" s="1" t="str">
        <f>'2. L-2 Worksheet'!D10</f>
        <v xml:space="preserve"> </v>
      </c>
      <c r="F13" s="106"/>
    </row>
    <row r="14" spans="2:15" x14ac:dyDescent="0.2">
      <c r="B14" s="2" t="str" cm="1">
        <f t="array" ref="B14">IF('1. Dashboard'!F17="YES",IF(COUNTIF(JointDistricts,'1. Dashboard'!G13),INDEX(JointCounties,MATCH('1. Dashboard'!G13,JointDistricts)-2)," ")," ")</f>
        <v xml:space="preserve"> </v>
      </c>
      <c r="C14" s="1" t="str">
        <f>'2. L-2 Worksheet'!D11</f>
        <v xml:space="preserve"> </v>
      </c>
      <c r="F14" s="106"/>
    </row>
    <row r="15" spans="2:15" x14ac:dyDescent="0.2">
      <c r="B15" s="2" t="str" cm="1">
        <f t="array" ref="B15">IF('1. Dashboard'!F18="YES",IF(COUNTIF(JointDistricts,'1. Dashboard'!G13),INDEX(JointCounties,MATCH('1. Dashboard'!G13,JointDistricts)-3)," ")," ")</f>
        <v xml:space="preserve"> </v>
      </c>
      <c r="C15" s="1" t="str">
        <f>'2. L-2 Worksheet'!D12</f>
        <v xml:space="preserve"> </v>
      </c>
      <c r="F15" s="106"/>
    </row>
    <row r="16" spans="2:15" x14ac:dyDescent="0.2">
      <c r="B16" s="8" t="s">
        <v>6</v>
      </c>
      <c r="C16" s="146" t="e">
        <f>C10/C9</f>
        <v>#DIV/0!</v>
      </c>
      <c r="D16" s="64" t="s">
        <v>136</v>
      </c>
      <c r="E16" s="65" t="s">
        <v>142</v>
      </c>
      <c r="F16" s="64" t="s">
        <v>64</v>
      </c>
    </row>
    <row r="17" spans="2:8" x14ac:dyDescent="0.2">
      <c r="B17" s="8" t="s">
        <v>8</v>
      </c>
      <c r="C17" s="122" t="e">
        <f>C11*C16</f>
        <v>#DIV/0!</v>
      </c>
      <c r="D17" s="64" t="s">
        <v>137</v>
      </c>
      <c r="E17" s="65" t="s">
        <v>142</v>
      </c>
      <c r="F17" s="64" t="s">
        <v>152</v>
      </c>
    </row>
    <row r="18" spans="2:8" x14ac:dyDescent="0.2">
      <c r="B18" s="2" t="s">
        <v>14</v>
      </c>
      <c r="C18" s="1">
        <f>C9+C11</f>
        <v>0</v>
      </c>
      <c r="D18" s="64" t="s">
        <v>138</v>
      </c>
      <c r="E18" s="65" t="s">
        <v>142</v>
      </c>
      <c r="F18" s="64" t="s">
        <v>1258</v>
      </c>
    </row>
    <row r="19" spans="2:8" x14ac:dyDescent="0.2">
      <c r="B19" s="2" t="s">
        <v>1366</v>
      </c>
      <c r="C19" s="147" t="e">
        <f>ROUND(C8/(C9+C11),9)</f>
        <v>#VALUE!</v>
      </c>
      <c r="D19" s="64" t="s">
        <v>139</v>
      </c>
      <c r="E19" s="65" t="s">
        <v>142</v>
      </c>
      <c r="F19" s="235" t="s">
        <v>1259</v>
      </c>
      <c r="G19" s="236"/>
      <c r="H19" s="236"/>
    </row>
    <row r="20" spans="2:8" x14ac:dyDescent="0.2">
      <c r="B20" s="8" t="s">
        <v>11</v>
      </c>
      <c r="C20" s="122" t="e">
        <f>C9+C11+C17</f>
        <v>#DIV/0!</v>
      </c>
      <c r="D20" s="64" t="s">
        <v>140</v>
      </c>
      <c r="E20" s="65" t="s">
        <v>142</v>
      </c>
      <c r="F20" s="235" t="s">
        <v>1260</v>
      </c>
      <c r="G20" s="236"/>
      <c r="H20" s="236"/>
    </row>
    <row r="21" spans="2:8" ht="13.5" thickBot="1" x14ac:dyDescent="0.25">
      <c r="B21" s="4" t="s">
        <v>1365</v>
      </c>
      <c r="C21" s="163" t="e">
        <f>ROUND((C8)/(C9+C11+C17),9)</f>
        <v>#VALUE!</v>
      </c>
      <c r="D21" s="64" t="s">
        <v>141</v>
      </c>
      <c r="E21" s="65" t="s">
        <v>142</v>
      </c>
    </row>
    <row r="22" spans="2:8" ht="13.5" thickBot="1" x14ac:dyDescent="0.25"/>
    <row r="23" spans="2:8" x14ac:dyDescent="0.2">
      <c r="B23" s="6" t="s">
        <v>22</v>
      </c>
      <c r="C23" s="7">
        <f>SUM(C24:C27)</f>
        <v>0</v>
      </c>
    </row>
    <row r="24" spans="2:8" x14ac:dyDescent="0.2">
      <c r="B24" s="2" t="s">
        <v>18</v>
      </c>
      <c r="C24" s="1">
        <f>'1. Dashboard'!H25</f>
        <v>0</v>
      </c>
    </row>
    <row r="25" spans="2:8" x14ac:dyDescent="0.2">
      <c r="B25" s="2" t="s">
        <v>19</v>
      </c>
      <c r="C25" s="1">
        <f>'1. Dashboard'!H26</f>
        <v>0</v>
      </c>
    </row>
    <row r="26" spans="2:8" x14ac:dyDescent="0.2">
      <c r="B26" s="2" t="s">
        <v>20</v>
      </c>
      <c r="C26" s="1">
        <f>'1. Dashboard'!H27</f>
        <v>0</v>
      </c>
    </row>
    <row r="27" spans="2:8" x14ac:dyDescent="0.2">
      <c r="B27" s="2" t="s">
        <v>21</v>
      </c>
      <c r="C27" s="1">
        <f>'1. Dashboard'!H28</f>
        <v>0</v>
      </c>
    </row>
    <row r="28" spans="2:8" x14ac:dyDescent="0.2">
      <c r="B28" s="8" t="s">
        <v>0</v>
      </c>
      <c r="C28" s="1" t="e">
        <f>ROUND(C19*C23,0)</f>
        <v>#VALUE!</v>
      </c>
    </row>
    <row r="29" spans="2:8" x14ac:dyDescent="0.2">
      <c r="B29" s="2" t="s">
        <v>15</v>
      </c>
      <c r="C29" s="1">
        <f>ROUND(SUM('1. Dashboard'!H30:I33)*0.9,0)</f>
        <v>0</v>
      </c>
    </row>
    <row r="30" spans="2:8" x14ac:dyDescent="0.2">
      <c r="B30" s="8" t="s">
        <v>1269</v>
      </c>
      <c r="C30" s="1" t="e">
        <f>ROUND(C29*C21,0)</f>
        <v>#VALUE!</v>
      </c>
    </row>
    <row r="31" spans="2:8" x14ac:dyDescent="0.2">
      <c r="B31" s="8" t="s">
        <v>16</v>
      </c>
      <c r="C31" s="122">
        <f>ROUND('1. Dashboard'!H35*0.8,0)</f>
        <v>0</v>
      </c>
    </row>
    <row r="32" spans="2:8" x14ac:dyDescent="0.2">
      <c r="B32" s="8" t="s">
        <v>1223</v>
      </c>
      <c r="C32" s="1" t="e">
        <f>ROUND(C31*C19,0)</f>
        <v>#VALUE!</v>
      </c>
    </row>
    <row r="33" spans="2:3" x14ac:dyDescent="0.2">
      <c r="B33" s="8" t="s">
        <v>13</v>
      </c>
      <c r="C33" s="3">
        <f>3%</f>
        <v>0.03</v>
      </c>
    </row>
    <row r="34" spans="2:3" x14ac:dyDescent="0.2">
      <c r="B34" s="8" t="s">
        <v>1218</v>
      </c>
      <c r="C34" s="3" t="e">
        <f>(C28+C30)/C6</f>
        <v>#VALUE!</v>
      </c>
    </row>
    <row r="35" spans="2:3" x14ac:dyDescent="0.2">
      <c r="B35" s="8" t="s">
        <v>1220</v>
      </c>
      <c r="C35" s="3" t="e">
        <f>MIN(C33+C34, 0.08)</f>
        <v>#VALUE!</v>
      </c>
    </row>
    <row r="36" spans="2:3" x14ac:dyDescent="0.2">
      <c r="B36" s="8" t="s">
        <v>1219</v>
      </c>
      <c r="C36" s="3" t="e">
        <f>(C32)/C6</f>
        <v>#VALUE!</v>
      </c>
    </row>
    <row r="37" spans="2:3" x14ac:dyDescent="0.2">
      <c r="B37" s="2" t="s">
        <v>1364</v>
      </c>
      <c r="C37" s="268" t="e">
        <f>IF( C34&lt;= 0.05, ROUND((C6*(1+C7))+C28+C30+C32,0),  ROUND(((C6*1.08)+C32),0))</f>
        <v>#VALUE!</v>
      </c>
    </row>
    <row r="38" spans="2:3" ht="13.5" thickBot="1" x14ac:dyDescent="0.25">
      <c r="B38" s="4" t="s">
        <v>17</v>
      </c>
      <c r="C38" s="269" t="e">
        <f>IF( C34&lt;= 0.05, ROUND((C6*(1.03))+C28+C30+C32,0), ROUND(((C6*1.08)+C32),0))</f>
        <v>#VALUE!</v>
      </c>
    </row>
    <row r="39" spans="2:3" ht="13.5" thickBot="1" x14ac:dyDescent="0.25">
      <c r="C39" s="10"/>
    </row>
    <row r="40" spans="2:3" x14ac:dyDescent="0.2">
      <c r="B40" s="6" t="s">
        <v>45</v>
      </c>
      <c r="C40" s="7" t="str" cm="1">
        <f t="array" ref="C40">IF('1. Dashboard'!G13&lt;&gt;0,INDEX(DataDump!K:K,MATCH(1,(DataDump!C:C='1. Dashboard'!G21) * (DataDump!G:G='1. Dashboard'!G13), 0))," ")</f>
        <v xml:space="preserve"> </v>
      </c>
    </row>
    <row r="41" spans="2:3" x14ac:dyDescent="0.2">
      <c r="B41" s="2" t="s">
        <v>1308</v>
      </c>
      <c r="C41" s="1" t="str" cm="1">
        <f t="array" ref="C41">IF('1. Dashboard'!G13&lt;&gt;0,INDEX(DataDump!L:L,MATCH(1,(DataDump!C:C='1. Dashboard'!G21) * (DataDump!G:G='1. Dashboard'!G13), 0))," ")</f>
        <v xml:space="preserve"> </v>
      </c>
    </row>
    <row r="42" spans="2:3" x14ac:dyDescent="0.2">
      <c r="B42" s="2" t="s">
        <v>1309</v>
      </c>
      <c r="C42" s="1" t="str" cm="1">
        <f t="array" ref="C42">IF('1. Dashboard'!G13&lt;&gt;0,INDEX(DataDump!M:M,MATCH(1,(DataDump!C:C='1. Dashboard'!G21) * (DataDump!G:G='1. Dashboard'!G13), 0))," ")</f>
        <v xml:space="preserve"> </v>
      </c>
    </row>
    <row r="43" spans="2:3" x14ac:dyDescent="0.2">
      <c r="B43" s="2" t="s">
        <v>46</v>
      </c>
      <c r="C43" s="1">
        <f>SUM(C40:C42)</f>
        <v>0</v>
      </c>
    </row>
    <row r="44" spans="2:3" x14ac:dyDescent="0.2">
      <c r="B44" s="2" t="s">
        <v>47</v>
      </c>
      <c r="C44" s="1">
        <f>IF('1. Dashboard'!$H$42="Yes", '1. Dashboard'!H43,0)</f>
        <v>0</v>
      </c>
    </row>
    <row r="45" spans="2:3" x14ac:dyDescent="0.2">
      <c r="B45" s="2" t="s">
        <v>1232</v>
      </c>
      <c r="C45" s="1">
        <f>'1. Dashboard'!H45</f>
        <v>0</v>
      </c>
    </row>
    <row r="46" spans="2:3" x14ac:dyDescent="0.2">
      <c r="B46" s="2" t="s">
        <v>48</v>
      </c>
      <c r="C46" s="1">
        <f>ROUND(SUM(C44:C45),0)</f>
        <v>0</v>
      </c>
    </row>
    <row r="47" spans="2:3" x14ac:dyDescent="0.2">
      <c r="B47" s="8" t="s">
        <v>1224</v>
      </c>
      <c r="C47" s="1">
        <f>IF('1. Dashboard'!$H$40="Yes", '2. L-2 Worksheet'!F52,0)</f>
        <v>0</v>
      </c>
    </row>
    <row r="48" spans="2:3" x14ac:dyDescent="0.2">
      <c r="B48" s="2" t="s">
        <v>1264</v>
      </c>
      <c r="C48" s="1">
        <f>IF('1. Dashboard'!$H$40="Yes", '1. Dashboard'!H41,0)</f>
        <v>0</v>
      </c>
    </row>
    <row r="49" spans="2:3" x14ac:dyDescent="0.2">
      <c r="B49" s="2" t="s">
        <v>1363</v>
      </c>
      <c r="C49" s="1">
        <f>C47-C48</f>
        <v>0</v>
      </c>
    </row>
    <row r="50" spans="2:3" x14ac:dyDescent="0.2">
      <c r="B50" s="2" t="s">
        <v>49</v>
      </c>
      <c r="C50" s="1">
        <f>'1. Dashboard'!H37</f>
        <v>0</v>
      </c>
    </row>
    <row r="51" spans="2:3" x14ac:dyDescent="0.2">
      <c r="B51" s="2" t="s">
        <v>1257</v>
      </c>
      <c r="C51" s="268" t="e">
        <f xml:space="preserve"> ROUND(C37-C43-C46-C50+C49,0)</f>
        <v>#VALUE!</v>
      </c>
    </row>
    <row r="52" spans="2:3" ht="13.5" thickBot="1" x14ac:dyDescent="0.25">
      <c r="B52" s="4" t="s">
        <v>50</v>
      </c>
      <c r="C52" s="269" t="e">
        <f xml:space="preserve"> ROUND(C38-C43-C46-C50+C49,0)</f>
        <v>#VALUE!</v>
      </c>
    </row>
    <row r="53" spans="2:3" ht="13.5" thickBot="1" x14ac:dyDescent="0.25"/>
    <row r="54" spans="2:3" x14ac:dyDescent="0.2">
      <c r="B54" s="6" t="s">
        <v>51</v>
      </c>
      <c r="C54" s="7" cm="1">
        <f t="array" ref="C54">IF('1. Dashboard'!G13&lt;&gt;0,INDEX(DataDump!H:H,MATCH(1,(DataDump!C:C='1. Dashboard'!G21)*(DataDump!G:G='1. Dashboard'!G13),0)),0)</f>
        <v>0</v>
      </c>
    </row>
    <row r="55" spans="2:3" x14ac:dyDescent="0.2">
      <c r="B55" s="2" t="s">
        <v>52</v>
      </c>
      <c r="C55" s="1" t="e">
        <f>IF('1. Dashboard'!G13="School", 0, MAX(ROUND(MIN(C54,C37*0.01),0),0))</f>
        <v>#VALUE!</v>
      </c>
    </row>
    <row r="56" spans="2:3" x14ac:dyDescent="0.2">
      <c r="B56" s="2" t="s">
        <v>53</v>
      </c>
      <c r="C56" s="1" t="e">
        <f>IF('1. Dashboard'!G13="School", 0, MIN(C55,MIN(C54,IF(SUM('1. Dashboard'!H51:I51)="",0,SUM('1. Dashboard'!H51:I51)))))</f>
        <v>#VALUE!</v>
      </c>
    </row>
    <row r="57" spans="2:3" x14ac:dyDescent="0.2">
      <c r="B57" s="2" t="s">
        <v>54</v>
      </c>
      <c r="C57" s="3" t="e">
        <f>IF('1. Dashboard'!G13="School", 0, MIN(C56/C38,1%))</f>
        <v>#VALUE!</v>
      </c>
    </row>
    <row r="58" spans="2:3" x14ac:dyDescent="0.2">
      <c r="B58" s="2" t="s">
        <v>55</v>
      </c>
      <c r="C58" s="1" t="e">
        <f>IF('1. Dashboard'!G13="School", 0, ROUND(MIN(C54-MIN(C55,C56),C37*0.03),0))</f>
        <v>#VALUE!</v>
      </c>
    </row>
    <row r="59" spans="2:3" x14ac:dyDescent="0.2">
      <c r="B59" s="2" t="s">
        <v>163</v>
      </c>
      <c r="C59" s="1">
        <f>IFERROR(IF('1. Dashboard'!G13="School", 0, ROUND(MIN(MIN(IF('1. Dashboard'!H53="",0,'1. Dashboard'!H53),C37*0.03),C54),0)),0)</f>
        <v>0</v>
      </c>
    </row>
    <row r="60" spans="2:3" x14ac:dyDescent="0.2">
      <c r="B60" s="2" t="s">
        <v>56</v>
      </c>
      <c r="C60" s="3" t="e">
        <f>IF('1. Dashboard'!G13="School", 0, MIN(C59/C38, 3%))</f>
        <v>#VALUE!</v>
      </c>
    </row>
    <row r="61" spans="2:3" x14ac:dyDescent="0.2">
      <c r="B61" s="2" t="s">
        <v>57</v>
      </c>
      <c r="C61" s="1" t="e">
        <f>IF('1. Dashboard'!G13="School",0,MIN(ROUND(C54,0),SUM(C56,C59)))</f>
        <v>#VALUE!</v>
      </c>
    </row>
    <row r="62" spans="2:3" x14ac:dyDescent="0.2">
      <c r="B62" s="2" t="s">
        <v>58</v>
      </c>
      <c r="C62" s="3" t="e">
        <f>IF('1. Dashboard'!G13="School", 0, MIN(C57+C60,C54/C38))</f>
        <v>#VALUE!</v>
      </c>
    </row>
    <row r="63" spans="2:3" x14ac:dyDescent="0.2">
      <c r="B63" s="2" t="s">
        <v>1256</v>
      </c>
      <c r="C63" s="268" t="e">
        <f xml:space="preserve"> ROUND(IF('1. Dashboard'!G13&lt;&gt;"School", MAX(C51+C61,0), IF(C38-C43-C46+C49&gt;0, C38-C43-C46+C49, (C43+C46-C38+C49)*-1)),0)</f>
        <v>#VALUE!</v>
      </c>
    </row>
    <row r="64" spans="2:3" ht="13.5" thickBot="1" x14ac:dyDescent="0.25">
      <c r="B64" s="4" t="s">
        <v>59</v>
      </c>
      <c r="C64" s="269" t="e">
        <f xml:space="preserve"> ROUND(IF('1. Dashboard'!G13&lt;&gt;"School", MAX(C52+C61,0), IF(C38-C43-C46+C49&gt;0, C38-C43-C46+C49, (C43+C46-C38+C49)*-1)),0)</f>
        <v>#VALUE!</v>
      </c>
    </row>
  </sheetData>
  <mergeCells count="2">
    <mergeCell ref="B5:C5"/>
    <mergeCell ref="B2:C3"/>
  </mergeCells>
  <pageMargins left="0.7" right="0.7" top="0.75" bottom="0.75" header="0.3" footer="0.3"/>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80382-E85E-2848-97F8-E03A2B349A62}">
  <sheetPr codeName="Sheet8">
    <pageSetUpPr fitToPage="1"/>
  </sheetPr>
  <dimension ref="B1:H68"/>
  <sheetViews>
    <sheetView showGridLines="0" showZeros="0" zoomScale="90" zoomScaleNormal="90" workbookViewId="0">
      <selection activeCell="F62" sqref="F62:F63"/>
    </sheetView>
  </sheetViews>
  <sheetFormatPr defaultColWidth="8.75" defaultRowHeight="16.899999999999999" customHeight="1" x14ac:dyDescent="0.25"/>
  <cols>
    <col min="1" max="1" width="2.75" style="11" customWidth="1"/>
    <col min="2" max="2" width="87" style="11" customWidth="1"/>
    <col min="3" max="3" width="6" style="11" customWidth="1"/>
    <col min="4" max="4" width="15.5" style="11" customWidth="1"/>
    <col min="5" max="5" width="5.25" style="11" bestFit="1" customWidth="1"/>
    <col min="6" max="6" width="21.25" style="11" customWidth="1"/>
    <col min="7" max="8" width="16.25" style="11" customWidth="1"/>
    <col min="9" max="16384" width="8.75" style="11"/>
  </cols>
  <sheetData>
    <row r="1" spans="2:6" ht="16.899999999999999" customHeight="1" thickBot="1" x14ac:dyDescent="0.3"/>
    <row r="2" spans="2:6" ht="16.899999999999999" customHeight="1" thickBot="1" x14ac:dyDescent="0.3">
      <c r="B2" s="474" t="s">
        <v>1328</v>
      </c>
      <c r="C2" s="475"/>
      <c r="D2" s="475"/>
      <c r="E2" s="475"/>
      <c r="F2" s="476"/>
    </row>
    <row r="3" spans="2:6" ht="16.899999999999999" customHeight="1" thickBot="1" x14ac:dyDescent="0.3">
      <c r="B3" s="245" t="str">
        <f>"District Name: "&amp;'1. Dashboard'!G13</f>
        <v xml:space="preserve">District Name: </v>
      </c>
      <c r="C3" s="246"/>
      <c r="D3" s="491" t="str">
        <f>IF('1. Dashboard'!G11&lt;&gt;0,"District Type:"&amp;" "&amp;'1. Dashboard'!G11, "District Type: None Selected")</f>
        <v>District Type: None Selected</v>
      </c>
      <c r="E3" s="491"/>
      <c r="F3" s="492"/>
    </row>
    <row r="4" spans="2:6" ht="16.899999999999999" customHeight="1" thickBot="1" x14ac:dyDescent="0.3">
      <c r="B4" s="439" t="s">
        <v>1399</v>
      </c>
      <c r="C4" s="440"/>
      <c r="D4" s="440"/>
      <c r="E4" s="440"/>
      <c r="F4" s="441"/>
    </row>
    <row r="5" spans="2:6" ht="16.899999999999999" customHeight="1" x14ac:dyDescent="0.25">
      <c r="B5" s="483" t="str">
        <f>IF('1. Dashboard'!G11="Hospital",
        "Highest Non-Exempt P-Tax Budget + P-Tax Replacement (from of the 'Maximum Budget &amp; Forgone Amounts Worksheet')*",
            IF(OR('1. Dashboard'!G11="Highway",'1. Dashboard'!G11="County Road &amp; Bridge",'1. Dashboard'!G11="County w/ Countywide Road &amp; Bridge"),
                 "Highest Non-Exempt P-Tax Budget + P-Tax Replacement (from the 'Maximum Budget &amp; Forgone Amounts Worksheet')*",
                 "Highest Non-Exempt P-Tax Budget + P-Tax Replacement (from the 'Maximum Budget &amp; Forgone Amounts Worksheet')"))</f>
        <v>Highest Non-Exempt P-Tax Budget + P-Tax Replacement (from the 'Maximum Budget &amp; Forgone Amounts Worksheet')</v>
      </c>
      <c r="C5" s="484"/>
      <c r="D5" s="485"/>
      <c r="E5" s="187" t="s">
        <v>44</v>
      </c>
      <c r="F5" s="280" t="str" cm="1">
        <f t="array" ref="F5">IFERROR(ROUND(IF('1. Dashboard'!G13&lt;&gt;0,INDEX(DataDump!R:R,MATCH(1,(DataDump!C:C=B23) * (DataDump!G:G='1. Dashboard'!G13), 0))," "),0),"")</f>
        <v/>
      </c>
    </row>
    <row r="6" spans="2:6" ht="16.899999999999999" customHeight="1" thickBot="1" x14ac:dyDescent="0.3">
      <c r="B6" s="430" t="s">
        <v>1367</v>
      </c>
      <c r="C6" s="431"/>
      <c r="D6" s="432"/>
      <c r="E6" s="193" t="s">
        <v>43</v>
      </c>
      <c r="F6" s="277" t="str">
        <f>IFERROR(ROUND(F5*'1. Dashboard'!H20,0),"")</f>
        <v/>
      </c>
    </row>
    <row r="7" spans="2:6" ht="16.899999999999999" customHeight="1" x14ac:dyDescent="0.25">
      <c r="B7" s="480" t="s">
        <v>1267</v>
      </c>
      <c r="C7" s="481"/>
      <c r="D7" s="481"/>
      <c r="E7" s="481"/>
      <c r="F7" s="482"/>
    </row>
    <row r="8" spans="2:6" ht="16.899999999999999" customHeight="1" x14ac:dyDescent="0.25">
      <c r="B8" s="241" t="s">
        <v>1329</v>
      </c>
      <c r="C8" s="489" t="s">
        <v>12</v>
      </c>
      <c r="D8" s="490"/>
      <c r="E8" s="242"/>
      <c r="F8" s="243"/>
    </row>
    <row r="9" spans="2:6" ht="16.899999999999999" customHeight="1" x14ac:dyDescent="0.25">
      <c r="B9" s="198">
        <f>'1. Dashboard'!G21</f>
        <v>0</v>
      </c>
      <c r="C9" s="193" t="s">
        <v>1336</v>
      </c>
      <c r="D9" s="275" t="str" cm="1">
        <f t="array" ref="D9">IF('1. Dashboard'!G13&lt;&gt;0,INDEX(DataDump!I:I,MATCH(1,(DataDump!C:C='1. Dashboard'!G21) * (DataDump!G:G='1. Dashboard'!G13), 0))," ")</f>
        <v xml:space="preserve"> </v>
      </c>
      <c r="E9" s="196"/>
      <c r="F9" s="197"/>
    </row>
    <row r="10" spans="2:6" ht="16.899999999999999" customHeight="1" x14ac:dyDescent="0.25">
      <c r="B10" s="198" t="str">
        <f>'1. Dashboard'!G22</f>
        <v xml:space="preserve"> </v>
      </c>
      <c r="C10" s="193" t="s">
        <v>1337</v>
      </c>
      <c r="D10" s="275" t="str" cm="1">
        <f t="array" ref="D10">IFERROR(IF(AND('1. Dashboard'!G13&lt;&gt;0,'1. Dashboard'!F16="YES"),IF(COUNTIF(JointDistricts,'1. Dashboard'!G13),INDEX(DataDump!I:I,MATCH(1,(DataDump!C:C='1. Dashboard'!G22) * (DataDump!G:G='1. Dashboard'!G13), 0))," ")," "), " ")</f>
        <v xml:space="preserve"> </v>
      </c>
      <c r="E10" s="196"/>
      <c r="F10" s="197"/>
    </row>
    <row r="11" spans="2:6" ht="16.899999999999999" customHeight="1" x14ac:dyDescent="0.25">
      <c r="B11" s="198" t="str">
        <f>'1. Dashboard'!G23</f>
        <v xml:space="preserve"> </v>
      </c>
      <c r="C11" s="193" t="s">
        <v>1338</v>
      </c>
      <c r="D11" s="275" t="str" cm="1">
        <f t="array" ref="D11">IFERROR(IF(AND('1. Dashboard'!G13&lt;&gt;0,'1. Dashboard'!F17="YES"),IF(COUNTIF(JointDistricts,'1. Dashboard'!G13),INDEX(DataDump!I:I,MATCH(1,(DataDump!C:C='1. Dashboard'!G23) * (DataDump!G:G='1. Dashboard'!G13), 0))," ")," "), " ")</f>
        <v xml:space="preserve"> </v>
      </c>
      <c r="E11" s="196"/>
      <c r="F11" s="197"/>
    </row>
    <row r="12" spans="2:6" ht="16.899999999999999" customHeight="1" x14ac:dyDescent="0.25">
      <c r="B12" s="198" t="str">
        <f>'1. Dashboard'!G24</f>
        <v xml:space="preserve"> </v>
      </c>
      <c r="C12" s="193" t="s">
        <v>1339</v>
      </c>
      <c r="D12" s="275" t="str" cm="1">
        <f t="array" ref="D12">IFERROR(IF(AND('1. Dashboard'!G13&lt;&gt;0,'1. Dashboard'!F18="YES"),IF(COUNTIF(JointDistricts,'1. Dashboard'!G13),INDEX(DataDump!I:I,MATCH(1,(DataDump!C:C='1. Dashboard'!G24) * (DataDump!G:G='1. Dashboard'!G13), 0))," ")," "), " ")</f>
        <v xml:space="preserve"> </v>
      </c>
      <c r="E12" s="196"/>
      <c r="F12" s="197"/>
    </row>
    <row r="13" spans="2:6" ht="16.899999999999999" customHeight="1" x14ac:dyDescent="0.25">
      <c r="B13" s="200" t="s">
        <v>1348</v>
      </c>
      <c r="C13" s="201" t="s">
        <v>42</v>
      </c>
      <c r="D13" s="275">
        <f>ROUND(SUM(D9:D12),0)</f>
        <v>0</v>
      </c>
      <c r="E13" s="196"/>
      <c r="F13" s="197"/>
    </row>
    <row r="14" spans="2:6" ht="16.899999999999999" customHeight="1" x14ac:dyDescent="0.25">
      <c r="B14" s="244" t="s">
        <v>1330</v>
      </c>
      <c r="C14" s="489" t="s">
        <v>12</v>
      </c>
      <c r="D14" s="490"/>
      <c r="E14" s="196"/>
      <c r="F14" s="197"/>
    </row>
    <row r="15" spans="2:6" ht="16.899999999999999" customHeight="1" x14ac:dyDescent="0.25">
      <c r="B15" s="198">
        <f>'1. Dashboard'!G21</f>
        <v>0</v>
      </c>
      <c r="C15" s="193" t="s">
        <v>60</v>
      </c>
      <c r="D15" s="275">
        <f>'1. Dashboard'!H21</f>
        <v>0</v>
      </c>
      <c r="E15" s="196"/>
      <c r="F15" s="197"/>
    </row>
    <row r="16" spans="2:6" ht="16.899999999999999" customHeight="1" x14ac:dyDescent="0.25">
      <c r="B16" s="198" t="str">
        <f>'1. Dashboard'!G22</f>
        <v xml:space="preserve"> </v>
      </c>
      <c r="C16" s="193" t="s">
        <v>61</v>
      </c>
      <c r="D16" s="275">
        <f>'1. Dashboard'!H22</f>
        <v>0</v>
      </c>
      <c r="E16" s="196"/>
      <c r="F16" s="197"/>
    </row>
    <row r="17" spans="2:6" ht="16.899999999999999" customHeight="1" x14ac:dyDescent="0.25">
      <c r="B17" s="198" t="str">
        <f>'1. Dashboard'!G23</f>
        <v xml:space="preserve"> </v>
      </c>
      <c r="C17" s="193" t="s">
        <v>62</v>
      </c>
      <c r="D17" s="275">
        <f>'1. Dashboard'!H23</f>
        <v>0</v>
      </c>
      <c r="E17" s="196"/>
      <c r="F17" s="197"/>
    </row>
    <row r="18" spans="2:6" ht="16.899999999999999" customHeight="1" x14ac:dyDescent="0.25">
      <c r="B18" s="198" t="str">
        <f>'1. Dashboard'!G24</f>
        <v xml:space="preserve"> </v>
      </c>
      <c r="C18" s="193" t="s">
        <v>63</v>
      </c>
      <c r="D18" s="275">
        <f>'1. Dashboard'!H24</f>
        <v>0</v>
      </c>
      <c r="E18" s="196"/>
      <c r="F18" s="197"/>
    </row>
    <row r="19" spans="2:6" ht="16.899999999999999" customHeight="1" x14ac:dyDescent="0.25">
      <c r="B19" s="200" t="s">
        <v>1347</v>
      </c>
      <c r="C19" s="201" t="s">
        <v>41</v>
      </c>
      <c r="D19" s="275">
        <f>ROUND(SUM(D15:D18),0)</f>
        <v>0</v>
      </c>
      <c r="E19" s="196"/>
      <c r="F19" s="197"/>
    </row>
    <row r="20" spans="2:6" ht="16.899999999999999" customHeight="1" x14ac:dyDescent="0.25">
      <c r="B20" s="486" t="s">
        <v>1266</v>
      </c>
      <c r="C20" s="487"/>
      <c r="D20" s="488"/>
      <c r="E20" s="196"/>
      <c r="F20" s="197"/>
    </row>
    <row r="21" spans="2:6" ht="16.899999999999999" customHeight="1" x14ac:dyDescent="0.25">
      <c r="B21" s="194" t="s">
        <v>1346</v>
      </c>
      <c r="C21" s="193" t="s">
        <v>40</v>
      </c>
      <c r="D21" s="195" t="str">
        <f>IFERROR(ROUND((F5+F6)/(D13+D19),9), "")</f>
        <v/>
      </c>
      <c r="E21" s="196"/>
      <c r="F21" s="197"/>
    </row>
    <row r="22" spans="2:6" ht="16.899999999999999" customHeight="1" x14ac:dyDescent="0.25">
      <c r="B22" s="240" t="s">
        <v>1331</v>
      </c>
      <c r="C22" s="489" t="s">
        <v>12</v>
      </c>
      <c r="D22" s="490"/>
      <c r="E22" s="196"/>
      <c r="F22" s="197"/>
    </row>
    <row r="23" spans="2:6" ht="16.899999999999999" customHeight="1" x14ac:dyDescent="0.25">
      <c r="B23" s="198">
        <f>'1. Dashboard'!G21</f>
        <v>0</v>
      </c>
      <c r="C23" s="193" t="s">
        <v>1340</v>
      </c>
      <c r="D23" s="275">
        <f>'1. Dashboard'!H25</f>
        <v>0</v>
      </c>
      <c r="E23" s="196"/>
      <c r="F23" s="197"/>
    </row>
    <row r="24" spans="2:6" ht="16.899999999999999" customHeight="1" x14ac:dyDescent="0.25">
      <c r="B24" s="198" t="str">
        <f>'1. Dashboard'!G22</f>
        <v xml:space="preserve"> </v>
      </c>
      <c r="C24" s="193" t="s">
        <v>1341</v>
      </c>
      <c r="D24" s="275">
        <f>'1. Dashboard'!H26</f>
        <v>0</v>
      </c>
      <c r="E24" s="196"/>
      <c r="F24" s="197"/>
    </row>
    <row r="25" spans="2:6" ht="16.899999999999999" customHeight="1" x14ac:dyDescent="0.25">
      <c r="B25" s="198" t="str">
        <f>'1. Dashboard'!G23</f>
        <v xml:space="preserve"> </v>
      </c>
      <c r="C25" s="193" t="s">
        <v>1342</v>
      </c>
      <c r="D25" s="275">
        <f>'1. Dashboard'!H27</f>
        <v>0</v>
      </c>
      <c r="E25" s="196"/>
      <c r="F25" s="199"/>
    </row>
    <row r="26" spans="2:6" ht="16.899999999999999" customHeight="1" x14ac:dyDescent="0.25">
      <c r="B26" s="198" t="str">
        <f>'1. Dashboard'!G24</f>
        <v xml:space="preserve"> </v>
      </c>
      <c r="C26" s="193" t="s">
        <v>1343</v>
      </c>
      <c r="D26" s="275">
        <f>'1. Dashboard'!H28</f>
        <v>0</v>
      </c>
      <c r="E26" s="196"/>
      <c r="F26" s="197"/>
    </row>
    <row r="27" spans="2:6" ht="16.899999999999999" customHeight="1" x14ac:dyDescent="0.25">
      <c r="B27" s="200" t="s">
        <v>1345</v>
      </c>
      <c r="C27" s="201" t="s">
        <v>39</v>
      </c>
      <c r="D27" s="275">
        <f>ROUND(SUM(D23:D26),0)</f>
        <v>0</v>
      </c>
      <c r="E27" s="196"/>
      <c r="F27" s="197"/>
    </row>
    <row r="28" spans="2:6" ht="16.899999999999999" customHeight="1" x14ac:dyDescent="0.25">
      <c r="B28" s="430" t="s">
        <v>1344</v>
      </c>
      <c r="C28" s="431"/>
      <c r="D28" s="432"/>
      <c r="E28" s="193" t="s">
        <v>38</v>
      </c>
      <c r="F28" s="277">
        <f>IFERROR(ROUND(D27*D21,0),0)</f>
        <v>0</v>
      </c>
    </row>
    <row r="29" spans="2:6" ht="16.899999999999999" customHeight="1" x14ac:dyDescent="0.25">
      <c r="B29" s="486" t="s">
        <v>1332</v>
      </c>
      <c r="C29" s="487"/>
      <c r="D29" s="488"/>
      <c r="E29" s="196"/>
      <c r="F29" s="197"/>
    </row>
    <row r="30" spans="2:6" ht="16.899999999999999" customHeight="1" x14ac:dyDescent="0.25">
      <c r="B30" s="198" t="s">
        <v>1333</v>
      </c>
      <c r="C30" s="193" t="s">
        <v>37</v>
      </c>
      <c r="D30" s="275">
        <f>ROUND(SUM('1. Dashboard'!H30:I33),0)</f>
        <v>0</v>
      </c>
      <c r="E30" s="196"/>
      <c r="F30" s="197"/>
    </row>
    <row r="31" spans="2:6" ht="16.899999999999999" customHeight="1" x14ac:dyDescent="0.25">
      <c r="B31" s="198" t="s">
        <v>1268</v>
      </c>
      <c r="C31" s="193" t="s">
        <v>36</v>
      </c>
      <c r="D31" s="279">
        <f>ROUND(D30*0.9,0)</f>
        <v>0</v>
      </c>
      <c r="E31" s="196"/>
      <c r="F31" s="197"/>
    </row>
    <row r="32" spans="2:6" ht="16.899999999999999" customHeight="1" x14ac:dyDescent="0.25">
      <c r="B32" s="198" t="s">
        <v>1349</v>
      </c>
      <c r="C32" s="193" t="s">
        <v>35</v>
      </c>
      <c r="D32" s="279" t="str">
        <f>IFERROR(ROUND((D30/D19)*D13,0),"")</f>
        <v/>
      </c>
      <c r="E32" s="196"/>
      <c r="F32" s="197"/>
    </row>
    <row r="33" spans="2:8" ht="16.899999999999999" customHeight="1" x14ac:dyDescent="0.25">
      <c r="B33" s="194" t="s">
        <v>1350</v>
      </c>
      <c r="C33" s="193" t="s">
        <v>34</v>
      </c>
      <c r="D33" s="202" t="str">
        <f>IFERROR(ROUND((F5+F6)/(D13+D19+D32),9),"")</f>
        <v/>
      </c>
      <c r="E33" s="196"/>
      <c r="F33" s="197"/>
    </row>
    <row r="34" spans="2:8" ht="16.899999999999999" customHeight="1" x14ac:dyDescent="0.25">
      <c r="B34" s="464" t="s">
        <v>1351</v>
      </c>
      <c r="C34" s="465"/>
      <c r="D34" s="466"/>
      <c r="E34" s="188" t="s">
        <v>33</v>
      </c>
      <c r="F34" s="278">
        <f>IFERROR(ROUND(D31*D33,0),0)</f>
        <v>0</v>
      </c>
    </row>
    <row r="35" spans="2:8" ht="16.899999999999999" customHeight="1" x14ac:dyDescent="0.25">
      <c r="B35" s="486" t="s">
        <v>1334</v>
      </c>
      <c r="C35" s="487"/>
      <c r="D35" s="488"/>
      <c r="E35" s="196"/>
      <c r="F35" s="197"/>
    </row>
    <row r="36" spans="2:8" ht="16.899999999999999" customHeight="1" x14ac:dyDescent="0.25">
      <c r="B36" s="194" t="s">
        <v>1227</v>
      </c>
      <c r="C36" s="193" t="s">
        <v>32</v>
      </c>
      <c r="D36" s="275">
        <f>'1. Dashboard'!H35</f>
        <v>0</v>
      </c>
      <c r="E36" s="196"/>
      <c r="F36" s="197"/>
    </row>
    <row r="37" spans="2:8" ht="16.899999999999999" customHeight="1" x14ac:dyDescent="0.25">
      <c r="B37" s="198" t="s">
        <v>1226</v>
      </c>
      <c r="C37" s="193" t="s">
        <v>31</v>
      </c>
      <c r="D37" s="275">
        <f>ROUND(D36*0.8,0)</f>
        <v>0</v>
      </c>
      <c r="E37" s="196"/>
      <c r="F37" s="197"/>
    </row>
    <row r="38" spans="2:8" ht="16.899999999999999" customHeight="1" thickBot="1" x14ac:dyDescent="0.3">
      <c r="B38" s="430" t="s">
        <v>1352</v>
      </c>
      <c r="C38" s="431"/>
      <c r="D38" s="432"/>
      <c r="E38" s="193" t="s">
        <v>30</v>
      </c>
      <c r="F38" s="277">
        <f>IFERROR(ROUND(D37*'2. L-2 Worksheet'!D21,0),0)</f>
        <v>0</v>
      </c>
    </row>
    <row r="39" spans="2:8" ht="16.899999999999999" customHeight="1" thickBot="1" x14ac:dyDescent="0.3">
      <c r="B39" s="493" t="str">
        <f>IF('1. Dashboard'!G11="School", "Total Tort Fund Property Tax Budget (before P-tax Replacement and other deductions):", "Total Non-Exempt Allowable Budget (before P-tax Replacement and other deductions):")</f>
        <v>Total Non-Exempt Allowable Budget (before P-tax Replacement and other deductions):</v>
      </c>
      <c r="C39" s="494"/>
      <c r="D39" s="494"/>
      <c r="E39" s="494"/>
      <c r="F39" s="495"/>
    </row>
    <row r="40" spans="2:8" ht="16.899999999999999" customHeight="1" x14ac:dyDescent="0.25">
      <c r="B40" s="198" t="s">
        <v>1353</v>
      </c>
      <c r="C40" s="187" t="s">
        <v>29</v>
      </c>
      <c r="D40" s="274" t="str">
        <f>IFERROR(ROUND(SUM(F5+F6+F28+F34+F38),0),"")</f>
        <v/>
      </c>
      <c r="E40" s="196"/>
      <c r="F40" s="197"/>
      <c r="H40" s="12"/>
    </row>
    <row r="41" spans="2:8" ht="16.899999999999999" customHeight="1" x14ac:dyDescent="0.25">
      <c r="B41" s="198" t="s">
        <v>1354</v>
      </c>
      <c r="C41" s="187" t="s">
        <v>28</v>
      </c>
      <c r="D41" s="274" t="str">
        <f>IFERROR(ROUND((F5*1.08) + F38,0),"")</f>
        <v/>
      </c>
      <c r="E41" s="196"/>
      <c r="F41" s="197"/>
      <c r="H41" s="12"/>
    </row>
    <row r="42" spans="2:8" ht="16.5" customHeight="1" thickBot="1" x14ac:dyDescent="0.3">
      <c r="B42" s="203" t="str">
        <f>IF('1. Dashboard'!G11="School", "Total tort fund allowed before replacements are subtracted (lesser of lines 16 and 17)","Total non-exempt budget allowed (lesser of lines 16 and 17)")</f>
        <v>Total non-exempt budget allowed (lesser of lines 16 and 17)</v>
      </c>
      <c r="C42" s="204"/>
      <c r="D42" s="205"/>
      <c r="E42" s="193" t="s">
        <v>27</v>
      </c>
      <c r="F42" s="206" t="str">
        <f>IF('1. Dashboard'!G13&lt;&gt;0,MIN(D40:D41),"")</f>
        <v/>
      </c>
      <c r="G42" s="145"/>
      <c r="H42" s="12"/>
    </row>
    <row r="43" spans="2:8" ht="16.899999999999999" customHeight="1" thickBot="1" x14ac:dyDescent="0.3">
      <c r="B43" s="477" t="s">
        <v>1402</v>
      </c>
      <c r="C43" s="478"/>
      <c r="D43" s="478"/>
      <c r="E43" s="478"/>
      <c r="F43" s="479"/>
      <c r="H43" s="12"/>
    </row>
    <row r="44" spans="2:8" ht="16.899999999999999" customHeight="1" x14ac:dyDescent="0.25">
      <c r="B44" s="198" t="s">
        <v>1391</v>
      </c>
      <c r="C44" s="193" t="s">
        <v>26</v>
      </c>
      <c r="D44" s="275" t="str" cm="1">
        <f t="array" ref="D44">IF('1. Dashboard'!G13&lt;&gt;0,INDEX(DataDump!K:K,MATCH(1,(DataDump!C:C=B23) * (DataDump!G:G='1. Dashboard'!G13), 0))," ")</f>
        <v xml:space="preserve"> </v>
      </c>
      <c r="E44" s="196"/>
      <c r="F44" s="207"/>
      <c r="H44" s="12"/>
    </row>
    <row r="45" spans="2:8" ht="16.899999999999999" customHeight="1" x14ac:dyDescent="0.25">
      <c r="B45" s="198" t="s">
        <v>1392</v>
      </c>
      <c r="C45" s="193" t="s">
        <v>25</v>
      </c>
      <c r="D45" s="275" t="str" cm="1">
        <f t="array" ref="D45">IF('1. Dashboard'!G13&lt;&gt;0,INDEX(DataDump!L:L,MATCH(1,(DataDump!C:C=B23) * (DataDump!G:G='1. Dashboard'!G13), 0))," ")</f>
        <v xml:space="preserve"> </v>
      </c>
      <c r="E45" s="196"/>
      <c r="F45" s="207"/>
    </row>
    <row r="46" spans="2:8" ht="16.899999999999999" customHeight="1" x14ac:dyDescent="0.25">
      <c r="B46" s="259" t="s">
        <v>1393</v>
      </c>
      <c r="C46" s="188" t="s">
        <v>24</v>
      </c>
      <c r="D46" s="276" t="str" cm="1">
        <f t="array" ref="D46">IF('1. Dashboard'!G13&lt;&gt;0,INDEX(DataDump!M:M,MATCH(1,(DataDump!C:C=B23) * (DataDump!G:G='1. Dashboard'!G13), 0))," ")</f>
        <v xml:space="preserve"> </v>
      </c>
      <c r="E46" s="196"/>
      <c r="F46" s="207"/>
    </row>
    <row r="47" spans="2:8" ht="16.899999999999999" customHeight="1" x14ac:dyDescent="0.25">
      <c r="B47" s="445" t="s">
        <v>1382</v>
      </c>
      <c r="C47" s="446"/>
      <c r="D47" s="447"/>
      <c r="E47" s="270"/>
      <c r="F47" s="207"/>
    </row>
    <row r="48" spans="2:8" ht="16.899999999999999" customHeight="1" x14ac:dyDescent="0.25">
      <c r="B48" s="271" t="s">
        <v>1389</v>
      </c>
      <c r="C48" s="187" t="s">
        <v>143</v>
      </c>
      <c r="D48" s="274">
        <f>IF('1. Dashboard'!$H$42="Yes", '1. Dashboard'!H43,0)</f>
        <v>0</v>
      </c>
      <c r="E48" s="196"/>
      <c r="F48" s="207"/>
    </row>
    <row r="49" spans="2:8" ht="16.899999999999999" customHeight="1" x14ac:dyDescent="0.25">
      <c r="B49" s="198" t="s">
        <v>1400</v>
      </c>
      <c r="C49" s="193" t="s">
        <v>144</v>
      </c>
      <c r="D49" s="275">
        <f>'1. Dashboard'!H45</f>
        <v>0</v>
      </c>
      <c r="E49" s="196"/>
      <c r="F49" s="207"/>
    </row>
    <row r="50" spans="2:8" ht="16.899999999999999" customHeight="1" thickBot="1" x14ac:dyDescent="0.3">
      <c r="B50" s="442" t="s">
        <v>1390</v>
      </c>
      <c r="C50" s="443"/>
      <c r="D50" s="444"/>
      <c r="E50" s="193" t="s">
        <v>1222</v>
      </c>
      <c r="F50" s="277">
        <f>ROUND(SUM(D48:D49,D44:D46),0)</f>
        <v>0</v>
      </c>
    </row>
    <row r="51" spans="2:8" ht="16.899999999999999" customHeight="1" thickBot="1" x14ac:dyDescent="0.3">
      <c r="B51" s="439" t="s">
        <v>1335</v>
      </c>
      <c r="C51" s="440"/>
      <c r="D51" s="440"/>
      <c r="E51" s="440"/>
      <c r="F51" s="441"/>
    </row>
    <row r="52" spans="2:8" ht="16.899999999999999" customHeight="1" x14ac:dyDescent="0.25">
      <c r="B52" s="436" t="s">
        <v>1387</v>
      </c>
      <c r="C52" s="437"/>
      <c r="D52" s="438"/>
      <c r="E52" s="193" t="s">
        <v>1225</v>
      </c>
      <c r="F52" s="281" t="str" cm="1">
        <f t="array" ref="F52">IF('1. Dashboard'!G13&lt;&gt;0,INDEX(DataDump!N:N,MATCH(1,(DataDump!C:C=B23) * (DataDump!G:G='1. Dashboard'!G13), 0))," ")</f>
        <v xml:space="preserve"> </v>
      </c>
    </row>
    <row r="53" spans="2:8" ht="16.899999999999999" customHeight="1" thickBot="1" x14ac:dyDescent="0.3">
      <c r="B53" s="433" t="s">
        <v>1388</v>
      </c>
      <c r="C53" s="434"/>
      <c r="D53" s="435"/>
      <c r="E53" s="193" t="s">
        <v>1229</v>
      </c>
      <c r="F53" s="206">
        <f>ROUND('1. Dashboard'!H41,0)</f>
        <v>0</v>
      </c>
    </row>
    <row r="54" spans="2:8" ht="16.899999999999999" customHeight="1" thickBot="1" x14ac:dyDescent="0.3">
      <c r="B54" s="439" t="str">
        <f>"Fire District Annexation (Cities Only):"</f>
        <v>Fire District Annexation (Cities Only):</v>
      </c>
      <c r="C54" s="440"/>
      <c r="D54" s="440"/>
      <c r="E54" s="440"/>
      <c r="F54" s="441"/>
    </row>
    <row r="55" spans="2:8" ht="16.899999999999999" customHeight="1" thickBot="1" x14ac:dyDescent="0.3">
      <c r="B55" s="208" t="str">
        <f>IF('1. Dashboard'!G11="City","If annexed by a fire district, enter the amount spent on fire services in the prior year","Not Applicable")</f>
        <v>Not Applicable</v>
      </c>
      <c r="C55" s="209"/>
      <c r="D55" s="209"/>
      <c r="E55" s="210" t="s">
        <v>1230</v>
      </c>
      <c r="F55" s="206">
        <f>IF('1. Dashboard'!G11="City",'1. Dashboard'!H37,0)</f>
        <v>0</v>
      </c>
    </row>
    <row r="56" spans="2:8" ht="16.899999999999999" customHeight="1" thickBot="1" x14ac:dyDescent="0.3">
      <c r="B56" s="439" t="s">
        <v>1383</v>
      </c>
      <c r="C56" s="440"/>
      <c r="D56" s="440"/>
      <c r="E56" s="440"/>
      <c r="F56" s="441"/>
    </row>
    <row r="57" spans="2:8" ht="16.899999999999999" customHeight="1" x14ac:dyDescent="0.25">
      <c r="B57" s="211" t="str">
        <f>IF('1. Dashboard'!G11="School", "Not Applicable to Schools","Total forgone amount reported on the 'Maximum Budget and Forgone Amount Worksheet'")</f>
        <v>Total forgone amount reported on the 'Maximum Budget and Forgone Amount Worksheet'</v>
      </c>
      <c r="C57" s="260" t="s">
        <v>1231</v>
      </c>
      <c r="D57" s="272">
        <f>IF('1. Dashboard'!G11="School", 0,'1. Dashboard'!H48)</f>
        <v>0</v>
      </c>
      <c r="E57" s="261"/>
      <c r="F57" s="262"/>
    </row>
    <row r="58" spans="2:8" ht="15.75" x14ac:dyDescent="0.25">
      <c r="B58" s="259" t="str">
        <f>IF('1. Dashboard'!G11="School", "Not Applicable to Schools","Forgone amount to be recovered in your budget for Maintenance &amp; Operations (up to 1% of line 18).")</f>
        <v>Forgone amount to be recovered in your budget for Maintenance &amp; Operations (up to 1% of line 18).</v>
      </c>
      <c r="C58" s="193" t="s">
        <v>1270</v>
      </c>
      <c r="D58" s="273">
        <f>IFERROR(IF('1. Dashboard'!G11="School", 0,ROUND('1. Dashboard'!H51,0)),"")</f>
        <v>0</v>
      </c>
      <c r="E58" s="196"/>
      <c r="F58" s="197"/>
    </row>
    <row r="59" spans="2:8" ht="15.75" x14ac:dyDescent="0.25">
      <c r="B59" s="259" t="str">
        <f>IF('1. Dashboard'!G11="School", "Not Applicable to Schools","Forgone amount to be recovered in your budget for Capital Projects (up to 3% of line 18).")</f>
        <v>Forgone amount to be recovered in your budget for Capital Projects (up to 3% of line 18).</v>
      </c>
      <c r="C59" s="193" t="s">
        <v>1271</v>
      </c>
      <c r="D59" s="273">
        <f>IFERROR(IF('1. Dashboard'!G13="School", 0, ROUND(MIN(MIN(IF('1. Dashboard'!H53="",0,'1. Dashboard'!H53),F42*0.03),'1. Dashboard'!H48),0)),0)</f>
        <v>0</v>
      </c>
      <c r="E59" s="196"/>
      <c r="F59" s="197"/>
    </row>
    <row r="60" spans="2:8" ht="16.5" customHeight="1" thickBot="1" x14ac:dyDescent="0.3">
      <c r="B60" s="433" t="str">
        <f>IF('1. Dashboard'!G11="School", "Not Applicable to Schools","Total forgone amount to be recovered in your budget (sum of lines 29 &amp; 30; can't exceed what is reported on the attached resolution)")</f>
        <v>Total forgone amount to be recovered in your budget (sum of lines 29 &amp; 30; can't exceed what is reported on the attached resolution)</v>
      </c>
      <c r="C60" s="434"/>
      <c r="D60" s="435"/>
      <c r="E60" s="193" t="s">
        <v>1272</v>
      </c>
      <c r="F60" s="206">
        <f>ROUND(SUM(D58:D59),0)</f>
        <v>0</v>
      </c>
    </row>
    <row r="61" spans="2:8" ht="16.899999999999999" customHeight="1" thickBot="1" x14ac:dyDescent="0.3">
      <c r="B61" s="439" t="s">
        <v>145</v>
      </c>
      <c r="C61" s="440"/>
      <c r="D61" s="440"/>
      <c r="E61" s="440"/>
      <c r="F61" s="441"/>
    </row>
    <row r="62" spans="2:8" ht="16.899999999999999" customHeight="1" x14ac:dyDescent="0.25">
      <c r="B62" s="458" t="str">
        <f>IF('1. Dashboard'!G11&lt;&gt;"School", "Not Applicable", "If the total property tax replacements plus solar tax (Line 24 + Line 26) is less than or equal to the maximum tort fund (Line 18), the difference is shown here."&amp;" This is the maximum amount of property tax that can be levied for the tort fund.")</f>
        <v>Not Applicable</v>
      </c>
      <c r="C62" s="459"/>
      <c r="D62" s="460"/>
      <c r="E62" s="454" t="s">
        <v>1286</v>
      </c>
      <c r="F62" s="472">
        <f>IFERROR(IF('1. Dashboard'!G11="School", IF((F42-F50+F52-F53)&lt;0,"",ROUND(F42-F50+F52-F53,0)),0),"")</f>
        <v>0</v>
      </c>
    </row>
    <row r="63" spans="2:8" ht="16.899999999999999" customHeight="1" x14ac:dyDescent="0.25">
      <c r="B63" s="461"/>
      <c r="C63" s="462"/>
      <c r="D63" s="463"/>
      <c r="E63" s="455"/>
      <c r="F63" s="473"/>
    </row>
    <row r="64" spans="2:8" ht="16.899999999999999" customHeight="1" x14ac:dyDescent="0.25">
      <c r="B64" s="464" t="str">
        <f>IF('1. Dashboard'!G11&lt;&gt;"School", "Not Applicable", "If the total property tax replacements plus solar tax (Line 24 + Line 26) is greater than or equal to the maximum tort fund (Line 18), the difference is shown here."&amp;" The tort fund will be paid by the replacements (plus solar tax) and this is the minimum amount of property tax replacement that is to be subtracted from any other fund(s) levying property taxes.")</f>
        <v>Not Applicable</v>
      </c>
      <c r="C64" s="465"/>
      <c r="D64" s="466"/>
      <c r="E64" s="456" t="s">
        <v>1355</v>
      </c>
      <c r="F64" s="470">
        <f>IFERROR(IF('1. Dashboard'!G11="School", IF((F42-F50+F52-F53)&gt;0,"",ROUND(F50-F52+F53-F42,0)),0),"")</f>
        <v>0</v>
      </c>
      <c r="G64" s="71"/>
      <c r="H64" s="71"/>
    </row>
    <row r="65" spans="2:8" ht="30.75" customHeight="1" thickBot="1" x14ac:dyDescent="0.3">
      <c r="B65" s="467"/>
      <c r="C65" s="468"/>
      <c r="D65" s="469"/>
      <c r="E65" s="457"/>
      <c r="F65" s="471"/>
      <c r="H65" s="71"/>
    </row>
    <row r="66" spans="2:8" ht="16.899999999999999" customHeight="1" thickBot="1" x14ac:dyDescent="0.3">
      <c r="B66" s="448" t="s">
        <v>1265</v>
      </c>
      <c r="C66" s="449"/>
      <c r="D66" s="449"/>
      <c r="E66" s="449"/>
      <c r="F66" s="450"/>
    </row>
    <row r="67" spans="2:8" ht="16.899999999999999" customHeight="1" thickBot="1" x14ac:dyDescent="0.3">
      <c r="B67" s="451" t="str">
        <f>IF('1. Dashboard'!G11="School", "Not Applicable to Schools", "Maximum non-exempt property tax budget including forgone amount (lines 18-24+25-26-27+31)")</f>
        <v>Maximum non-exempt property tax budget including forgone amount (lines 18-24+25-26-27+31)</v>
      </c>
      <c r="C67" s="452"/>
      <c r="D67" s="453"/>
      <c r="E67" s="189" t="s">
        <v>1356</v>
      </c>
      <c r="F67" s="282" t="str">
        <f>IFERROR(IF(F5&lt;&gt;0,IF('1. Dashboard'!G11&lt;&gt;"School", IF(F42-(F50+F55)+F52-F53+F60&gt;=0, ROUND(F42-(F50+F55)+F52-F53+F60,0), "Less than $0"), 0),""),"")</f>
        <v/>
      </c>
    </row>
    <row r="68" spans="2:8" ht="16.899999999999999" customHeight="1" x14ac:dyDescent="0.25">
      <c r="B68" s="13" t="str">
        <f>IF('1. Dashboard'!G11="Hospital", "*The reported amount excludes the I.C.§ 63-1305C refund.", IF(OR('1. Dashboard'!G11="Highway",'1. Dashboard'!G11="County Road &amp; Bridge",'1. Dashboard'!G11="County w/ Countywide Road &amp; Bridge"), "*The reported amount excludes the I.C.§ 63-1305C refund.",""))</f>
        <v/>
      </c>
      <c r="C68" s="13"/>
      <c r="D68" s="13"/>
      <c r="E68" s="13"/>
      <c r="F68" s="13"/>
    </row>
  </sheetData>
  <sheetProtection sheet="1" objects="1" scenarios="1"/>
  <mergeCells count="34">
    <mergeCell ref="B2:F2"/>
    <mergeCell ref="B43:F43"/>
    <mergeCell ref="B7:F7"/>
    <mergeCell ref="B4:F4"/>
    <mergeCell ref="B5:D5"/>
    <mergeCell ref="B6:D6"/>
    <mergeCell ref="B20:D20"/>
    <mergeCell ref="C14:D14"/>
    <mergeCell ref="C8:D8"/>
    <mergeCell ref="C22:D22"/>
    <mergeCell ref="D3:F3"/>
    <mergeCell ref="B28:D28"/>
    <mergeCell ref="B29:D29"/>
    <mergeCell ref="B34:D34"/>
    <mergeCell ref="B39:F39"/>
    <mergeCell ref="B35:D35"/>
    <mergeCell ref="B66:F66"/>
    <mergeCell ref="B67:D67"/>
    <mergeCell ref="B54:F54"/>
    <mergeCell ref="B56:F56"/>
    <mergeCell ref="B61:F61"/>
    <mergeCell ref="E62:E63"/>
    <mergeCell ref="E64:E65"/>
    <mergeCell ref="B62:D63"/>
    <mergeCell ref="B64:D65"/>
    <mergeCell ref="F64:F65"/>
    <mergeCell ref="F62:F63"/>
    <mergeCell ref="B60:D60"/>
    <mergeCell ref="B38:D38"/>
    <mergeCell ref="B53:D53"/>
    <mergeCell ref="B52:D52"/>
    <mergeCell ref="B51:F51"/>
    <mergeCell ref="B50:D50"/>
    <mergeCell ref="B47:D47"/>
  </mergeCells>
  <conditionalFormatting sqref="A2:B2 G2:XFD4 B3:B4 A5:XFD8 A9:C12 A13:A19 A20:B20 A21:XFD34 A35:B35 E35:XFD35 A43:B43 G43:XFD43 A44:XFD46 A47:B47 E47:XFD47 A48:XFD50 A55:XFD55 A56:B56 G56:XFD56 A57:XFD59 E60:XFD60 G61:XFD61 E62:XFD62 A63 G63:XFD63 A64:B64 E64:XFD64 A65 G65:XFD66 A66:B66 A67:XFD1048576">
    <cfRule type="containsErrors" dxfId="33" priority="26">
      <formula>ISERROR(A2)</formula>
    </cfRule>
  </conditionalFormatting>
  <conditionalFormatting sqref="A51:B54">
    <cfRule type="containsErrors" dxfId="32" priority="5">
      <formula>ISERROR(A51)</formula>
    </cfRule>
  </conditionalFormatting>
  <conditionalFormatting sqref="A60:B62">
    <cfRule type="containsErrors" dxfId="31" priority="22">
      <formula>ISERROR(A60)</formula>
    </cfRule>
  </conditionalFormatting>
  <conditionalFormatting sqref="A36:XFD42">
    <cfRule type="containsErrors" dxfId="30" priority="13">
      <formula>ISERROR(A36)</formula>
    </cfRule>
  </conditionalFormatting>
  <conditionalFormatting sqref="D9:XFD13 B13:C13 B14:XFD14 B15:D19 E15:XFD20">
    <cfRule type="containsErrors" dxfId="28" priority="11">
      <formula>ISERROR(B9)</formula>
    </cfRule>
  </conditionalFormatting>
  <conditionalFormatting sqref="E52:F53">
    <cfRule type="containsErrors" dxfId="27" priority="1">
      <formula>ISERROR(E52)</formula>
    </cfRule>
  </conditionalFormatting>
  <conditionalFormatting sqref="F35">
    <cfRule type="cellIs" dxfId="26" priority="15" operator="greaterThan">
      <formula>$F$50</formula>
    </cfRule>
  </conditionalFormatting>
  <conditionalFormatting sqref="G51:XFD54">
    <cfRule type="containsErrors" dxfId="25" priority="8">
      <formula>ISERROR(G51)</formula>
    </cfRule>
  </conditionalFormatting>
  <printOptions horizontalCentered="1"/>
  <pageMargins left="0.25" right="0.25" top="0.25" bottom="0.25" header="0.3" footer="0.3"/>
  <pageSetup scale="91" fitToHeight="0" orientation="landscape" r:id="rId1"/>
  <ignoredErrors>
    <ignoredError sqref="E63 E29:E33 E5:E6 E65" numberStoredAsText="1"/>
  </ignoredErrors>
  <extLst>
    <ext xmlns:x14="http://schemas.microsoft.com/office/spreadsheetml/2009/9/main" uri="{78C0D931-6437-407d-A8EE-F0AAD7539E65}">
      <x14:conditionalFormattings>
        <x14:conditionalFormatting xmlns:xm="http://schemas.microsoft.com/office/excel/2006/main">
          <x14:cfRule type="expression" priority="3" id="{A94AE3C0-227B-4BA5-A76E-27F76724A597}">
            <xm:f>'1. Dashboard'!$G$11="School"</xm:f>
            <x14:dxf>
              <font>
                <b/>
                <i val="0"/>
              </font>
            </x14:dxf>
          </x14:cfRule>
          <xm:sqref>B42</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7D71D-0162-184E-8FAA-223497D37D92}">
  <sheetPr codeName="Sheet9">
    <pageSetUpPr fitToPage="1"/>
  </sheetPr>
  <dimension ref="A1:Q70"/>
  <sheetViews>
    <sheetView showGridLines="0" showZeros="0" zoomScale="90" zoomScaleNormal="90" workbookViewId="0">
      <selection activeCell="D9" sqref="D9"/>
    </sheetView>
  </sheetViews>
  <sheetFormatPr defaultColWidth="8.75" defaultRowHeight="16.899999999999999" customHeight="1" x14ac:dyDescent="0.25"/>
  <cols>
    <col min="1" max="1" width="2.75" style="13" customWidth="1"/>
    <col min="2" max="2" width="2.5" style="13" customWidth="1"/>
    <col min="3" max="3" width="29.375" style="13" customWidth="1"/>
    <col min="4" max="4" width="18.625" style="13" customWidth="1"/>
    <col min="5" max="5" width="21.375" style="13" customWidth="1"/>
    <col min="6" max="6" width="20.25" style="13" customWidth="1"/>
    <col min="7" max="7" width="20.875" style="13" customWidth="1"/>
    <col min="8" max="8" width="23" style="13" customWidth="1"/>
    <col min="9" max="9" width="8.75" style="13"/>
    <col min="10" max="10" width="13.5" style="13" bestFit="1" customWidth="1"/>
    <col min="11" max="11" width="11.25" style="13" bestFit="1" customWidth="1"/>
    <col min="12" max="16" width="8.75" style="13"/>
    <col min="17" max="17" width="13.75" style="13" bestFit="1" customWidth="1"/>
    <col min="18" max="16384" width="8.75" style="13"/>
  </cols>
  <sheetData>
    <row r="1" spans="1:17" ht="16.899999999999999" customHeight="1" thickBot="1" x14ac:dyDescent="0.3">
      <c r="A1" s="105"/>
    </row>
    <row r="2" spans="1:17" ht="16.899999999999999" customHeight="1" x14ac:dyDescent="0.25">
      <c r="B2" s="496" t="s">
        <v>1327</v>
      </c>
      <c r="C2" s="497"/>
      <c r="D2" s="497"/>
      <c r="E2" s="497"/>
      <c r="F2" s="497"/>
      <c r="G2" s="497"/>
      <c r="H2" s="498"/>
      <c r="Q2" s="14"/>
    </row>
    <row r="3" spans="1:17" ht="16.899999999999999" customHeight="1" thickBot="1" x14ac:dyDescent="0.3">
      <c r="B3" s="499" t="s">
        <v>125</v>
      </c>
      <c r="C3" s="500"/>
      <c r="D3" s="500"/>
      <c r="E3" s="500"/>
      <c r="F3" s="500"/>
      <c r="G3" s="500"/>
      <c r="H3" s="501"/>
    </row>
    <row r="4" spans="1:17" ht="16.899999999999999" customHeight="1" x14ac:dyDescent="0.25">
      <c r="B4" s="108" t="s">
        <v>23</v>
      </c>
      <c r="C4" s="67"/>
      <c r="D4" s="518">
        <f>'1. Dashboard'!G13</f>
        <v>0</v>
      </c>
      <c r="E4" s="518"/>
      <c r="F4" s="518"/>
      <c r="G4" s="518"/>
      <c r="H4" s="519"/>
    </row>
    <row r="5" spans="1:17" ht="16.899999999999999" customHeight="1" x14ac:dyDescent="0.25">
      <c r="B5" s="512" t="s">
        <v>86</v>
      </c>
      <c r="C5" s="513"/>
      <c r="D5" s="504" t="s">
        <v>127</v>
      </c>
      <c r="E5" s="504" t="str">
        <f>IF('1. Dashboard'!G11="School","Cash Forward Balance &amp; Other Revenue Not Shown in Columns 4 or 5","Cash Forward Balance")</f>
        <v>Cash Forward Balance</v>
      </c>
      <c r="F5" s="504" t="str">
        <f>IF('1. Dashboard'!G11="School","Revenue from School District Facilities Fund (IC§33-911) and annualized amounts paid under IC§33-914","Other revenue NOT shown in Column 5")</f>
        <v>Other revenue NOT shown in Column 5</v>
      </c>
      <c r="G5" s="504" t="s">
        <v>1368</v>
      </c>
      <c r="H5" s="510" t="s">
        <v>126</v>
      </c>
    </row>
    <row r="6" spans="1:17" ht="16.899999999999999" customHeight="1" x14ac:dyDescent="0.25">
      <c r="B6" s="514"/>
      <c r="C6" s="515"/>
      <c r="D6" s="505"/>
      <c r="E6" s="505"/>
      <c r="F6" s="505"/>
      <c r="G6" s="505"/>
      <c r="H6" s="511"/>
    </row>
    <row r="7" spans="1:17" ht="50.45" customHeight="1" x14ac:dyDescent="0.25">
      <c r="B7" s="516"/>
      <c r="C7" s="517"/>
      <c r="D7" s="505"/>
      <c r="E7" s="505"/>
      <c r="F7" s="505"/>
      <c r="G7" s="505"/>
      <c r="H7" s="511"/>
      <c r="K7" s="94"/>
    </row>
    <row r="8" spans="1:17" ht="16.899999999999999" customHeight="1" x14ac:dyDescent="0.25">
      <c r="B8" s="587">
        <v>1</v>
      </c>
      <c r="C8" s="588"/>
      <c r="D8" s="23">
        <v>2</v>
      </c>
      <c r="E8" s="23">
        <v>3</v>
      </c>
      <c r="F8" s="23">
        <v>4</v>
      </c>
      <c r="G8" s="23">
        <v>5</v>
      </c>
      <c r="H8" s="68">
        <v>6</v>
      </c>
    </row>
    <row r="9" spans="1:17" ht="16.899999999999999" customHeight="1" x14ac:dyDescent="0.25">
      <c r="B9" s="520"/>
      <c r="C9" s="521"/>
      <c r="D9" s="90"/>
      <c r="E9" s="90"/>
      <c r="F9" s="90"/>
      <c r="G9" s="90"/>
      <c r="H9" s="119">
        <f>ROUND(D9-(E9+F9+G9),0)</f>
        <v>0</v>
      </c>
    </row>
    <row r="10" spans="1:17" ht="16.899999999999999" customHeight="1" x14ac:dyDescent="0.25">
      <c r="B10" s="520"/>
      <c r="C10" s="521"/>
      <c r="D10" s="90"/>
      <c r="E10" s="90"/>
      <c r="F10" s="90"/>
      <c r="G10" s="90"/>
      <c r="H10" s="119">
        <f t="shared" ref="H10:H27" si="0">ROUND(D10-(E10+F10+G10),0)</f>
        <v>0</v>
      </c>
    </row>
    <row r="11" spans="1:17" ht="16.899999999999999" customHeight="1" x14ac:dyDescent="0.25">
      <c r="B11" s="520"/>
      <c r="C11" s="521"/>
      <c r="D11" s="90"/>
      <c r="E11" s="90"/>
      <c r="F11" s="90"/>
      <c r="G11" s="90"/>
      <c r="H11" s="119">
        <f t="shared" si="0"/>
        <v>0</v>
      </c>
    </row>
    <row r="12" spans="1:17" ht="16.899999999999999" customHeight="1" x14ac:dyDescent="0.25">
      <c r="B12" s="520"/>
      <c r="C12" s="521"/>
      <c r="D12" s="90"/>
      <c r="E12" s="90"/>
      <c r="F12" s="90"/>
      <c r="G12" s="90"/>
      <c r="H12" s="119">
        <f t="shared" si="0"/>
        <v>0</v>
      </c>
    </row>
    <row r="13" spans="1:17" ht="16.899999999999999" customHeight="1" x14ac:dyDescent="0.25">
      <c r="B13" s="520"/>
      <c r="C13" s="521"/>
      <c r="D13" s="90"/>
      <c r="E13" s="90"/>
      <c r="F13" s="90"/>
      <c r="G13" s="90"/>
      <c r="H13" s="119">
        <f t="shared" si="0"/>
        <v>0</v>
      </c>
    </row>
    <row r="14" spans="1:17" ht="16.899999999999999" customHeight="1" x14ac:dyDescent="0.25">
      <c r="B14" s="520"/>
      <c r="C14" s="521"/>
      <c r="D14" s="90"/>
      <c r="E14" s="90"/>
      <c r="F14" s="90"/>
      <c r="G14" s="90"/>
      <c r="H14" s="119">
        <f t="shared" si="0"/>
        <v>0</v>
      </c>
    </row>
    <row r="15" spans="1:17" ht="16.899999999999999" customHeight="1" x14ac:dyDescent="0.25">
      <c r="B15" s="520"/>
      <c r="C15" s="521"/>
      <c r="D15" s="90"/>
      <c r="E15" s="90"/>
      <c r="F15" s="90"/>
      <c r="G15" s="90"/>
      <c r="H15" s="119">
        <f t="shared" si="0"/>
        <v>0</v>
      </c>
    </row>
    <row r="16" spans="1:17" ht="16.899999999999999" customHeight="1" x14ac:dyDescent="0.25">
      <c r="B16" s="520"/>
      <c r="C16" s="521"/>
      <c r="D16" s="90"/>
      <c r="E16" s="90"/>
      <c r="F16" s="90"/>
      <c r="G16" s="90"/>
      <c r="H16" s="119">
        <f t="shared" si="0"/>
        <v>0</v>
      </c>
    </row>
    <row r="17" spans="2:10" ht="16.899999999999999" customHeight="1" x14ac:dyDescent="0.25">
      <c r="B17" s="520"/>
      <c r="C17" s="521"/>
      <c r="D17" s="90"/>
      <c r="E17" s="90"/>
      <c r="F17" s="90"/>
      <c r="G17" s="90"/>
      <c r="H17" s="119">
        <f t="shared" si="0"/>
        <v>0</v>
      </c>
    </row>
    <row r="18" spans="2:10" ht="16.899999999999999" customHeight="1" x14ac:dyDescent="0.25">
      <c r="B18" s="520"/>
      <c r="C18" s="521"/>
      <c r="D18" s="90"/>
      <c r="E18" s="90"/>
      <c r="F18" s="90"/>
      <c r="G18" s="90"/>
      <c r="H18" s="119">
        <f t="shared" si="0"/>
        <v>0</v>
      </c>
    </row>
    <row r="19" spans="2:10" ht="16.899999999999999" customHeight="1" x14ac:dyDescent="0.25">
      <c r="B19" s="520"/>
      <c r="C19" s="521"/>
      <c r="D19" s="90"/>
      <c r="E19" s="90"/>
      <c r="F19" s="90"/>
      <c r="G19" s="90"/>
      <c r="H19" s="119">
        <f t="shared" si="0"/>
        <v>0</v>
      </c>
    </row>
    <row r="20" spans="2:10" ht="16.899999999999999" customHeight="1" x14ac:dyDescent="0.25">
      <c r="B20" s="520"/>
      <c r="C20" s="521"/>
      <c r="D20" s="90"/>
      <c r="E20" s="90"/>
      <c r="F20" s="90"/>
      <c r="G20" s="90"/>
      <c r="H20" s="119">
        <f t="shared" si="0"/>
        <v>0</v>
      </c>
    </row>
    <row r="21" spans="2:10" ht="16.899999999999999" customHeight="1" x14ac:dyDescent="0.25">
      <c r="B21" s="520"/>
      <c r="C21" s="521"/>
      <c r="D21" s="90"/>
      <c r="E21" s="90"/>
      <c r="F21" s="90"/>
      <c r="G21" s="90"/>
      <c r="H21" s="119">
        <f t="shared" si="0"/>
        <v>0</v>
      </c>
      <c r="J21" s="124"/>
    </row>
    <row r="22" spans="2:10" ht="16.899999999999999" customHeight="1" x14ac:dyDescent="0.25">
      <c r="B22" s="520"/>
      <c r="C22" s="521"/>
      <c r="D22" s="90"/>
      <c r="E22" s="90"/>
      <c r="F22" s="90"/>
      <c r="G22" s="90"/>
      <c r="H22" s="119">
        <f t="shared" si="0"/>
        <v>0</v>
      </c>
    </row>
    <row r="23" spans="2:10" ht="16.899999999999999" customHeight="1" x14ac:dyDescent="0.25">
      <c r="B23" s="520"/>
      <c r="C23" s="521"/>
      <c r="D23" s="90"/>
      <c r="E23" s="90"/>
      <c r="F23" s="90"/>
      <c r="G23" s="90"/>
      <c r="H23" s="119">
        <f t="shared" si="0"/>
        <v>0</v>
      </c>
    </row>
    <row r="24" spans="2:10" ht="16.899999999999999" customHeight="1" x14ac:dyDescent="0.25">
      <c r="B24" s="164" t="str">
        <f>IF(OR('1. Dashboard'!G11="Highway",'1. Dashboard'!G11="County Road &amp; Bridge",'1. Dashboard'!G11="County w/ Countywide Road &amp; Bridge"), "^", "")</f>
        <v/>
      </c>
      <c r="C24" s="165" t="str">
        <f>IF(OR('1. Dashboard'!G11="Highway",'1. Dashboard'!G11="County w/ Countywide Road &amp; Bridge"),"I.C. §40-801(1)(a)","")</f>
        <v/>
      </c>
      <c r="D24" s="110"/>
      <c r="E24" s="110"/>
      <c r="F24" s="110"/>
      <c r="G24" s="110"/>
      <c r="H24" s="119">
        <f t="shared" si="0"/>
        <v>0</v>
      </c>
      <c r="J24" s="95"/>
    </row>
    <row r="25" spans="2:10" ht="16.899999999999999" customHeight="1" x14ac:dyDescent="0.25">
      <c r="B25" s="164" t="str">
        <f>IF(OR('1. Dashboard'!G11="Highway",'1. Dashboard'!G11="County Road &amp; Bridge",'1. Dashboard'!G11="County w/ Countywide Road &amp; Bridge"), "^^", "")</f>
        <v/>
      </c>
      <c r="C25" s="165" t="str">
        <f>IF(OR('1. Dashboard'!G11="Highway",'1. Dashboard'!G11="County w/ Countywide Road &amp; Bridge"), "I.C. §40-801(1)(b)", "")</f>
        <v/>
      </c>
      <c r="D25" s="110"/>
      <c r="E25" s="110"/>
      <c r="F25" s="110"/>
      <c r="G25" s="110"/>
      <c r="H25" s="119">
        <f t="shared" si="0"/>
        <v>0</v>
      </c>
      <c r="J25" s="95"/>
    </row>
    <row r="26" spans="2:10" ht="16.899999999999999" customHeight="1" x14ac:dyDescent="0.25">
      <c r="B26" s="164" t="str">
        <f>IF('1. Dashboard'!G11="Highway", "^^", "")</f>
        <v/>
      </c>
      <c r="C26" s="166" t="str">
        <f>IF(OR('1. Dashboard'!G11="Highway",'1. Dashboard'!G11="School"), "Tort", "")</f>
        <v/>
      </c>
      <c r="D26" s="110"/>
      <c r="E26" s="110"/>
      <c r="F26" s="110"/>
      <c r="G26" s="110"/>
      <c r="H26" s="119">
        <f t="shared" si="0"/>
        <v>0</v>
      </c>
      <c r="J26" s="95"/>
    </row>
    <row r="27" spans="2:10" ht="16.899999999999999" customHeight="1" x14ac:dyDescent="0.25">
      <c r="B27" s="568" t="s">
        <v>1221</v>
      </c>
      <c r="C27" s="569"/>
      <c r="D27" s="133"/>
      <c r="E27" s="133"/>
      <c r="F27" s="133"/>
      <c r="G27" s="173"/>
      <c r="H27" s="119">
        <f t="shared" si="0"/>
        <v>0</v>
      </c>
      <c r="J27" s="95"/>
    </row>
    <row r="28" spans="2:10" ht="16.899999999999999" customHeight="1" thickBot="1" x14ac:dyDescent="0.3">
      <c r="B28" s="574" t="s">
        <v>158</v>
      </c>
      <c r="C28" s="575"/>
      <c r="D28" s="116">
        <f>ROUND(SUM(D9:D27),0)</f>
        <v>0</v>
      </c>
      <c r="E28" s="116">
        <f t="shared" ref="E28:G28" si="1">ROUND(SUM(E9:E27),0)</f>
        <v>0</v>
      </c>
      <c r="F28" s="116">
        <f t="shared" si="1"/>
        <v>0</v>
      </c>
      <c r="G28" s="116">
        <f t="shared" si="1"/>
        <v>0</v>
      </c>
      <c r="H28" s="239">
        <f>SUM(H9:H26)</f>
        <v>0</v>
      </c>
      <c r="J28" s="95"/>
    </row>
    <row r="29" spans="2:10" ht="19.5" thickBot="1" x14ac:dyDescent="0.35">
      <c r="B29" s="238"/>
      <c r="C29" s="570" t="str">
        <f>IF('1. Dashboard'!G11&lt;&gt;"School","Maximum Allowable Non-Exempt Property Tax Amount to be Levied:","Maximum Amount to be Levied for the Tort Fund:")</f>
        <v>Maximum Allowable Non-Exempt Property Tax Amount to be Levied:</v>
      </c>
      <c r="D29" s="570"/>
      <c r="E29" s="570"/>
      <c r="F29" s="570"/>
      <c r="G29" s="570"/>
      <c r="H29" s="249" t="str">
        <f>IFERROR(IF('1. Dashboard'!G11&lt;&gt;"School",'2. L-2 Worksheet'!F67,'2. L-2 Worksheet'!F62),"")</f>
        <v/>
      </c>
      <c r="J29" s="95"/>
    </row>
    <row r="30" spans="2:10" ht="21.75" customHeight="1" x14ac:dyDescent="0.35">
      <c r="B30" s="582" t="s">
        <v>159</v>
      </c>
      <c r="C30" s="583"/>
      <c r="D30" s="583"/>
      <c r="E30" s="583"/>
      <c r="F30" s="583"/>
      <c r="G30" s="583"/>
      <c r="H30" s="584"/>
      <c r="J30" s="95"/>
    </row>
    <row r="31" spans="2:10" ht="16.5" thickBot="1" x14ac:dyDescent="0.3">
      <c r="B31" s="571" t="str">
        <f>IF('1. Dashboard'!G11="School",
       "(Bonds, Supplementals, Plant Facilities, COSA, Tuition, Emergency, Budget Stabilization, &amp; Judgment Funds)",
       "(Bonds, Overrides, Judgment Funds, &amp; Plant Facilities)")</f>
        <v>(Bonds, Overrides, Judgment Funds, &amp; Plant Facilities)</v>
      </c>
      <c r="C31" s="572"/>
      <c r="D31" s="572"/>
      <c r="E31" s="572"/>
      <c r="F31" s="572"/>
      <c r="G31" s="572"/>
      <c r="H31" s="573"/>
      <c r="J31" s="95"/>
    </row>
    <row r="32" spans="2:10" ht="16.899999999999999" customHeight="1" x14ac:dyDescent="0.25">
      <c r="B32" s="578"/>
      <c r="C32" s="579"/>
      <c r="D32" s="123"/>
      <c r="E32" s="123"/>
      <c r="F32" s="123"/>
      <c r="G32" s="123"/>
      <c r="H32" s="120">
        <f>ROUND(D32-(E32+F32+G32),0)</f>
        <v>0</v>
      </c>
      <c r="J32" s="95"/>
    </row>
    <row r="33" spans="2:10" ht="16.899999999999999" customHeight="1" x14ac:dyDescent="0.25">
      <c r="B33" s="520"/>
      <c r="C33" s="521"/>
      <c r="D33" s="110"/>
      <c r="E33" s="110"/>
      <c r="F33" s="110"/>
      <c r="G33" s="110"/>
      <c r="H33" s="120">
        <f t="shared" ref="H33:H38" si="2">ROUND(D33-(E33+F33+G33),0)</f>
        <v>0</v>
      </c>
      <c r="J33" s="95"/>
    </row>
    <row r="34" spans="2:10" ht="16.899999999999999" customHeight="1" x14ac:dyDescent="0.25">
      <c r="B34" s="520"/>
      <c r="C34" s="521"/>
      <c r="D34" s="110"/>
      <c r="E34" s="110"/>
      <c r="F34" s="110"/>
      <c r="G34" s="110"/>
      <c r="H34" s="120">
        <f t="shared" si="2"/>
        <v>0</v>
      </c>
      <c r="J34" s="95"/>
    </row>
    <row r="35" spans="2:10" ht="16.899999999999999" customHeight="1" x14ac:dyDescent="0.25">
      <c r="B35" s="520"/>
      <c r="C35" s="521"/>
      <c r="D35" s="133"/>
      <c r="E35" s="133"/>
      <c r="F35" s="133"/>
      <c r="G35" s="133"/>
      <c r="H35" s="120">
        <f t="shared" si="2"/>
        <v>0</v>
      </c>
      <c r="J35" s="95"/>
    </row>
    <row r="36" spans="2:10" ht="16.899999999999999" customHeight="1" x14ac:dyDescent="0.25">
      <c r="B36" s="520"/>
      <c r="C36" s="521"/>
      <c r="D36" s="133"/>
      <c r="E36" s="133"/>
      <c r="F36" s="133"/>
      <c r="G36" s="133"/>
      <c r="H36" s="120">
        <f t="shared" si="2"/>
        <v>0</v>
      </c>
      <c r="J36" s="95"/>
    </row>
    <row r="37" spans="2:10" ht="16.899999999999999" customHeight="1" x14ac:dyDescent="0.25">
      <c r="B37" s="520"/>
      <c r="C37" s="521"/>
      <c r="D37" s="133"/>
      <c r="E37" s="133"/>
      <c r="F37" s="133"/>
      <c r="G37" s="133"/>
      <c r="H37" s="120">
        <f t="shared" si="2"/>
        <v>0</v>
      </c>
      <c r="J37" s="95"/>
    </row>
    <row r="38" spans="2:10" ht="16.899999999999999" customHeight="1" x14ac:dyDescent="0.25">
      <c r="B38" s="520"/>
      <c r="C38" s="521"/>
      <c r="D38" s="133"/>
      <c r="E38" s="133"/>
      <c r="F38" s="133"/>
      <c r="G38" s="133"/>
      <c r="H38" s="120">
        <f t="shared" si="2"/>
        <v>0</v>
      </c>
      <c r="J38" s="95"/>
    </row>
    <row r="39" spans="2:10" ht="16.899999999999999" customHeight="1" thickBot="1" x14ac:dyDescent="0.3">
      <c r="B39" s="580" t="s">
        <v>158</v>
      </c>
      <c r="C39" s="581"/>
      <c r="D39" s="117">
        <f>ROUND(SUM(D32:D38),0)</f>
        <v>0</v>
      </c>
      <c r="E39" s="117">
        <f t="shared" ref="E39:G39" si="3">ROUND(SUM(E32:E38),0)</f>
        <v>0</v>
      </c>
      <c r="F39" s="117">
        <f t="shared" si="3"/>
        <v>0</v>
      </c>
      <c r="G39" s="117">
        <f t="shared" si="3"/>
        <v>0</v>
      </c>
      <c r="H39" s="237">
        <f t="shared" ref="H39" si="4">SUM(H32:H38)</f>
        <v>0</v>
      </c>
      <c r="J39" s="95"/>
    </row>
    <row r="40" spans="2:10" ht="16.899999999999999" customHeight="1" thickTop="1" thickBot="1" x14ac:dyDescent="0.3">
      <c r="B40" s="531" t="s">
        <v>77</v>
      </c>
      <c r="C40" s="533"/>
      <c r="D40" s="114">
        <f t="shared" ref="D40:F40" si="5">D28+D39</f>
        <v>0</v>
      </c>
      <c r="E40" s="114">
        <f t="shared" si="5"/>
        <v>0</v>
      </c>
      <c r="F40" s="114">
        <f t="shared" si="5"/>
        <v>0</v>
      </c>
      <c r="G40" s="114">
        <f>G28+G39</f>
        <v>0</v>
      </c>
      <c r="H40" s="115">
        <f>H28+H39</f>
        <v>0</v>
      </c>
      <c r="J40" s="95"/>
    </row>
    <row r="41" spans="2:10" ht="16.899999999999999" customHeight="1" thickBot="1" x14ac:dyDescent="0.3">
      <c r="B41" s="585" t="str">
        <f>IF('1. Dashboard'!G11&lt;&gt;"School", "Expected Totals (for balancing purposes, values from 'L-2 Worksheet')","Expected Totals (for balancing purposes)")</f>
        <v>Expected Totals (for balancing purposes, values from 'L-2 Worksheet')</v>
      </c>
      <c r="C41" s="586"/>
      <c r="D41" s="586"/>
      <c r="E41" s="586"/>
      <c r="F41" s="251" t="str">
        <f>IF('1. Dashboard'!G11="School",ROUND('1. Dashboard'!H37,0),"")</f>
        <v/>
      </c>
      <c r="G41" s="191">
        <f>'2. L-2 Worksheet'!F50+'2. L-2 Worksheet'!F53</f>
        <v>0</v>
      </c>
      <c r="H41" s="192"/>
      <c r="J41" s="95"/>
    </row>
    <row r="42" spans="2:10" ht="16.899999999999999" customHeight="1" x14ac:dyDescent="0.25">
      <c r="B42" s="257" t="str">
        <f>IF('1. Dashboard'!G11="School", "", "I, the undersigned, attest that a public hearing was held and a resolution was adopted to:")</f>
        <v>I, the undersigned, attest that a public hearing was held and a resolution was adopted to:</v>
      </c>
      <c r="C42" s="256"/>
      <c r="D42" s="256"/>
      <c r="E42" s="256"/>
      <c r="F42" s="256"/>
      <c r="G42" s="255" t="str">
        <f>IF(AND('1. Dashboard'!G11&lt;&gt;"School"), "Max Reserved Forgone:", "")</f>
        <v>Max Reserved Forgone:</v>
      </c>
      <c r="H42" s="91" t="str">
        <f>IFERROR(IF('1. Dashboard'!G11&lt;&gt;"School",
MIN(('2. L-2 Worksheet'!F5*0.03) + MIN((('2. L-2 Worksheet'!F28) + ('2. L-2 Worksheet'!F34)), ROUND('2. L-2 Worksheet'!F5*0.05,0)) + '2. L-2 Worksheet'!F38,
MAX(Hidden!C64-H28,0)),""),"")</f>
        <v/>
      </c>
      <c r="J42" s="95"/>
    </row>
    <row r="43" spans="2:10" ht="16.899999999999999" customHeight="1" x14ac:dyDescent="0.25">
      <c r="B43" s="213"/>
      <c r="C43" s="214" t="str">
        <f>IF('1. Dashboard'!G11="School", "", "RESERVE the current year's forgone amount, OR")</f>
        <v>RESERVE the current year's forgone amount, OR</v>
      </c>
      <c r="D43" s="19"/>
      <c r="E43" s="63"/>
      <c r="F43" s="19"/>
      <c r="G43" s="66" t="str">
        <f>IF('1. Dashboard'!G11="School", "", "Reserved Forgone:")</f>
        <v>Reserved Forgone:</v>
      </c>
      <c r="H43" s="216"/>
      <c r="J43" s="94"/>
    </row>
    <row r="44" spans="2:10" ht="16.899999999999999" customHeight="1" x14ac:dyDescent="0.25">
      <c r="B44" s="215"/>
      <c r="C44" s="214" t="str">
        <f>IF('1. Dashboard'!G11="School", "", "RECOVER forgone amounts (line 31 of the 'L-2 Worksheet')")</f>
        <v>RECOVER forgone amounts (line 31 of the 'L-2 Worksheet')</v>
      </c>
      <c r="D44" s="214"/>
      <c r="E44" s="214"/>
      <c r="F44" s="63"/>
      <c r="G44" s="62" t="str">
        <f>IF('1. Dashboard'!G11="School", "", "Recovered Forgone:")</f>
        <v>Recovered Forgone:</v>
      </c>
      <c r="H44" s="69">
        <f>IF('1. Dashboard'!G11="School", "", IFERROR('2. L-2 Worksheet'!F60,0))</f>
        <v>0</v>
      </c>
    </row>
    <row r="45" spans="2:10" ht="16.899999999999999" customHeight="1" x14ac:dyDescent="0.25">
      <c r="B45" s="506" t="str">
        <f>IF('1. Dashboard'!G11="School", "", "I have attached the adopted and signed resolution indicating the amount of forgone to be reserved or recovered.")</f>
        <v>I have attached the adopted and signed resolution indicating the amount of forgone to be reserved or recovered.</v>
      </c>
      <c r="C45" s="507"/>
      <c r="D45" s="507"/>
      <c r="E45" s="507"/>
      <c r="F45" s="507"/>
      <c r="G45" s="507"/>
      <c r="H45" s="508"/>
    </row>
    <row r="46" spans="2:10" ht="16.899999999999999" customHeight="1" x14ac:dyDescent="0.25">
      <c r="B46" s="506" t="str">
        <f>IF('1. Dashboard'!G11="School", "", "I have attached the Capital Project Worksheet for additional forgone (if applicable).")</f>
        <v>I have attached the Capital Project Worksheet for additional forgone (if applicable).</v>
      </c>
      <c r="C46" s="507"/>
      <c r="D46" s="507"/>
      <c r="E46" s="507"/>
      <c r="F46" s="522" t="str">
        <f>IF('1. Dashboard'!G11="School", "", "Initials:")</f>
        <v>Initials:</v>
      </c>
      <c r="G46" s="522"/>
      <c r="H46" s="175"/>
    </row>
    <row r="47" spans="2:10" ht="16.899999999999999" customHeight="1" thickBot="1" x14ac:dyDescent="0.3">
      <c r="B47" s="526" t="str">
        <f>IF('1. Dashboard'!G11="Hospital", "HOSPITALS ONLY: If a public hearing was held pursuant to I.C. §39-1333","")</f>
        <v/>
      </c>
      <c r="C47" s="527"/>
      <c r="D47" s="527"/>
      <c r="E47" s="527"/>
      <c r="F47" s="509" t="str">
        <f>IF('1. Dashboard'!G11="Hospital", "Initials:","")</f>
        <v/>
      </c>
      <c r="G47" s="509"/>
      <c r="H47" s="70"/>
    </row>
    <row r="48" spans="2:10" ht="16.899999999999999" customHeight="1" x14ac:dyDescent="0.25">
      <c r="B48" s="458" t="s">
        <v>85</v>
      </c>
      <c r="C48" s="459"/>
      <c r="D48" s="459"/>
      <c r="E48" s="459"/>
      <c r="F48" s="459"/>
      <c r="G48" s="459"/>
      <c r="H48" s="502"/>
    </row>
    <row r="49" spans="2:8" ht="16.899999999999999" customHeight="1" x14ac:dyDescent="0.25">
      <c r="B49" s="461"/>
      <c r="C49" s="462"/>
      <c r="D49" s="462"/>
      <c r="E49" s="462"/>
      <c r="F49" s="462"/>
      <c r="G49" s="462"/>
      <c r="H49" s="503"/>
    </row>
    <row r="50" spans="2:8" ht="16.899999999999999" customHeight="1" x14ac:dyDescent="0.25">
      <c r="B50" s="557"/>
      <c r="C50" s="553"/>
      <c r="D50" s="552"/>
      <c r="E50" s="553"/>
      <c r="F50" s="552"/>
      <c r="G50" s="553"/>
      <c r="H50" s="548"/>
    </row>
    <row r="51" spans="2:8" ht="16.899999999999999" customHeight="1" x14ac:dyDescent="0.25">
      <c r="B51" s="558"/>
      <c r="C51" s="555"/>
      <c r="D51" s="554"/>
      <c r="E51" s="555"/>
      <c r="F51" s="554"/>
      <c r="G51" s="555"/>
      <c r="H51" s="549"/>
    </row>
    <row r="52" spans="2:8" ht="16.899999999999999" customHeight="1" x14ac:dyDescent="0.25">
      <c r="B52" s="556" t="s">
        <v>1319</v>
      </c>
      <c r="C52" s="551"/>
      <c r="D52" s="550" t="s">
        <v>76</v>
      </c>
      <c r="E52" s="551"/>
      <c r="F52" s="550" t="s">
        <v>75</v>
      </c>
      <c r="G52" s="551"/>
      <c r="H52" s="258" t="s">
        <v>74</v>
      </c>
    </row>
    <row r="53" spans="2:8" ht="16.899999999999999" customHeight="1" x14ac:dyDescent="0.25">
      <c r="B53" s="565"/>
      <c r="C53" s="566"/>
      <c r="D53" s="566"/>
      <c r="E53" s="567"/>
      <c r="F53" s="537"/>
      <c r="G53" s="538"/>
      <c r="H53" s="539"/>
    </row>
    <row r="54" spans="2:8" ht="16.899999999999999" customHeight="1" x14ac:dyDescent="0.25">
      <c r="B54" s="562"/>
      <c r="C54" s="563"/>
      <c r="D54" s="563"/>
      <c r="E54" s="564"/>
      <c r="F54" s="540"/>
      <c r="G54" s="541"/>
      <c r="H54" s="542"/>
    </row>
    <row r="55" spans="2:8" ht="16.899999999999999" customHeight="1" x14ac:dyDescent="0.25">
      <c r="B55" s="559"/>
      <c r="C55" s="560"/>
      <c r="D55" s="560"/>
      <c r="E55" s="561"/>
      <c r="F55" s="543"/>
      <c r="G55" s="544"/>
      <c r="H55" s="545"/>
    </row>
    <row r="56" spans="2:8" ht="16.899999999999999" customHeight="1" x14ac:dyDescent="0.25">
      <c r="B56" s="523" t="s">
        <v>81</v>
      </c>
      <c r="C56" s="524"/>
      <c r="D56" s="524"/>
      <c r="E56" s="525"/>
      <c r="F56" s="546" t="s">
        <v>82</v>
      </c>
      <c r="G56" s="524"/>
      <c r="H56" s="547"/>
    </row>
    <row r="57" spans="2:8" ht="16.899999999999999" customHeight="1" x14ac:dyDescent="0.25">
      <c r="B57" s="576"/>
      <c r="C57" s="535"/>
      <c r="D57" s="535"/>
      <c r="E57" s="577"/>
      <c r="F57" s="534"/>
      <c r="G57" s="535"/>
      <c r="H57" s="536"/>
    </row>
    <row r="58" spans="2:8" ht="16.899999999999999" customHeight="1" thickBot="1" x14ac:dyDescent="0.3">
      <c r="B58" s="531" t="s">
        <v>83</v>
      </c>
      <c r="C58" s="532"/>
      <c r="D58" s="532"/>
      <c r="E58" s="533"/>
      <c r="F58" s="528" t="s">
        <v>84</v>
      </c>
      <c r="G58" s="529"/>
      <c r="H58" s="530"/>
    </row>
    <row r="59" spans="2:8" ht="16.899999999999999" customHeight="1" x14ac:dyDescent="0.25">
      <c r="B59" s="13" t="s">
        <v>128</v>
      </c>
      <c r="H59" s="18"/>
    </row>
    <row r="60" spans="2:8" ht="16.899999999999999" customHeight="1" x14ac:dyDescent="0.25">
      <c r="B60" s="13" t="str">
        <f>IF(OR('1. Dashboard'!G11="Highway",'1. Dashboard'!G11="County Road &amp; Bridge",'1. Dashboard'!G11="County w/ Countywide Road &amp; Bridge"), "^A proportionate share of the property tax portion of this fund is shared with each city within your district.", "")</f>
        <v/>
      </c>
    </row>
    <row r="61" spans="2:8" ht="16.899999999999999" customHeight="1" x14ac:dyDescent="0.25">
      <c r="B61" s="13" t="str">
        <f>IF(OR('1. Dashboard'!G11="Highway",'1. Dashboard'!G11="County Road &amp; Bridge",'1. Dashboard'!G11="County w/ Countywide Road &amp; Bridge"), "^^This fund is not shared with the cities within your district.", "")</f>
        <v/>
      </c>
    </row>
    <row r="69" spans="2:8" ht="16.899999999999999" customHeight="1" x14ac:dyDescent="0.25">
      <c r="B69" s="16"/>
      <c r="C69" s="16"/>
      <c r="D69" s="15"/>
      <c r="E69" s="15"/>
      <c r="F69" s="15"/>
      <c r="G69" s="15"/>
      <c r="H69" s="15"/>
    </row>
    <row r="70" spans="2:8" ht="16.899999999999999" customHeight="1" x14ac:dyDescent="0.25">
      <c r="B70" s="17"/>
      <c r="C70" s="17"/>
    </row>
  </sheetData>
  <sheetProtection sheet="1" selectLockedCells="1"/>
  <mergeCells count="63">
    <mergeCell ref="B8:C8"/>
    <mergeCell ref="B15:C15"/>
    <mergeCell ref="B14:C14"/>
    <mergeCell ref="B13:C13"/>
    <mergeCell ref="B12:C12"/>
    <mergeCell ref="B11:C11"/>
    <mergeCell ref="B57:E57"/>
    <mergeCell ref="B19:C19"/>
    <mergeCell ref="B40:C40"/>
    <mergeCell ref="B32:C32"/>
    <mergeCell ref="B33:C33"/>
    <mergeCell ref="B34:C34"/>
    <mergeCell ref="B39:C39"/>
    <mergeCell ref="B30:H30"/>
    <mergeCell ref="B35:C35"/>
    <mergeCell ref="B36:C36"/>
    <mergeCell ref="B37:C37"/>
    <mergeCell ref="B21:C21"/>
    <mergeCell ref="B38:C38"/>
    <mergeCell ref="B41:E41"/>
    <mergeCell ref="B20:C20"/>
    <mergeCell ref="B22:C22"/>
    <mergeCell ref="B53:E53"/>
    <mergeCell ref="B18:C18"/>
    <mergeCell ref="B17:C17"/>
    <mergeCell ref="B16:C16"/>
    <mergeCell ref="B23:C23"/>
    <mergeCell ref="B27:C27"/>
    <mergeCell ref="C29:G29"/>
    <mergeCell ref="B31:H31"/>
    <mergeCell ref="B28:C28"/>
    <mergeCell ref="B56:E56"/>
    <mergeCell ref="B47:E47"/>
    <mergeCell ref="F58:H58"/>
    <mergeCell ref="B58:E58"/>
    <mergeCell ref="F57:H57"/>
    <mergeCell ref="F53:H55"/>
    <mergeCell ref="F56:H56"/>
    <mergeCell ref="H50:H51"/>
    <mergeCell ref="F52:G52"/>
    <mergeCell ref="F50:G51"/>
    <mergeCell ref="D50:E51"/>
    <mergeCell ref="B52:C52"/>
    <mergeCell ref="B50:C51"/>
    <mergeCell ref="D52:E52"/>
    <mergeCell ref="B55:E55"/>
    <mergeCell ref="B54:E54"/>
    <mergeCell ref="B2:H2"/>
    <mergeCell ref="B3:H3"/>
    <mergeCell ref="B48:H49"/>
    <mergeCell ref="G5:G7"/>
    <mergeCell ref="F5:F7"/>
    <mergeCell ref="E5:E7"/>
    <mergeCell ref="D5:D7"/>
    <mergeCell ref="B45:H45"/>
    <mergeCell ref="F47:G47"/>
    <mergeCell ref="H5:H7"/>
    <mergeCell ref="B5:C7"/>
    <mergeCell ref="D4:H4"/>
    <mergeCell ref="B10:C10"/>
    <mergeCell ref="B46:E46"/>
    <mergeCell ref="F46:G46"/>
    <mergeCell ref="B9:C9"/>
  </mergeCells>
  <conditionalFormatting sqref="G40">
    <cfRule type="cellIs" dxfId="20" priority="9" operator="notEqual">
      <formula>$G$41</formula>
    </cfRule>
  </conditionalFormatting>
  <conditionalFormatting sqref="H9:H28 H32:H38">
    <cfRule type="cellIs" dxfId="17" priority="12" operator="lessThan">
      <formula>0</formula>
    </cfRule>
  </conditionalFormatting>
  <conditionalFormatting sqref="H27">
    <cfRule type="cellIs" dxfId="14" priority="13" operator="notEqual">
      <formula>0</formula>
    </cfRule>
  </conditionalFormatting>
  <conditionalFormatting sqref="H43">
    <cfRule type="expression" dxfId="12" priority="40">
      <formula>AND($H$43-$H$42&gt;=1, $H$43&lt;&gt;0)</formula>
    </cfRule>
  </conditionalFormatting>
  <dataValidations disablePrompts="1" count="1">
    <dataValidation type="whole" operator="lessThanOrEqual" allowBlank="1" showInputMessage="1" showErrorMessage="1" errorTitle="Forgone Error" error="You can't reserve more forgone than the amount calculated as the maximum in the white box above labeled &quot;Max Reserved Forgone.&quot;" sqref="H43" xr:uid="{B70A2343-7E65-4BD2-BDE8-96AFCC9A0BCC}">
      <formula1>H42</formula1>
    </dataValidation>
  </dataValidations>
  <printOptions horizontalCentered="1"/>
  <pageMargins left="0.25" right="0.25" top="0.25" bottom="0.25" header="0.5" footer="0.1"/>
  <pageSetup scale="71"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7" id="{6B1520E4-4EA2-47FD-93E9-B248B6DBB667}">
            <xm:f>AND('1. Dashboard'!$G$11="School",OR($F$40-$F$41&gt;=1,$F$40-$F$41&lt;=-1))</xm:f>
            <x14:dxf>
              <font>
                <color rgb="FF9C0006"/>
              </font>
              <fill>
                <patternFill>
                  <bgColor rgb="FFFFC7CE"/>
                </patternFill>
              </fill>
            </x14:dxf>
          </x14:cfRule>
          <xm:sqref>F40:F41</xm:sqref>
        </x14:conditionalFormatting>
        <x14:conditionalFormatting xmlns:xm="http://schemas.microsoft.com/office/excel/2006/main">
          <x14:cfRule type="expression" priority="42" id="{849C13D6-ED62-0F46-9F63-99A8A21E9787}">
            <xm:f>$G$28&gt;SUM('2. L-2 Worksheet'!$F$50,'2. L-2 Worksheet'!$F$53)</xm:f>
            <x14:dxf>
              <font>
                <color rgb="FF9C0006"/>
              </font>
              <fill>
                <patternFill>
                  <bgColor rgb="FFFFC7CE"/>
                </patternFill>
              </fill>
            </x14:dxf>
          </x14:cfRule>
          <xm:sqref>G9:G27 G32:G38</xm:sqref>
        </x14:conditionalFormatting>
        <x14:conditionalFormatting xmlns:xm="http://schemas.microsoft.com/office/excel/2006/main">
          <x14:cfRule type="expression" priority="1" id="{36867C0F-21D5-4196-874C-1F4ADC5B2E82}">
            <xm:f>'2. L-2 Worksheet'!$F$42&gt;'2. L-2 Worksheet'!$F$50</xm:f>
            <x14:dxf>
              <font>
                <color auto="1"/>
              </font>
              <fill>
                <patternFill>
                  <bgColor theme="0"/>
                </patternFill>
              </fill>
            </x14:dxf>
          </x14:cfRule>
          <x14:cfRule type="expression" priority="2" id="{E6FD5BDE-EA04-4DFB-A820-0CA4F526F8C6}">
            <xm:f>AND('1. Dashboard'!$G$11="School",'2. L-2 Worksheet'!$F$64&gt;0,$G$39&lt;'2. L-2 Worksheet'!$F$64,$G$39&gt;0)</xm:f>
            <x14:dxf>
              <font>
                <color rgb="FF9C0006"/>
              </font>
              <fill>
                <patternFill>
                  <bgColor rgb="FFFFC7CE"/>
                </patternFill>
              </fill>
            </x14:dxf>
          </x14:cfRule>
          <xm:sqref>G39</xm:sqref>
        </x14:conditionalFormatting>
        <x14:conditionalFormatting xmlns:xm="http://schemas.microsoft.com/office/excel/2006/main">
          <x14:cfRule type="expression" priority="17" id="{0ED5FD22-3D3A-0D42-9642-40EFFA594033}">
            <xm:f>$G$40&gt;SUM('2. L-2 Worksheet'!$F$50,'2. L-2 Worksheet'!$F$53)</xm:f>
            <x14:dxf>
              <font>
                <color rgb="FF9C0006"/>
              </font>
              <fill>
                <patternFill>
                  <bgColor rgb="FFFFC7CE"/>
                </patternFill>
              </fill>
            </x14:dxf>
          </x14:cfRule>
          <xm:sqref>G40:G41</xm:sqref>
        </x14:conditionalFormatting>
        <x14:conditionalFormatting xmlns:xm="http://schemas.microsoft.com/office/excel/2006/main">
          <x14:cfRule type="expression" priority="187" id="{A892DB62-DD1A-1148-B45F-CE964BE97987}">
            <xm:f>AND('1. Dashboard'!$F$16&lt;&gt;"YES",'1. Dashboard'!$G$13&lt;&gt;"")</xm:f>
            <x14:dxf>
              <font>
                <color auto="1"/>
              </font>
              <fill>
                <patternFill>
                  <bgColor theme="5" tint="0.79998168889431442"/>
                </patternFill>
              </fill>
            </x14:dxf>
          </x14:cfRule>
          <xm:sqref>G42</xm:sqref>
        </x14:conditionalFormatting>
        <x14:conditionalFormatting xmlns:xm="http://schemas.microsoft.com/office/excel/2006/main">
          <x14:cfRule type="expression" priority="243" id="{97F65BA3-AC26-C644-AA57-3F11D4603E1E}">
            <xm:f>IF('1. Dashboard'!$G$11&lt;&gt;"School",ROUND($H$28&gt;'2. L-2 Worksheet'!$F$67,0),ROUND($H$28&gt;'2. L-2 Worksheet'!$F$62,0))</xm:f>
            <x14:dxf>
              <font>
                <color rgb="FF9C0006"/>
              </font>
              <fill>
                <patternFill>
                  <bgColor rgb="FFFFC7CE"/>
                </patternFill>
              </fill>
            </x14:dxf>
          </x14:cfRule>
          <xm:sqref>H9:H28 H40:H41</xm:sqref>
        </x14:conditionalFormatting>
        <x14:conditionalFormatting xmlns:xm="http://schemas.microsoft.com/office/excel/2006/main">
          <x14:cfRule type="expression" priority="10" id="{98BA8081-5E92-46C6-9113-B847B29CE65C}">
            <xm:f>AND('1. Dashboard'!$G$11="School",$H$26&gt;SUM('2. L-2 Worksheet'!$F$62:$F$63))</xm:f>
            <x14:dxf>
              <font>
                <color rgb="FF9C0006"/>
              </font>
              <fill>
                <patternFill>
                  <bgColor rgb="FFFFC7CE"/>
                </patternFill>
              </fill>
            </x14:dxf>
          </x14:cfRule>
          <xm:sqref>H26</xm:sqref>
        </x14:conditionalFormatting>
        <x14:conditionalFormatting xmlns:xm="http://schemas.microsoft.com/office/excel/2006/main">
          <x14:cfRule type="expression" priority="33" id="{60455C5D-0437-A944-A3AE-11AE836D4094}">
            <xm:f>'1. Dashboard'!$G$11="School"</xm:f>
            <x14:dxf>
              <font>
                <color auto="1"/>
              </font>
              <fill>
                <patternFill>
                  <bgColor theme="5" tint="0.79998168889431442"/>
                </patternFill>
              </fill>
              <border>
                <left/>
                <bottom/>
              </border>
            </x14:dxf>
          </x14:cfRule>
          <xm:sqref>H42</xm:sqref>
        </x14:conditionalFormatting>
        <x14:conditionalFormatting xmlns:xm="http://schemas.microsoft.com/office/excel/2006/main">
          <x14:cfRule type="expression" priority="37" id="{06DBC3EA-FD15-374C-BB78-173B3F097F40}">
            <xm:f>'1. Dashboard'!$G$11="School"</xm:f>
            <x14:dxf>
              <font>
                <color auto="1"/>
              </font>
              <fill>
                <patternFill>
                  <bgColor theme="5" tint="0.79998168889431442"/>
                </patternFill>
              </fill>
              <border>
                <left/>
                <top/>
                <bottom/>
              </border>
            </x14:dxf>
          </x14:cfRule>
          <xm:sqref>H43:H44 H46</xm:sqref>
        </x14:conditionalFormatting>
        <x14:conditionalFormatting xmlns:xm="http://schemas.microsoft.com/office/excel/2006/main">
          <x14:cfRule type="expression" priority="36" id="{55ADCEC4-39B3-244F-A260-9E1D01D09E82}">
            <xm:f>'1. Dashboard'!$G$11="School"</xm:f>
            <x14:dxf>
              <font>
                <color auto="1"/>
              </font>
              <fill>
                <patternFill>
                  <bgColor theme="5" tint="0.79998168889431442"/>
                </patternFill>
              </fill>
              <border>
                <left/>
                <top/>
              </border>
            </x14:dxf>
          </x14:cfRule>
          <x14:cfRule type="expression" priority="39" id="{5ED82AE8-EE23-2A4B-A5CA-3F06CAC72F09}">
            <xm:f>'1. Dashboard'!$G$11="Hospital"</xm:f>
            <x14:dxf>
              <font>
                <color auto="1"/>
              </font>
              <fill>
                <patternFill>
                  <bgColor theme="9" tint="0.79998168889431442"/>
                </patternFill>
              </fill>
              <border>
                <left style="thin">
                  <color auto="1"/>
                </left>
              </border>
            </x14:dxf>
          </x14:cfRule>
          <xm:sqref>H47</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ABB97-3647-8644-AFC3-E3B6532F626C}">
  <sheetPr codeName="Sheet10">
    <pageSetUpPr fitToPage="1"/>
  </sheetPr>
  <dimension ref="A1:N51"/>
  <sheetViews>
    <sheetView showGridLines="0" showZeros="0" zoomScale="90" zoomScaleNormal="90" workbookViewId="0"/>
  </sheetViews>
  <sheetFormatPr defaultColWidth="8.75" defaultRowHeight="16.899999999999999" customHeight="1" x14ac:dyDescent="0.25"/>
  <cols>
    <col min="1" max="1" width="2.75" style="13" customWidth="1"/>
    <col min="2" max="2" width="21.75" style="13" customWidth="1"/>
    <col min="3" max="3" width="21.25" style="13" customWidth="1"/>
    <col min="4" max="5" width="16.75" style="13" customWidth="1"/>
    <col min="6" max="6" width="19.75" style="13" customWidth="1"/>
    <col min="7" max="7" width="18.75" style="13" customWidth="1"/>
    <col min="8" max="8" width="19.75" style="13" customWidth="1"/>
    <col min="9" max="9" width="20.625" style="13" customWidth="1"/>
    <col min="10" max="10" width="19.75" style="13" customWidth="1"/>
    <col min="11" max="11" width="8.75" style="13" customWidth="1"/>
    <col min="12" max="12" width="9" style="13" customWidth="1"/>
    <col min="13" max="16384" width="8.75" style="13"/>
  </cols>
  <sheetData>
    <row r="1" spans="1:9" ht="16.899999999999999" customHeight="1" thickBot="1" x14ac:dyDescent="0.3">
      <c r="A1" s="105"/>
    </row>
    <row r="2" spans="1:9" ht="16.899999999999999" customHeight="1" x14ac:dyDescent="0.25">
      <c r="B2" s="620" t="s">
        <v>122</v>
      </c>
      <c r="C2" s="621"/>
      <c r="D2" s="621"/>
      <c r="E2" s="621"/>
      <c r="F2" s="621"/>
      <c r="G2" s="621"/>
      <c r="H2" s="621"/>
      <c r="I2" s="622"/>
    </row>
    <row r="3" spans="1:9" ht="16.899999999999999" customHeight="1" thickBot="1" x14ac:dyDescent="0.3">
      <c r="B3" s="623"/>
      <c r="C3" s="624"/>
      <c r="D3" s="624"/>
      <c r="E3" s="624"/>
      <c r="F3" s="624"/>
      <c r="G3" s="624"/>
      <c r="H3" s="624"/>
      <c r="I3" s="625"/>
    </row>
    <row r="4" spans="1:9" ht="16.899999999999999" customHeight="1" thickBot="1" x14ac:dyDescent="0.3">
      <c r="B4" s="109" t="s">
        <v>156</v>
      </c>
      <c r="C4" s="638" t="str">
        <f>IF('1. Dashboard'!G13&lt;&gt;0,'1. Dashboard'!G13,"")</f>
        <v/>
      </c>
      <c r="D4" s="638"/>
      <c r="E4" s="638"/>
      <c r="F4" s="638"/>
      <c r="G4" s="638"/>
      <c r="H4" s="638"/>
      <c r="I4" s="639"/>
    </row>
    <row r="5" spans="1:9" ht="16.899999999999999" customHeight="1" thickBot="1" x14ac:dyDescent="0.3">
      <c r="B5" s="59"/>
      <c r="C5" s="190" t="str">
        <f>IF('1. Dashboard'!$G$10="Local District", "This form for County Official use only.", "")</f>
        <v>This form for County Official use only.</v>
      </c>
      <c r="D5" s="58"/>
      <c r="E5" s="58"/>
      <c r="F5" s="58"/>
      <c r="G5" s="58"/>
      <c r="H5" s="58"/>
      <c r="I5" s="58"/>
    </row>
    <row r="6" spans="1:9" ht="16.899999999999999" customHeight="1" x14ac:dyDescent="0.25">
      <c r="B6" s="629" t="s">
        <v>121</v>
      </c>
      <c r="C6" s="630"/>
      <c r="D6" s="630"/>
      <c r="E6" s="630"/>
      <c r="F6" s="630"/>
      <c r="G6" s="630"/>
      <c r="H6" s="630"/>
      <c r="I6" s="631"/>
    </row>
    <row r="7" spans="1:9" ht="16.899999999999999" customHeight="1" x14ac:dyDescent="0.25">
      <c r="B7" s="632"/>
      <c r="C7" s="633"/>
      <c r="D7" s="633"/>
      <c r="E7" s="633"/>
      <c r="F7" s="633"/>
      <c r="G7" s="633"/>
      <c r="H7" s="633"/>
      <c r="I7" s="634"/>
    </row>
    <row r="8" spans="1:9" ht="16.899999999999999" customHeight="1" x14ac:dyDescent="0.25">
      <c r="B8" s="635"/>
      <c r="C8" s="636"/>
      <c r="D8" s="636"/>
      <c r="E8" s="636"/>
      <c r="F8" s="636"/>
      <c r="G8" s="636"/>
      <c r="H8" s="636"/>
      <c r="I8" s="637"/>
    </row>
    <row r="9" spans="1:9" ht="16.899999999999999" customHeight="1" x14ac:dyDescent="0.25">
      <c r="B9" s="652"/>
      <c r="C9" s="653"/>
      <c r="D9" s="656" t="s">
        <v>106</v>
      </c>
      <c r="E9" s="656"/>
      <c r="F9" s="656"/>
      <c r="G9" s="640" t="s">
        <v>109</v>
      </c>
      <c r="H9" s="641"/>
      <c r="I9" s="642"/>
    </row>
    <row r="10" spans="1:9" ht="16.899999999999999" customHeight="1" x14ac:dyDescent="0.25">
      <c r="B10" s="626" t="s">
        <v>110</v>
      </c>
      <c r="C10" s="40" t="s">
        <v>107</v>
      </c>
      <c r="D10" s="657" t="s">
        <v>108</v>
      </c>
      <c r="E10" s="658"/>
      <c r="F10" s="658"/>
      <c r="G10" s="643"/>
      <c r="H10" s="644"/>
      <c r="I10" s="645"/>
    </row>
    <row r="11" spans="1:9" ht="16.899999999999999" customHeight="1" x14ac:dyDescent="0.25">
      <c r="B11" s="627"/>
      <c r="C11" s="646" t="s">
        <v>123</v>
      </c>
      <c r="D11" s="646" t="s">
        <v>111</v>
      </c>
      <c r="E11" s="646" t="s">
        <v>1234</v>
      </c>
      <c r="F11" s="646" t="s">
        <v>112</v>
      </c>
      <c r="G11" s="646" t="s">
        <v>113</v>
      </c>
      <c r="H11" s="646" t="s">
        <v>1235</v>
      </c>
      <c r="I11" s="648" t="s">
        <v>114</v>
      </c>
    </row>
    <row r="12" spans="1:9" ht="36" customHeight="1" x14ac:dyDescent="0.25">
      <c r="B12" s="627"/>
      <c r="C12" s="647"/>
      <c r="D12" s="647"/>
      <c r="E12" s="647"/>
      <c r="F12" s="647"/>
      <c r="G12" s="647"/>
      <c r="H12" s="647"/>
      <c r="I12" s="649"/>
    </row>
    <row r="13" spans="1:9" ht="16.899999999999999" customHeight="1" x14ac:dyDescent="0.25">
      <c r="B13" s="96">
        <f>'1. Dashboard'!G15</f>
        <v>0</v>
      </c>
      <c r="C13" s="75"/>
      <c r="D13" s="75"/>
      <c r="E13" s="75"/>
      <c r="F13" s="76"/>
      <c r="G13" s="41">
        <f>C13+D13</f>
        <v>0</v>
      </c>
      <c r="H13" s="41">
        <f>C13+E13</f>
        <v>0</v>
      </c>
      <c r="I13" s="42">
        <f>C13+F13</f>
        <v>0</v>
      </c>
    </row>
    <row r="14" spans="1:9" ht="16.899999999999999" customHeight="1" x14ac:dyDescent="0.25">
      <c r="B14" s="96" t="str">
        <f>'1. Dashboard'!G16</f>
        <v xml:space="preserve"> </v>
      </c>
      <c r="C14" s="75"/>
      <c r="D14" s="75"/>
      <c r="E14" s="75"/>
      <c r="F14" s="76"/>
      <c r="G14" s="41">
        <f>C14+D14</f>
        <v>0</v>
      </c>
      <c r="H14" s="41">
        <f>C14+E14</f>
        <v>0</v>
      </c>
      <c r="I14" s="42">
        <f>C14+F14</f>
        <v>0</v>
      </c>
    </row>
    <row r="15" spans="1:9" ht="16.899999999999999" customHeight="1" x14ac:dyDescent="0.25">
      <c r="B15" s="96" t="str">
        <f>'1. Dashboard'!G17</f>
        <v xml:space="preserve"> </v>
      </c>
      <c r="C15" s="75"/>
      <c r="D15" s="75"/>
      <c r="E15" s="75"/>
      <c r="F15" s="76"/>
      <c r="G15" s="41">
        <f>C15+D15</f>
        <v>0</v>
      </c>
      <c r="H15" s="41">
        <f>C15+E15</f>
        <v>0</v>
      </c>
      <c r="I15" s="42">
        <f>C15+F15</f>
        <v>0</v>
      </c>
    </row>
    <row r="16" spans="1:9" ht="16.899999999999999" customHeight="1" thickBot="1" x14ac:dyDescent="0.3">
      <c r="B16" s="97" t="str">
        <f>'1. Dashboard'!G18</f>
        <v xml:space="preserve"> </v>
      </c>
      <c r="C16" s="77"/>
      <c r="D16" s="77"/>
      <c r="E16" s="77"/>
      <c r="F16" s="78"/>
      <c r="G16" s="50">
        <f>C16+D16</f>
        <v>0</v>
      </c>
      <c r="H16" s="50">
        <f>C16+E16</f>
        <v>0</v>
      </c>
      <c r="I16" s="51">
        <f>C16+F16</f>
        <v>0</v>
      </c>
    </row>
    <row r="17" spans="2:9" ht="16.899999999999999" customHeight="1" thickTop="1" x14ac:dyDescent="0.25">
      <c r="B17" s="45" t="s">
        <v>115</v>
      </c>
      <c r="C17" s="46">
        <f t="shared" ref="C17:I17" si="0">SUM(C13:C16)</f>
        <v>0</v>
      </c>
      <c r="D17" s="46">
        <f t="shared" si="0"/>
        <v>0</v>
      </c>
      <c r="E17" s="46">
        <f t="shared" si="0"/>
        <v>0</v>
      </c>
      <c r="F17" s="47">
        <f>SUM(F13:F16)</f>
        <v>0</v>
      </c>
      <c r="G17" s="48">
        <f t="shared" si="0"/>
        <v>0</v>
      </c>
      <c r="H17" s="48">
        <f t="shared" si="0"/>
        <v>0</v>
      </c>
      <c r="I17" s="49">
        <f t="shared" si="0"/>
        <v>0</v>
      </c>
    </row>
    <row r="18" spans="2:9" ht="16.899999999999999" customHeight="1" thickBot="1" x14ac:dyDescent="0.3">
      <c r="B18" s="650"/>
      <c r="C18" s="651"/>
      <c r="D18" s="651"/>
      <c r="E18" s="651"/>
      <c r="F18" s="60"/>
      <c r="G18" s="56">
        <v>1</v>
      </c>
      <c r="H18" s="56">
        <v>2</v>
      </c>
      <c r="I18" s="57">
        <v>3</v>
      </c>
    </row>
    <row r="19" spans="2:9" ht="16.899999999999999" customHeight="1" thickBot="1" x14ac:dyDescent="0.3">
      <c r="E19" s="17"/>
      <c r="I19" s="18"/>
    </row>
    <row r="20" spans="2:9" ht="16.899999999999999" customHeight="1" thickBot="1" x14ac:dyDescent="0.3">
      <c r="B20" s="600" t="s">
        <v>116</v>
      </c>
      <c r="C20" s="601"/>
      <c r="D20" s="601"/>
      <c r="E20" s="601"/>
      <c r="F20" s="601"/>
      <c r="G20" s="601"/>
      <c r="H20" s="601"/>
      <c r="I20" s="602"/>
    </row>
    <row r="21" spans="2:9" ht="16.899999999999999" customHeight="1" x14ac:dyDescent="0.25">
      <c r="B21" s="98" t="s">
        <v>79</v>
      </c>
      <c r="C21" s="127" t="s">
        <v>78</v>
      </c>
      <c r="D21" s="628" t="s">
        <v>124</v>
      </c>
      <c r="E21" s="628"/>
      <c r="F21" s="127" t="s">
        <v>117</v>
      </c>
      <c r="G21" s="127" t="s">
        <v>118</v>
      </c>
      <c r="H21" s="654" t="s">
        <v>119</v>
      </c>
      <c r="I21" s="655"/>
    </row>
    <row r="22" spans="2:9" ht="16.899999999999999" customHeight="1" x14ac:dyDescent="0.25">
      <c r="B22" s="140" t="str">
        <f>IF('3. L-2 Dollar Certification'!B9="","",'3. L-2 Dollar Certification'!B9)</f>
        <v/>
      </c>
      <c r="C22" s="92">
        <f>'3. L-2 Dollar Certification'!H9</f>
        <v>0</v>
      </c>
      <c r="D22" s="613"/>
      <c r="E22" s="613"/>
      <c r="F22" s="43">
        <f>IFERROR(IF(C22="","",IF(D22=0,(ROUND(C22/$C$17,9)),IF(D22=1,(ROUND(C22/$G$17,9)),IF(D22=2,(ROUND(C22/$H$17,9)),IF(D22=3,(ROUND(C22/$I$17,9))))))),0)</f>
        <v>0</v>
      </c>
      <c r="G22" s="79"/>
      <c r="H22" s="596" t="str">
        <f>IF(OR(F22="",G22=""),"", IF(F22&gt;G22,"Over Max",""))</f>
        <v/>
      </c>
      <c r="I22" s="597"/>
    </row>
    <row r="23" spans="2:9" ht="16.899999999999999" customHeight="1" x14ac:dyDescent="0.25">
      <c r="B23" s="140" t="str">
        <f>IF('3. L-2 Dollar Certification'!B10="","",'3. L-2 Dollar Certification'!B10)</f>
        <v/>
      </c>
      <c r="C23" s="92">
        <f>'3. L-2 Dollar Certification'!H10</f>
        <v>0</v>
      </c>
      <c r="D23" s="534"/>
      <c r="E23" s="577"/>
      <c r="F23" s="43">
        <f t="shared" ref="F23:F39" si="1">IFERROR(IF(C23="","",IF(D23=0,(ROUND(C23/$C$17,9)),IF(D23=1,(ROUND(C23/$G$17,9)),IF(D23=2,(ROUND(C23/$H$17,9)),IF(D23=3,(ROUND(C23/$I$17,9))))))),0)</f>
        <v>0</v>
      </c>
      <c r="G23" s="79"/>
      <c r="H23" s="596" t="str">
        <f t="shared" ref="H23:H28" si="2">IF(OR(F23="",G23=""),"", IF(F23&gt;G23,"Over Max",""))</f>
        <v/>
      </c>
      <c r="I23" s="597"/>
    </row>
    <row r="24" spans="2:9" ht="16.899999999999999" customHeight="1" x14ac:dyDescent="0.25">
      <c r="B24" s="140" t="str">
        <f>IF('3. L-2 Dollar Certification'!B11="","",'3. L-2 Dollar Certification'!B11)</f>
        <v/>
      </c>
      <c r="C24" s="92">
        <f>'3. L-2 Dollar Certification'!H11</f>
        <v>0</v>
      </c>
      <c r="D24" s="534"/>
      <c r="E24" s="577"/>
      <c r="F24" s="43">
        <f t="shared" si="1"/>
        <v>0</v>
      </c>
      <c r="G24" s="79"/>
      <c r="H24" s="596" t="str">
        <f t="shared" si="2"/>
        <v/>
      </c>
      <c r="I24" s="597"/>
    </row>
    <row r="25" spans="2:9" ht="16.899999999999999" customHeight="1" x14ac:dyDescent="0.25">
      <c r="B25" s="140" t="str">
        <f>IF('3. L-2 Dollar Certification'!B12="","",'3. L-2 Dollar Certification'!B12)</f>
        <v/>
      </c>
      <c r="C25" s="92">
        <f>'3. L-2 Dollar Certification'!H12</f>
        <v>0</v>
      </c>
      <c r="D25" s="534"/>
      <c r="E25" s="577"/>
      <c r="F25" s="43">
        <f t="shared" si="1"/>
        <v>0</v>
      </c>
      <c r="G25" s="79"/>
      <c r="H25" s="596" t="str">
        <f t="shared" si="2"/>
        <v/>
      </c>
      <c r="I25" s="597"/>
    </row>
    <row r="26" spans="2:9" ht="16.899999999999999" customHeight="1" x14ac:dyDescent="0.25">
      <c r="B26" s="140" t="str">
        <f>IF('3. L-2 Dollar Certification'!B13="","",'3. L-2 Dollar Certification'!B13)</f>
        <v/>
      </c>
      <c r="C26" s="92">
        <f>'3. L-2 Dollar Certification'!H13</f>
        <v>0</v>
      </c>
      <c r="D26" s="534"/>
      <c r="E26" s="577"/>
      <c r="F26" s="43">
        <f t="shared" si="1"/>
        <v>0</v>
      </c>
      <c r="G26" s="79"/>
      <c r="H26" s="596" t="str">
        <f t="shared" si="2"/>
        <v/>
      </c>
      <c r="I26" s="597"/>
    </row>
    <row r="27" spans="2:9" ht="16.899999999999999" customHeight="1" x14ac:dyDescent="0.25">
      <c r="B27" s="140" t="str">
        <f>IF('3. L-2 Dollar Certification'!B14="","",'3. L-2 Dollar Certification'!B14)</f>
        <v/>
      </c>
      <c r="C27" s="92">
        <f>'3. L-2 Dollar Certification'!H14</f>
        <v>0</v>
      </c>
      <c r="D27" s="534"/>
      <c r="E27" s="577"/>
      <c r="F27" s="43">
        <f t="shared" si="1"/>
        <v>0</v>
      </c>
      <c r="G27" s="79"/>
      <c r="H27" s="596" t="str">
        <f t="shared" si="2"/>
        <v/>
      </c>
      <c r="I27" s="597"/>
    </row>
    <row r="28" spans="2:9" ht="16.899999999999999" customHeight="1" x14ac:dyDescent="0.25">
      <c r="B28" s="140" t="str">
        <f>IF('3. L-2 Dollar Certification'!B15="","",'3. L-2 Dollar Certification'!B15)</f>
        <v/>
      </c>
      <c r="C28" s="93">
        <f>'3. L-2 Dollar Certification'!H15</f>
        <v>0</v>
      </c>
      <c r="D28" s="534"/>
      <c r="E28" s="577"/>
      <c r="F28" s="61">
        <f t="shared" si="1"/>
        <v>0</v>
      </c>
      <c r="G28" s="79"/>
      <c r="H28" s="596" t="str">
        <f t="shared" si="2"/>
        <v/>
      </c>
      <c r="I28" s="597"/>
    </row>
    <row r="29" spans="2:9" ht="16.899999999999999" customHeight="1" x14ac:dyDescent="0.25">
      <c r="B29" s="140" t="str">
        <f>IF('3. L-2 Dollar Certification'!B16="","",'3. L-2 Dollar Certification'!B16)</f>
        <v/>
      </c>
      <c r="C29" s="93">
        <f>'3. L-2 Dollar Certification'!H16</f>
        <v>0</v>
      </c>
      <c r="D29" s="534"/>
      <c r="E29" s="577"/>
      <c r="F29" s="61">
        <f t="shared" si="1"/>
        <v>0</v>
      </c>
      <c r="G29" s="79"/>
      <c r="H29" s="596" t="str">
        <f t="shared" ref="H29:H39" si="3">IF(OR(F29="",G29=""),"", IF(F29&gt;G29,"Over Max",""))</f>
        <v/>
      </c>
      <c r="I29" s="597"/>
    </row>
    <row r="30" spans="2:9" ht="16.899999999999999" customHeight="1" x14ac:dyDescent="0.25">
      <c r="B30" s="140" t="str">
        <f>IF('3. L-2 Dollar Certification'!B17="","",'3. L-2 Dollar Certification'!B17)</f>
        <v/>
      </c>
      <c r="C30" s="93">
        <f>'3. L-2 Dollar Certification'!H17</f>
        <v>0</v>
      </c>
      <c r="D30" s="534"/>
      <c r="E30" s="577"/>
      <c r="F30" s="61">
        <f t="shared" si="1"/>
        <v>0</v>
      </c>
      <c r="G30" s="79"/>
      <c r="H30" s="598"/>
      <c r="I30" s="599"/>
    </row>
    <row r="31" spans="2:9" ht="16.899999999999999" customHeight="1" x14ac:dyDescent="0.25">
      <c r="B31" s="140" t="str">
        <f>IF('3. L-2 Dollar Certification'!B18="","",'3. L-2 Dollar Certification'!B18)</f>
        <v/>
      </c>
      <c r="C31" s="93">
        <f>'3. L-2 Dollar Certification'!H18</f>
        <v>0</v>
      </c>
      <c r="D31" s="534"/>
      <c r="E31" s="577"/>
      <c r="F31" s="61">
        <f t="shared" si="1"/>
        <v>0</v>
      </c>
      <c r="G31" s="79"/>
      <c r="H31" s="596" t="str">
        <f t="shared" si="3"/>
        <v/>
      </c>
      <c r="I31" s="597"/>
    </row>
    <row r="32" spans="2:9" ht="16.899999999999999" customHeight="1" x14ac:dyDescent="0.25">
      <c r="B32" s="140" t="str">
        <f>IF('3. L-2 Dollar Certification'!B19="","",'3. L-2 Dollar Certification'!B19)</f>
        <v/>
      </c>
      <c r="C32" s="93">
        <f>'3. L-2 Dollar Certification'!H19</f>
        <v>0</v>
      </c>
      <c r="D32" s="534"/>
      <c r="E32" s="577"/>
      <c r="F32" s="61">
        <f t="shared" si="1"/>
        <v>0</v>
      </c>
      <c r="G32" s="79"/>
      <c r="H32" s="596" t="str">
        <f t="shared" si="3"/>
        <v/>
      </c>
      <c r="I32" s="597"/>
    </row>
    <row r="33" spans="2:14" ht="16.899999999999999" customHeight="1" x14ac:dyDescent="0.25">
      <c r="B33" s="140" t="str">
        <f>IF('3. L-2 Dollar Certification'!B20="","",'3. L-2 Dollar Certification'!B20)</f>
        <v/>
      </c>
      <c r="C33" s="93">
        <f>'3. L-2 Dollar Certification'!H20</f>
        <v>0</v>
      </c>
      <c r="D33" s="534"/>
      <c r="E33" s="577"/>
      <c r="F33" s="61">
        <f t="shared" si="1"/>
        <v>0</v>
      </c>
      <c r="G33" s="79"/>
      <c r="H33" s="596" t="str">
        <f t="shared" si="3"/>
        <v/>
      </c>
      <c r="I33" s="597"/>
    </row>
    <row r="34" spans="2:14" ht="16.899999999999999" customHeight="1" x14ac:dyDescent="0.25">
      <c r="B34" s="140" t="str">
        <f>IF('3. L-2 Dollar Certification'!B21="","",'3. L-2 Dollar Certification'!B21)</f>
        <v/>
      </c>
      <c r="C34" s="93">
        <f>'3. L-2 Dollar Certification'!H21</f>
        <v>0</v>
      </c>
      <c r="D34" s="534"/>
      <c r="E34" s="577"/>
      <c r="F34" s="61">
        <f t="shared" si="1"/>
        <v>0</v>
      </c>
      <c r="G34" s="79"/>
      <c r="H34" s="596" t="str">
        <f t="shared" si="3"/>
        <v/>
      </c>
      <c r="I34" s="597"/>
    </row>
    <row r="35" spans="2:14" ht="16.899999999999999" customHeight="1" x14ac:dyDescent="0.25">
      <c r="B35" s="140" t="str">
        <f>IF('3. L-2 Dollar Certification'!B22="","",'3. L-2 Dollar Certification'!B22)</f>
        <v/>
      </c>
      <c r="C35" s="93">
        <f>'3. L-2 Dollar Certification'!H22</f>
        <v>0</v>
      </c>
      <c r="D35" s="534"/>
      <c r="E35" s="577"/>
      <c r="F35" s="61">
        <f t="shared" si="1"/>
        <v>0</v>
      </c>
      <c r="G35" s="79"/>
      <c r="H35" s="596" t="str">
        <f t="shared" si="3"/>
        <v/>
      </c>
      <c r="I35" s="597"/>
    </row>
    <row r="36" spans="2:14" ht="16.899999999999999" customHeight="1" x14ac:dyDescent="0.25">
      <c r="B36" s="140" t="str">
        <f>IF('3. L-2 Dollar Certification'!B23="","",'3. L-2 Dollar Certification'!B23)</f>
        <v/>
      </c>
      <c r="C36" s="93">
        <f>'3. L-2 Dollar Certification'!H23</f>
        <v>0</v>
      </c>
      <c r="D36" s="534"/>
      <c r="E36" s="577"/>
      <c r="F36" s="61">
        <f t="shared" si="1"/>
        <v>0</v>
      </c>
      <c r="G36" s="79"/>
      <c r="H36" s="596" t="str">
        <f t="shared" si="3"/>
        <v/>
      </c>
      <c r="I36" s="597"/>
    </row>
    <row r="37" spans="2:14" ht="16.899999999999999" customHeight="1" x14ac:dyDescent="0.25">
      <c r="B37" s="140" t="str">
        <f>IF('3. L-2 Dollar Certification'!C24="","",'3. L-2 Dollar Certification'!C24)</f>
        <v/>
      </c>
      <c r="C37" s="93">
        <f>'3. L-2 Dollar Certification'!H24</f>
        <v>0</v>
      </c>
      <c r="D37" s="534"/>
      <c r="E37" s="577"/>
      <c r="F37" s="43">
        <f t="shared" si="1"/>
        <v>0</v>
      </c>
      <c r="G37" s="79"/>
      <c r="H37" s="596" t="str">
        <f t="shared" si="3"/>
        <v/>
      </c>
      <c r="I37" s="597"/>
    </row>
    <row r="38" spans="2:14" ht="16.899999999999999" customHeight="1" x14ac:dyDescent="0.25">
      <c r="B38" s="140" t="str">
        <f>IF('3. L-2 Dollar Certification'!C25="","",'3. L-2 Dollar Certification'!C25)</f>
        <v/>
      </c>
      <c r="C38" s="93">
        <f>'3. L-2 Dollar Certification'!H25</f>
        <v>0</v>
      </c>
      <c r="D38" s="663"/>
      <c r="E38" s="561"/>
      <c r="F38" s="61">
        <f t="shared" si="1"/>
        <v>0</v>
      </c>
      <c r="G38" s="80"/>
      <c r="H38" s="598" t="str">
        <f t="shared" si="3"/>
        <v/>
      </c>
      <c r="I38" s="599"/>
    </row>
    <row r="39" spans="2:14" ht="16.899999999999999" customHeight="1" x14ac:dyDescent="0.25">
      <c r="B39" s="140" t="str">
        <f>IF('3. L-2 Dollar Certification'!C26="","",'3. L-2 Dollar Certification'!C26)</f>
        <v/>
      </c>
      <c r="C39" s="92">
        <f>'3. L-2 Dollar Certification'!H26</f>
        <v>0</v>
      </c>
      <c r="D39" s="534"/>
      <c r="E39" s="577"/>
      <c r="F39" s="43">
        <f t="shared" si="1"/>
        <v>0</v>
      </c>
      <c r="G39" s="79"/>
      <c r="H39" s="596" t="str">
        <f t="shared" si="3"/>
        <v/>
      </c>
      <c r="I39" s="597"/>
    </row>
    <row r="40" spans="2:14" ht="16.899999999999999" customHeight="1" thickBot="1" x14ac:dyDescent="0.3">
      <c r="B40" s="125" t="s">
        <v>162</v>
      </c>
      <c r="C40" s="126">
        <f>SUM(C22:C39)</f>
        <v>0</v>
      </c>
      <c r="D40" s="605"/>
      <c r="E40" s="606"/>
      <c r="F40" s="143">
        <f>SUM(F22:F39)</f>
        <v>0</v>
      </c>
      <c r="G40" s="607"/>
      <c r="H40" s="608"/>
      <c r="I40" s="609"/>
    </row>
    <row r="41" spans="2:14" ht="16.899999999999999" customHeight="1" thickBot="1" x14ac:dyDescent="0.3">
      <c r="B41" s="600" t="s">
        <v>159</v>
      </c>
      <c r="C41" s="601"/>
      <c r="D41" s="601"/>
      <c r="E41" s="601"/>
      <c r="F41" s="601"/>
      <c r="G41" s="601"/>
      <c r="H41" s="601"/>
      <c r="I41" s="602"/>
      <c r="J41" s="591" t="str">
        <f>IF('1. Dashboard'!$G$11="School","What levy rates would have been w/out SDFF reductions:","")</f>
        <v/>
      </c>
      <c r="K41" s="592"/>
      <c r="L41" s="592"/>
      <c r="M41" s="592"/>
      <c r="N41" s="592"/>
    </row>
    <row r="42" spans="2:14" ht="16.899999999999999" customHeight="1" x14ac:dyDescent="0.25">
      <c r="B42" s="139">
        <f>'3. L-2 Dollar Certification'!B32</f>
        <v>0</v>
      </c>
      <c r="C42" s="137">
        <f>'3. L-2 Dollar Certification'!H32</f>
        <v>0</v>
      </c>
      <c r="D42" s="659"/>
      <c r="E42" s="660"/>
      <c r="F42" s="138">
        <f t="shared" ref="F42:F48" si="4">IFERROR(IF(C42="","",IF(D42=0,(ROUND(C42/$C$17,9)),IF(D42=1,(ROUND(C42/$G$17,9)),IF(D42=2,(ROUND(C42/$H$17,9)),IF(D42=3,(ROUND(C42/$I$17,9))))))),0)</f>
        <v>0</v>
      </c>
      <c r="G42" s="118"/>
      <c r="H42" s="661" t="str">
        <f t="shared" ref="H42:H44" si="5">IF(OR(F42="",G42=""),"", IF(F42&gt;G42,"Over Max",""))</f>
        <v/>
      </c>
      <c r="I42" s="662"/>
      <c r="J42" s="589" t="str">
        <f>IF('1. Dashboard'!$G$11="School",
          IFERROR(IF(C42="","",IF(D42=0,(ROUND((C42+'3. L-2 Dollar Certification'!F32)/$C$17,9)),IF(D42=1,(ROUND((C42+'3. L-2 Dollar Certification'!F32)/$G$17,9)),IF(D42=2,(ROUND((C42+'3. L-2 Dollar Certification'!F32)/$H$17,9)),IF(D42=3,(ROUND((C42+'3. L-2 Dollar Certification'!F32)/$I$17,9))))))),0),"")</f>
        <v/>
      </c>
      <c r="K42" s="590"/>
      <c r="L42" s="590"/>
      <c r="M42" s="590"/>
      <c r="N42" s="590"/>
    </row>
    <row r="43" spans="2:14" ht="16.899999999999999" customHeight="1" x14ac:dyDescent="0.25">
      <c r="B43" s="140">
        <f>'3. L-2 Dollar Certification'!B33</f>
        <v>0</v>
      </c>
      <c r="C43" s="111">
        <f>'3. L-2 Dollar Certification'!H33</f>
        <v>0</v>
      </c>
      <c r="D43" s="663"/>
      <c r="E43" s="561"/>
      <c r="F43" s="112">
        <f t="shared" si="4"/>
        <v>0</v>
      </c>
      <c r="G43" s="113"/>
      <c r="H43" s="598" t="str">
        <f t="shared" si="5"/>
        <v/>
      </c>
      <c r="I43" s="599"/>
      <c r="J43" s="589" t="str">
        <f>IF('1. Dashboard'!$G$11="School",
          IFERROR(IF(C43="","",IF(D43=0,(ROUND((C43+'3. L-2 Dollar Certification'!F33)/$C$17,9)),IF(D43=1,(ROUND((C43+'3. L-2 Dollar Certification'!F33)/$G$17,9)),IF(D43=2,(ROUND((C43+'3. L-2 Dollar Certification'!F33)/$H$17,9)),IF(D43=3,(ROUND((C43+'3. L-2 Dollar Certification'!F33)/$I$17,9))))))),0),"")</f>
        <v/>
      </c>
      <c r="K43" s="590"/>
      <c r="L43" s="590"/>
      <c r="M43" s="590"/>
      <c r="N43" s="590"/>
    </row>
    <row r="44" spans="2:14" ht="16.899999999999999" customHeight="1" x14ac:dyDescent="0.25">
      <c r="B44" s="141">
        <f>'3. L-2 Dollar Certification'!B34</f>
        <v>0</v>
      </c>
      <c r="C44" s="92">
        <f>'3. L-2 Dollar Certification'!H34</f>
        <v>0</v>
      </c>
      <c r="D44" s="613"/>
      <c r="E44" s="613"/>
      <c r="F44" s="43">
        <f t="shared" si="4"/>
        <v>0</v>
      </c>
      <c r="G44" s="79"/>
      <c r="H44" s="618" t="str">
        <f t="shared" si="5"/>
        <v/>
      </c>
      <c r="I44" s="619"/>
      <c r="J44" s="589" t="str">
        <f>IF('1. Dashboard'!$G$11="School",
          IFERROR(IF(C44="","",IF(D44=0,(ROUND((C44+'3. L-2 Dollar Certification'!F34)/$C$17,9)),IF(D44=1,(ROUND((C44+'3. L-2 Dollar Certification'!F34)/$G$17,9)),IF(D44=2,(ROUND((C44+'3. L-2 Dollar Certification'!F34)/$H$17,9)),IF(D44=3,(ROUND((C44+'3. L-2 Dollar Certification'!F34)/$I$17,9))))))),0),"")</f>
        <v/>
      </c>
      <c r="K44" s="590"/>
      <c r="L44" s="590"/>
      <c r="M44" s="590"/>
      <c r="N44" s="590"/>
    </row>
    <row r="45" spans="2:14" ht="16.899999999999999" customHeight="1" x14ac:dyDescent="0.25">
      <c r="B45" s="141">
        <f>'3. L-2 Dollar Certification'!B35</f>
        <v>0</v>
      </c>
      <c r="C45" s="92">
        <f>'3. L-2 Dollar Certification'!H35</f>
        <v>0</v>
      </c>
      <c r="D45" s="613"/>
      <c r="E45" s="613"/>
      <c r="F45" s="43">
        <f t="shared" si="4"/>
        <v>0</v>
      </c>
      <c r="G45" s="79"/>
      <c r="H45" s="618" t="str">
        <f t="shared" ref="H45:H48" si="6">IF(OR(F45="",G45=""),"", IF(F45&gt;G45,"Over Max",""))</f>
        <v/>
      </c>
      <c r="I45" s="619"/>
      <c r="J45" s="589" t="str">
        <f>IF('1. Dashboard'!$G$11="School",
          IFERROR(IF(C45="","",IF(D45=0,(ROUND((C45+'3. L-2 Dollar Certification'!F35)/$C$17,9)),IF(D45=1,(ROUND((C45+'3. L-2 Dollar Certification'!F35)/$G$17,9)),IF(D45=2,(ROUND((C45+'3. L-2 Dollar Certification'!F35)/$H$17,9)),IF(D45=3,(ROUND((C45+'3. L-2 Dollar Certification'!F35)/$I$17,9))))))),0),"")</f>
        <v/>
      </c>
      <c r="K45" s="590"/>
      <c r="L45" s="590"/>
      <c r="M45" s="590"/>
      <c r="N45" s="590"/>
    </row>
    <row r="46" spans="2:14" ht="16.899999999999999" customHeight="1" x14ac:dyDescent="0.25">
      <c r="B46" s="141">
        <f>'3. L-2 Dollar Certification'!B36</f>
        <v>0</v>
      </c>
      <c r="C46" s="92">
        <f>'3. L-2 Dollar Certification'!H36</f>
        <v>0</v>
      </c>
      <c r="D46" s="613"/>
      <c r="E46" s="613"/>
      <c r="F46" s="43">
        <f t="shared" si="4"/>
        <v>0</v>
      </c>
      <c r="G46" s="79"/>
      <c r="H46" s="618" t="str">
        <f t="shared" si="6"/>
        <v/>
      </c>
      <c r="I46" s="619"/>
      <c r="J46" s="589" t="str">
        <f>IF('1. Dashboard'!$G$11="School",
          IFERROR(IF(C46="","",IF(D46=0,(ROUND((C46+'3. L-2 Dollar Certification'!F36)/$C$17,9)),IF(D46=1,(ROUND((C46+'3. L-2 Dollar Certification'!F36)/$G$17,9)),IF(D46=2,(ROUND((C46+'3. L-2 Dollar Certification'!F36)/$H$17,9)),IF(D46=3,(ROUND((C46+'3. L-2 Dollar Certification'!F36)/$I$17,9))))))),0),"")</f>
        <v/>
      </c>
      <c r="K46" s="590"/>
      <c r="L46" s="590"/>
      <c r="M46" s="590"/>
      <c r="N46" s="590"/>
    </row>
    <row r="47" spans="2:14" ht="16.899999999999999" customHeight="1" x14ac:dyDescent="0.25">
      <c r="B47" s="141">
        <f>'3. L-2 Dollar Certification'!B37</f>
        <v>0</v>
      </c>
      <c r="C47" s="92">
        <f>'3. L-2 Dollar Certification'!H37</f>
        <v>0</v>
      </c>
      <c r="D47" s="613"/>
      <c r="E47" s="613"/>
      <c r="F47" s="43">
        <f t="shared" si="4"/>
        <v>0</v>
      </c>
      <c r="G47" s="79"/>
      <c r="H47" s="618" t="str">
        <f t="shared" si="6"/>
        <v/>
      </c>
      <c r="I47" s="619"/>
      <c r="J47" s="589" t="str">
        <f>IF('1. Dashboard'!$G$11="School",
          IFERROR(IF(C47="","",IF(D47=0,(ROUND((C47+'3. L-2 Dollar Certification'!F37)/$C$17,9)),IF(D47=1,(ROUND((C47+'3. L-2 Dollar Certification'!F37)/$G$17,9)),IF(D47=2,(ROUND((C47+'3. L-2 Dollar Certification'!F37)/$H$17,9)),IF(D47=3,(ROUND((C47+'3. L-2 Dollar Certification'!F37)/$I$17,9))))))),0),"")</f>
        <v/>
      </c>
      <c r="K47" s="590"/>
      <c r="L47" s="590"/>
      <c r="M47" s="590"/>
      <c r="N47" s="590"/>
    </row>
    <row r="48" spans="2:14" ht="16.899999999999999" customHeight="1" thickBot="1" x14ac:dyDescent="0.3">
      <c r="B48" s="142">
        <f>'3. L-2 Dollar Certification'!B38</f>
        <v>0</v>
      </c>
      <c r="C48" s="134">
        <f>'3. L-2 Dollar Certification'!H38</f>
        <v>0</v>
      </c>
      <c r="D48" s="614"/>
      <c r="E48" s="615"/>
      <c r="F48" s="135">
        <f t="shared" si="4"/>
        <v>0</v>
      </c>
      <c r="G48" s="136"/>
      <c r="H48" s="616" t="str">
        <f t="shared" si="6"/>
        <v/>
      </c>
      <c r="I48" s="617"/>
      <c r="J48" s="589" t="str">
        <f>IF('1. Dashboard'!$G$11="School",
          IFERROR(IF(C48="","",IF(D48=0,(ROUND((C48+'3. L-2 Dollar Certification'!F38)/$C$17,9)),IF(D48=1,(ROUND((C48+'3. L-2 Dollar Certification'!F38)/$G$17,9)),IF(D48=2,(ROUND((C48+'3. L-2 Dollar Certification'!F38)/$H$17,9)),IF(D48=3,(ROUND((C48+'3. L-2 Dollar Certification'!F38)/$I$17,9))))))),0),"")</f>
        <v/>
      </c>
      <c r="K48" s="590"/>
      <c r="L48" s="590"/>
      <c r="M48" s="590"/>
      <c r="N48" s="590"/>
    </row>
    <row r="49" spans="2:14" ht="16.899999999999999" customHeight="1" thickTop="1" thickBot="1" x14ac:dyDescent="0.3">
      <c r="B49" s="125" t="s">
        <v>162</v>
      </c>
      <c r="C49" s="126">
        <f>SUM(C42:C48)</f>
        <v>0</v>
      </c>
      <c r="D49" s="605"/>
      <c r="E49" s="606"/>
      <c r="F49" s="143">
        <f>SUM(F42:F48)</f>
        <v>0</v>
      </c>
      <c r="G49" s="610"/>
      <c r="H49" s="611"/>
      <c r="I49" s="612"/>
      <c r="J49" s="589" t="str">
        <f>IF('1. Dashboard'!$G$11="School",
         IF(C49="","",SUM(J42:J48)),"")</f>
        <v/>
      </c>
      <c r="K49" s="590"/>
      <c r="L49" s="590"/>
      <c r="M49" s="590"/>
      <c r="N49" s="590"/>
    </row>
    <row r="50" spans="2:14" ht="16.899999999999999" customHeight="1" thickBot="1" x14ac:dyDescent="0.3">
      <c r="B50" s="121" t="s">
        <v>160</v>
      </c>
      <c r="C50" s="44">
        <f>C40+C49</f>
        <v>0</v>
      </c>
      <c r="D50" s="603"/>
      <c r="E50" s="604"/>
      <c r="F50" s="144">
        <f>F40+F49</f>
        <v>0</v>
      </c>
      <c r="G50" s="593"/>
      <c r="H50" s="594"/>
      <c r="I50" s="595"/>
      <c r="J50" s="589" t="str">
        <f>IF('1. Dashboard'!$G$11="School",
         IF(C50="","",SUM(J40,J49)),"")</f>
        <v/>
      </c>
      <c r="K50" s="590"/>
      <c r="L50" s="590"/>
      <c r="M50" s="590"/>
      <c r="N50" s="590"/>
    </row>
    <row r="51" spans="2:14" ht="16.899999999999999" customHeight="1" x14ac:dyDescent="0.25">
      <c r="B51" s="13" t="s">
        <v>1252</v>
      </c>
    </row>
  </sheetData>
  <sheetProtection sheet="1" selectLockedCells="1"/>
  <mergeCells count="86">
    <mergeCell ref="D47:E47"/>
    <mergeCell ref="H47:I47"/>
    <mergeCell ref="H36:I36"/>
    <mergeCell ref="D34:E34"/>
    <mergeCell ref="D30:E30"/>
    <mergeCell ref="H35:I35"/>
    <mergeCell ref="H45:I45"/>
    <mergeCell ref="H44:I44"/>
    <mergeCell ref="D44:E44"/>
    <mergeCell ref="D42:E42"/>
    <mergeCell ref="H42:I42"/>
    <mergeCell ref="D43:E43"/>
    <mergeCell ref="H43:I43"/>
    <mergeCell ref="D38:E38"/>
    <mergeCell ref="D39:E39"/>
    <mergeCell ref="D36:E36"/>
    <mergeCell ref="D35:E35"/>
    <mergeCell ref="D26:E26"/>
    <mergeCell ref="D25:E25"/>
    <mergeCell ref="D24:E24"/>
    <mergeCell ref="D33:E33"/>
    <mergeCell ref="D32:E32"/>
    <mergeCell ref="D31:E31"/>
    <mergeCell ref="D29:E29"/>
    <mergeCell ref="D27:E27"/>
    <mergeCell ref="B9:C9"/>
    <mergeCell ref="H26:I26"/>
    <mergeCell ref="H25:I25"/>
    <mergeCell ref="H24:I24"/>
    <mergeCell ref="H21:I21"/>
    <mergeCell ref="D9:F9"/>
    <mergeCell ref="D10:F10"/>
    <mergeCell ref="H29:I29"/>
    <mergeCell ref="H28:I28"/>
    <mergeCell ref="H27:I27"/>
    <mergeCell ref="E11:E12"/>
    <mergeCell ref="D11:D12"/>
    <mergeCell ref="D28:E28"/>
    <mergeCell ref="B18:E18"/>
    <mergeCell ref="B2:I3"/>
    <mergeCell ref="B10:B12"/>
    <mergeCell ref="D23:E23"/>
    <mergeCell ref="D22:E22"/>
    <mergeCell ref="D21:E21"/>
    <mergeCell ref="B6:I8"/>
    <mergeCell ref="C4:I4"/>
    <mergeCell ref="G9:I10"/>
    <mergeCell ref="C11:C12"/>
    <mergeCell ref="I11:I12"/>
    <mergeCell ref="B20:I20"/>
    <mergeCell ref="H11:H12"/>
    <mergeCell ref="G11:G12"/>
    <mergeCell ref="F11:F12"/>
    <mergeCell ref="H23:I23"/>
    <mergeCell ref="H22:I22"/>
    <mergeCell ref="H34:I34"/>
    <mergeCell ref="H33:I33"/>
    <mergeCell ref="H32:I32"/>
    <mergeCell ref="H31:I31"/>
    <mergeCell ref="H30:I30"/>
    <mergeCell ref="G50:I50"/>
    <mergeCell ref="H39:I39"/>
    <mergeCell ref="H38:I38"/>
    <mergeCell ref="H37:I37"/>
    <mergeCell ref="B41:I41"/>
    <mergeCell ref="D50:E50"/>
    <mergeCell ref="D40:E40"/>
    <mergeCell ref="G40:I40"/>
    <mergeCell ref="D49:E49"/>
    <mergeCell ref="G49:I49"/>
    <mergeCell ref="D45:E45"/>
    <mergeCell ref="D37:E37"/>
    <mergeCell ref="D48:E48"/>
    <mergeCell ref="H48:I48"/>
    <mergeCell ref="D46:E46"/>
    <mergeCell ref="H46:I46"/>
    <mergeCell ref="J41:N41"/>
    <mergeCell ref="J42:N42"/>
    <mergeCell ref="J43:N43"/>
    <mergeCell ref="J44:N44"/>
    <mergeCell ref="J45:N45"/>
    <mergeCell ref="J46:N46"/>
    <mergeCell ref="J47:N47"/>
    <mergeCell ref="J48:N48"/>
    <mergeCell ref="J49:N49"/>
    <mergeCell ref="J50:N50"/>
  </mergeCells>
  <dataValidations count="1">
    <dataValidation type="list" showInputMessage="1" showErrorMessage="1" sqref="E22:E28 D22:D39 D42:D48" xr:uid="{02094352-6601-274D-9745-D79141A757EE}">
      <formula1>$F$18:$I$18</formula1>
    </dataValidation>
  </dataValidations>
  <printOptions horizontalCentered="1"/>
  <pageMargins left="0" right="0.25" top="0.75" bottom="0.75" header="0.3" footer="0.3"/>
  <pageSetup scale="60"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4" id="{18D830D8-954E-4A09-8C76-86E33CA5D96B}">
            <xm:f>'1. Dashboard'!$G$10="Local District"</xm:f>
            <x14:dxf>
              <font>
                <color theme="0"/>
              </font>
              <fill>
                <patternFill>
                  <bgColor theme="0"/>
                </patternFill>
              </fill>
              <border>
                <left/>
                <right/>
                <top/>
                <bottom/>
                <vertical/>
                <horizontal/>
              </border>
            </x14:dxf>
          </x14:cfRule>
          <xm:sqref>A6:I8 A9:B9 D9:I9</xm:sqref>
        </x14:conditionalFormatting>
        <x14:conditionalFormatting xmlns:xm="http://schemas.microsoft.com/office/excel/2006/main">
          <x14:cfRule type="expression" priority="2" id="{27043D69-086C-4FD3-8FDC-8C6AC18D3A13}">
            <xm:f>'1. Dashboard'!$G$10="Local District"</xm:f>
            <x14:dxf>
              <font>
                <color theme="0"/>
              </font>
              <fill>
                <patternFill>
                  <bgColor theme="0"/>
                </patternFill>
              </fill>
              <border>
                <left/>
                <right/>
                <top/>
                <bottom/>
                <vertical/>
                <horizontal/>
              </border>
            </x14:dxf>
          </x14:cfRule>
          <xm:sqref>B2:I4 A10:J51</xm:sqref>
        </x14:conditionalFormatting>
        <x14:conditionalFormatting xmlns:xm="http://schemas.microsoft.com/office/excel/2006/main">
          <x14:cfRule type="expression" priority="5" id="{3188F5BF-F291-488B-8DD9-42D650D14EB3}">
            <xm:f>'1. Dashboard'!$G$11="School"</xm:f>
            <x14:dxf>
              <font>
                <b/>
                <i val="0"/>
              </font>
              <fill>
                <patternFill>
                  <bgColor rgb="FFFFFF99"/>
                </patternFill>
              </fill>
              <border>
                <left/>
                <right/>
                <top/>
                <bottom/>
              </border>
            </x14:dxf>
          </x14:cfRule>
          <xm:sqref>J41:N41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7BC00-4536-5F47-8EAF-EA2B9D65D578}">
  <sheetPr codeName="Sheet11">
    <pageSetUpPr fitToPage="1"/>
  </sheetPr>
  <dimension ref="A1:I45"/>
  <sheetViews>
    <sheetView showGridLines="0" zoomScale="90" zoomScaleNormal="90" workbookViewId="0">
      <selection activeCell="F10" sqref="F10"/>
    </sheetView>
  </sheetViews>
  <sheetFormatPr defaultColWidth="8.75" defaultRowHeight="16.899999999999999" customHeight="1" x14ac:dyDescent="0.25"/>
  <cols>
    <col min="1" max="1" width="2.75" style="13" customWidth="1"/>
    <col min="2" max="2" width="19.75" style="13" customWidth="1"/>
    <col min="3" max="4" width="14.75" style="13" customWidth="1"/>
    <col min="5" max="5" width="15.5" style="13" customWidth="1"/>
    <col min="6" max="6" width="19" style="13" customWidth="1"/>
    <col min="7" max="7" width="14.75" style="13" customWidth="1"/>
    <col min="8" max="8" width="17.75" style="13" bestFit="1" customWidth="1"/>
    <col min="9" max="9" width="14.25" style="13" customWidth="1"/>
    <col min="10" max="16384" width="8.75" style="13"/>
  </cols>
  <sheetData>
    <row r="1" spans="1:9" ht="16.899999999999999" customHeight="1" thickBot="1" x14ac:dyDescent="0.3">
      <c r="A1" s="105"/>
    </row>
    <row r="2" spans="1:9" ht="16.899999999999999" customHeight="1" x14ac:dyDescent="0.25">
      <c r="B2" s="707" t="s">
        <v>101</v>
      </c>
      <c r="C2" s="708"/>
      <c r="D2" s="708"/>
      <c r="E2" s="708"/>
      <c r="F2" s="708"/>
      <c r="G2" s="708"/>
      <c r="H2" s="708"/>
      <c r="I2" s="709"/>
    </row>
    <row r="3" spans="1:9" ht="16.899999999999999" customHeight="1" thickBot="1" x14ac:dyDescent="0.3">
      <c r="B3" s="710"/>
      <c r="C3" s="711"/>
      <c r="D3" s="711"/>
      <c r="E3" s="711"/>
      <c r="F3" s="711"/>
      <c r="G3" s="711"/>
      <c r="H3" s="711"/>
      <c r="I3" s="712"/>
    </row>
    <row r="4" spans="1:9" ht="16.899999999999999" customHeight="1" x14ac:dyDescent="0.25">
      <c r="B4" s="108" t="s">
        <v>23</v>
      </c>
      <c r="C4" s="518" t="str">
        <f>IF('1. Dashboard'!G13&lt;&gt;0,'1. Dashboard'!G13,"")</f>
        <v/>
      </c>
      <c r="D4" s="518"/>
      <c r="E4" s="518"/>
      <c r="F4" s="518"/>
      <c r="G4" s="518"/>
      <c r="H4" s="518"/>
      <c r="I4" s="519"/>
    </row>
    <row r="5" spans="1:9" ht="16.899999999999999" customHeight="1" x14ac:dyDescent="0.25">
      <c r="B5" s="718" t="s">
        <v>86</v>
      </c>
      <c r="C5" s="719"/>
      <c r="D5" s="719"/>
      <c r="E5" s="720"/>
      <c r="F5" s="33" t="s">
        <v>102</v>
      </c>
      <c r="G5" s="685" t="s">
        <v>67</v>
      </c>
      <c r="H5" s="685" t="s">
        <v>90</v>
      </c>
      <c r="I5" s="682" t="s">
        <v>91</v>
      </c>
    </row>
    <row r="6" spans="1:9" ht="16.899999999999999" customHeight="1" x14ac:dyDescent="0.25">
      <c r="B6" s="721"/>
      <c r="C6" s="722"/>
      <c r="D6" s="722"/>
      <c r="E6" s="723"/>
      <c r="F6" s="729" t="s">
        <v>103</v>
      </c>
      <c r="G6" s="686"/>
      <c r="H6" s="686"/>
      <c r="I6" s="683"/>
    </row>
    <row r="7" spans="1:9" ht="16.899999999999999" customHeight="1" thickBot="1" x14ac:dyDescent="0.3">
      <c r="B7" s="724"/>
      <c r="C7" s="725"/>
      <c r="D7" s="725"/>
      <c r="E7" s="726"/>
      <c r="F7" s="730"/>
      <c r="G7" s="687"/>
      <c r="H7" s="687"/>
      <c r="I7" s="684"/>
    </row>
    <row r="8" spans="1:9" ht="4.9000000000000004" customHeight="1" thickBot="1" x14ac:dyDescent="0.3">
      <c r="B8" s="24"/>
      <c r="C8" s="24"/>
      <c r="D8" s="24"/>
      <c r="E8" s="24"/>
      <c r="F8" s="29"/>
      <c r="G8" s="30"/>
      <c r="H8" s="30"/>
      <c r="I8" s="30"/>
    </row>
    <row r="9" spans="1:9" ht="16.899999999999999" customHeight="1" thickBot="1" x14ac:dyDescent="0.3">
      <c r="B9" s="699" t="str">
        <f>IF('1. Dashboard'!G11="School", "Supplemental Funds", "Override Funds Available to All Districts")</f>
        <v>Override Funds Available to All Districts</v>
      </c>
      <c r="C9" s="700"/>
      <c r="D9" s="700"/>
      <c r="E9" s="700"/>
      <c r="F9" s="700"/>
      <c r="G9" s="700"/>
      <c r="H9" s="700"/>
      <c r="I9" s="701"/>
    </row>
    <row r="10" spans="1:9" ht="16.899999999999999" customHeight="1" x14ac:dyDescent="0.25">
      <c r="B10" s="727" t="str">
        <f>IF('1. Dashboard'!G11="School", "Temporary School Supplemental (IC §33-802(3))", "2 Yr Override I.C. §63-802")</f>
        <v>2 Yr Override I.C. §63-802</v>
      </c>
      <c r="C10" s="728"/>
      <c r="D10" s="728"/>
      <c r="E10" s="728"/>
      <c r="F10" s="182"/>
      <c r="G10" s="118"/>
      <c r="H10" s="118"/>
      <c r="I10" s="81"/>
    </row>
    <row r="11" spans="1:9" ht="16.899999999999999" customHeight="1" x14ac:dyDescent="0.25">
      <c r="B11" s="702" t="str">
        <f>IF('1. Dashboard'!G11="School", "Permanent School Supplemental (IC §33-802(5))", "Permanent Override I.C.§63-802")</f>
        <v>Permanent Override I.C.§63-802</v>
      </c>
      <c r="C11" s="703"/>
      <c r="D11" s="703"/>
      <c r="E11" s="703"/>
      <c r="F11" s="183"/>
      <c r="G11" s="79"/>
      <c r="H11" s="79"/>
      <c r="I11" s="82"/>
    </row>
    <row r="12" spans="1:9" ht="16.899999999999999" customHeight="1" x14ac:dyDescent="0.25">
      <c r="B12" s="702" t="str">
        <f>IF('1. Dashboard'!G11="School", "Plant Faciliites to Transfer to Supplemental (IC §33-804)*","")</f>
        <v/>
      </c>
      <c r="C12" s="703"/>
      <c r="D12" s="703"/>
      <c r="E12" s="703"/>
      <c r="F12" s="183"/>
      <c r="G12" s="79"/>
      <c r="H12" s="79"/>
      <c r="I12" s="82"/>
    </row>
    <row r="13" spans="1:9" s="32" customFormat="1" ht="4.9000000000000004" customHeight="1" thickBot="1" x14ac:dyDescent="0.3">
      <c r="B13" s="31"/>
      <c r="C13" s="31"/>
      <c r="D13" s="31"/>
      <c r="E13" s="31"/>
    </row>
    <row r="14" spans="1:9" ht="16.899999999999999" customHeight="1" thickBot="1" x14ac:dyDescent="0.3">
      <c r="B14" s="699" t="str">
        <f>IF('1. Dashboard'!G11="School", "Plant Facilities &amp; COSA Funds", "Plant Facilities Funds for Library, and Community College districts")</f>
        <v>Plant Facilities Funds for Library, and Community College districts</v>
      </c>
      <c r="C14" s="700"/>
      <c r="D14" s="700"/>
      <c r="E14" s="700"/>
      <c r="F14" s="700"/>
      <c r="G14" s="700"/>
      <c r="H14" s="700"/>
      <c r="I14" s="701"/>
    </row>
    <row r="15" spans="1:9" ht="16.899999999999999" customHeight="1" x14ac:dyDescent="0.25">
      <c r="B15" s="714" t="s">
        <v>92</v>
      </c>
      <c r="C15" s="715"/>
      <c r="D15" s="715"/>
      <c r="E15" s="715"/>
      <c r="F15" s="182"/>
      <c r="G15" s="118"/>
      <c r="H15" s="118"/>
      <c r="I15" s="81"/>
    </row>
    <row r="16" spans="1:9" ht="16.899999999999999" customHeight="1" thickBot="1" x14ac:dyDescent="0.3">
      <c r="B16" s="716" t="s">
        <v>93</v>
      </c>
      <c r="C16" s="717"/>
      <c r="D16" s="717"/>
      <c r="E16" s="717"/>
      <c r="F16" s="717"/>
      <c r="G16" s="717"/>
      <c r="H16" s="717"/>
      <c r="I16" s="83"/>
    </row>
    <row r="17" spans="2:9" ht="16.899999999999999" customHeight="1" x14ac:dyDescent="0.25">
      <c r="B17" s="714" t="str">
        <f>IF('1. Dashboard'!G11="School", "Safe School Plant Facilities (Maximum of 20 yrs)", "")</f>
        <v/>
      </c>
      <c r="C17" s="715"/>
      <c r="D17" s="715"/>
      <c r="E17" s="715"/>
      <c r="F17" s="182"/>
      <c r="G17" s="118"/>
      <c r="H17" s="118"/>
      <c r="I17" s="81"/>
    </row>
    <row r="18" spans="2:9" ht="16.899999999999999" customHeight="1" thickBot="1" x14ac:dyDescent="0.3">
      <c r="B18" s="716" t="str">
        <f>IF('1. Dashboard'!G11="School", "If voters approved an increase in the annual amount but did not change the term enter the amount of increase here:", "")</f>
        <v/>
      </c>
      <c r="C18" s="717"/>
      <c r="D18" s="717"/>
      <c r="E18" s="717"/>
      <c r="F18" s="717"/>
      <c r="G18" s="717"/>
      <c r="H18" s="717"/>
      <c r="I18" s="83"/>
    </row>
    <row r="19" spans="2:9" ht="16.899999999999999" customHeight="1" x14ac:dyDescent="0.25">
      <c r="B19" s="704" t="str">
        <f>IF('1. Dashboard'!G11="School", "COSA Funds (50% Voter Approval 10 year)", "")</f>
        <v/>
      </c>
      <c r="C19" s="705"/>
      <c r="D19" s="705"/>
      <c r="E19" s="706"/>
      <c r="F19" s="217"/>
      <c r="G19" s="218"/>
      <c r="H19" s="218"/>
      <c r="I19" s="89"/>
    </row>
    <row r="20" spans="2:9" ht="16.899999999999999" customHeight="1" x14ac:dyDescent="0.25">
      <c r="B20" s="670" t="str">
        <f>IF('1. Dashboard'!G11="School", "COSA Maintenance (2/3 Voter Approval 10 year)", "")</f>
        <v/>
      </c>
      <c r="C20" s="671"/>
      <c r="D20" s="671"/>
      <c r="E20" s="672"/>
      <c r="F20" s="219"/>
      <c r="G20" s="220"/>
      <c r="H20" s="220"/>
      <c r="I20" s="82"/>
    </row>
    <row r="21" spans="2:9" ht="16.899999999999999" customHeight="1" thickBot="1" x14ac:dyDescent="0.3">
      <c r="B21" s="667" t="str">
        <f>IF('1. Dashboard'!G11="School", "COSA Plant Facilities (3 years)", "")</f>
        <v/>
      </c>
      <c r="C21" s="668"/>
      <c r="D21" s="668"/>
      <c r="E21" s="669"/>
      <c r="F21" s="221"/>
      <c r="G21" s="222"/>
      <c r="H21" s="222"/>
      <c r="I21" s="83"/>
    </row>
    <row r="22" spans="2:9" ht="16.899999999999999" customHeight="1" x14ac:dyDescent="0.25">
      <c r="B22" s="713" t="str">
        <f>IF('1. Dashboard'!G11="School", "*Cannot exceed annual amount of Plant Facilities approved by voters.","")</f>
        <v/>
      </c>
      <c r="C22" s="713"/>
      <c r="D22" s="713"/>
      <c r="E22" s="713"/>
      <c r="F22" s="713"/>
      <c r="G22" s="713"/>
      <c r="H22" s="713"/>
      <c r="I22" s="713"/>
    </row>
    <row r="23" spans="2:9" ht="16.899999999999999" customHeight="1" thickBot="1" x14ac:dyDescent="0.3"/>
    <row r="24" spans="2:9" ht="16.899999999999999" customHeight="1" thickBot="1" x14ac:dyDescent="0.3">
      <c r="B24" s="699" t="s">
        <v>94</v>
      </c>
      <c r="C24" s="700"/>
      <c r="D24" s="700"/>
      <c r="E24" s="700"/>
      <c r="F24" s="700"/>
      <c r="G24" s="700"/>
      <c r="H24" s="700"/>
      <c r="I24" s="701"/>
    </row>
    <row r="25" spans="2:9" ht="16.899999999999999" customHeight="1" x14ac:dyDescent="0.25">
      <c r="B25" s="693" t="s">
        <v>100</v>
      </c>
      <c r="C25" s="695" t="s">
        <v>67</v>
      </c>
      <c r="D25" s="695" t="s">
        <v>90</v>
      </c>
      <c r="E25" s="695" t="s">
        <v>95</v>
      </c>
      <c r="F25" s="695" t="s">
        <v>96</v>
      </c>
      <c r="G25" s="695" t="s">
        <v>97</v>
      </c>
      <c r="H25" s="695" t="s">
        <v>104</v>
      </c>
      <c r="I25" s="688" t="s">
        <v>105</v>
      </c>
    </row>
    <row r="26" spans="2:9" ht="16.899999999999999" customHeight="1" x14ac:dyDescent="0.25">
      <c r="B26" s="694"/>
      <c r="C26" s="696"/>
      <c r="D26" s="696"/>
      <c r="E26" s="696"/>
      <c r="F26" s="696"/>
      <c r="G26" s="696"/>
      <c r="H26" s="696"/>
      <c r="I26" s="689"/>
    </row>
    <row r="27" spans="2:9" ht="16.899999999999999" customHeight="1" x14ac:dyDescent="0.25">
      <c r="B27" s="694"/>
      <c r="C27" s="696"/>
      <c r="D27" s="696"/>
      <c r="E27" s="696"/>
      <c r="F27" s="696"/>
      <c r="G27" s="696"/>
      <c r="H27" s="696"/>
      <c r="I27" s="689"/>
    </row>
    <row r="28" spans="2:9" ht="16.899999999999999" customHeight="1" x14ac:dyDescent="0.25">
      <c r="B28" s="184"/>
      <c r="C28" s="174"/>
      <c r="D28" s="174"/>
      <c r="E28" s="84"/>
      <c r="F28" s="85"/>
      <c r="G28" s="85"/>
      <c r="H28" s="72" t="str">
        <f t="shared" ref="H28:H31" si="0">IF(F28="","",IF(F28=0,1,ROUND((G28/F28-1),2)))</f>
        <v/>
      </c>
      <c r="I28" s="73" t="str">
        <f>IF(AND(OR(H28&lt;-0.2, H28&gt;0.2), AND(F28&lt;&gt;"",G28&lt;&gt;"")),"YES","")</f>
        <v/>
      </c>
    </row>
    <row r="29" spans="2:9" ht="16.899999999999999" customHeight="1" x14ac:dyDescent="0.25">
      <c r="B29" s="184"/>
      <c r="C29" s="174"/>
      <c r="D29" s="174"/>
      <c r="E29" s="84"/>
      <c r="F29" s="85"/>
      <c r="G29" s="85"/>
      <c r="H29" s="72" t="str">
        <f t="shared" si="0"/>
        <v/>
      </c>
      <c r="I29" s="73" t="str">
        <f t="shared" ref="I29:I34" si="1">IF(AND(OR(H29&lt;-0.2, H29&gt;0.2), AND(F29&lt;&gt;"",G29&lt;&gt;"")),"YES","")</f>
        <v/>
      </c>
    </row>
    <row r="30" spans="2:9" ht="16.899999999999999" customHeight="1" x14ac:dyDescent="0.25">
      <c r="B30" s="184"/>
      <c r="C30" s="174"/>
      <c r="D30" s="174"/>
      <c r="E30" s="84"/>
      <c r="F30" s="85"/>
      <c r="G30" s="85"/>
      <c r="H30" s="72" t="str">
        <f t="shared" si="0"/>
        <v/>
      </c>
      <c r="I30" s="73" t="str">
        <f t="shared" si="1"/>
        <v/>
      </c>
    </row>
    <row r="31" spans="2:9" ht="16.899999999999999" customHeight="1" x14ac:dyDescent="0.25">
      <c r="B31" s="184"/>
      <c r="C31" s="174"/>
      <c r="D31" s="174"/>
      <c r="E31" s="84"/>
      <c r="F31" s="85"/>
      <c r="G31" s="85"/>
      <c r="H31" s="72" t="str">
        <f t="shared" si="0"/>
        <v/>
      </c>
      <c r="I31" s="73" t="str">
        <f t="shared" si="1"/>
        <v/>
      </c>
    </row>
    <row r="32" spans="2:9" ht="16.899999999999999" customHeight="1" x14ac:dyDescent="0.25">
      <c r="B32" s="184"/>
      <c r="C32" s="174"/>
      <c r="D32" s="174"/>
      <c r="E32" s="84"/>
      <c r="F32" s="85"/>
      <c r="G32" s="85"/>
      <c r="H32" s="72" t="str">
        <f t="shared" ref="H32:H34" si="2">IF(F32="","",IF(F32=0,1,ROUND((G32/F32-1),2)))</f>
        <v/>
      </c>
      <c r="I32" s="73" t="str">
        <f t="shared" si="1"/>
        <v/>
      </c>
    </row>
    <row r="33" spans="2:9" ht="16.899999999999999" customHeight="1" x14ac:dyDescent="0.25">
      <c r="B33" s="184"/>
      <c r="C33" s="174"/>
      <c r="D33" s="174"/>
      <c r="E33" s="84"/>
      <c r="F33" s="85"/>
      <c r="G33" s="85"/>
      <c r="H33" s="72" t="str">
        <f t="shared" si="2"/>
        <v/>
      </c>
      <c r="I33" s="73" t="str">
        <f t="shared" si="1"/>
        <v/>
      </c>
    </row>
    <row r="34" spans="2:9" ht="16.899999999999999" customHeight="1" thickBot="1" x14ac:dyDescent="0.3">
      <c r="B34" s="185"/>
      <c r="C34" s="186"/>
      <c r="D34" s="186"/>
      <c r="E34" s="129"/>
      <c r="F34" s="130"/>
      <c r="G34" s="130"/>
      <c r="H34" s="131" t="str">
        <f t="shared" si="2"/>
        <v/>
      </c>
      <c r="I34" s="132" t="str">
        <f t="shared" si="1"/>
        <v/>
      </c>
    </row>
    <row r="35" spans="2:9" ht="16.899999999999999" customHeight="1" thickBot="1" x14ac:dyDescent="0.3">
      <c r="B35" s="690" t="s">
        <v>98</v>
      </c>
      <c r="C35" s="691"/>
      <c r="D35" s="692"/>
      <c r="E35" s="692"/>
      <c r="F35" s="692"/>
      <c r="G35" s="128">
        <f>SUM(G28:G34)</f>
        <v>0</v>
      </c>
      <c r="H35" s="697"/>
      <c r="I35" s="698"/>
    </row>
    <row r="36" spans="2:9" ht="16.899999999999999" customHeight="1" x14ac:dyDescent="0.25">
      <c r="B36" s="22"/>
      <c r="C36" s="22"/>
      <c r="D36" s="18"/>
      <c r="E36" s="18"/>
      <c r="F36" s="18"/>
      <c r="G36" s="20"/>
      <c r="H36" s="21"/>
      <c r="I36" s="21"/>
    </row>
    <row r="37" spans="2:9" ht="16.899999999999999" customHeight="1" x14ac:dyDescent="0.25">
      <c r="B37" s="665" t="s">
        <v>99</v>
      </c>
      <c r="C37" s="665"/>
      <c r="D37" s="665"/>
      <c r="E37" s="665"/>
      <c r="F37" s="665"/>
      <c r="G37" s="665"/>
      <c r="H37" s="665"/>
      <c r="I37" s="665"/>
    </row>
    <row r="38" spans="2:9" ht="16.899999999999999" customHeight="1" x14ac:dyDescent="0.25">
      <c r="B38" s="679"/>
      <c r="C38" s="680"/>
      <c r="D38" s="680"/>
      <c r="E38" s="680"/>
      <c r="F38" s="680"/>
      <c r="G38" s="680"/>
      <c r="H38" s="680"/>
      <c r="I38" s="681"/>
    </row>
    <row r="39" spans="2:9" ht="16.899999999999999" customHeight="1" x14ac:dyDescent="0.25">
      <c r="B39" s="676"/>
      <c r="C39" s="677"/>
      <c r="D39" s="677"/>
      <c r="E39" s="677"/>
      <c r="F39" s="677"/>
      <c r="G39" s="677"/>
      <c r="H39" s="677"/>
      <c r="I39" s="678"/>
    </row>
    <row r="40" spans="2:9" ht="16.899999999999999" customHeight="1" x14ac:dyDescent="0.25">
      <c r="B40" s="676"/>
      <c r="C40" s="677"/>
      <c r="D40" s="677"/>
      <c r="E40" s="677"/>
      <c r="F40" s="677"/>
      <c r="G40" s="677"/>
      <c r="H40" s="677"/>
      <c r="I40" s="678"/>
    </row>
    <row r="41" spans="2:9" ht="16.899999999999999" customHeight="1" x14ac:dyDescent="0.25">
      <c r="B41" s="676"/>
      <c r="C41" s="677"/>
      <c r="D41" s="677"/>
      <c r="E41" s="677"/>
      <c r="F41" s="677"/>
      <c r="G41" s="677"/>
      <c r="H41" s="677"/>
      <c r="I41" s="678"/>
    </row>
    <row r="42" spans="2:9" ht="16.899999999999999" customHeight="1" x14ac:dyDescent="0.25">
      <c r="B42" s="676"/>
      <c r="C42" s="677"/>
      <c r="D42" s="677"/>
      <c r="E42" s="677"/>
      <c r="F42" s="677"/>
      <c r="G42" s="677"/>
      <c r="H42" s="677"/>
      <c r="I42" s="678"/>
    </row>
    <row r="43" spans="2:9" ht="16.899999999999999" customHeight="1" x14ac:dyDescent="0.25">
      <c r="B43" s="676"/>
      <c r="C43" s="677"/>
      <c r="D43" s="677"/>
      <c r="E43" s="677"/>
      <c r="F43" s="677"/>
      <c r="G43" s="677"/>
      <c r="H43" s="677"/>
      <c r="I43" s="678"/>
    </row>
    <row r="44" spans="2:9" ht="16.899999999999999" customHeight="1" x14ac:dyDescent="0.25">
      <c r="B44" s="673"/>
      <c r="C44" s="674"/>
      <c r="D44" s="674"/>
      <c r="E44" s="674"/>
      <c r="F44" s="674"/>
      <c r="G44" s="674"/>
      <c r="H44" s="674"/>
      <c r="I44" s="675"/>
    </row>
    <row r="45" spans="2:9" ht="16.899999999999999" customHeight="1" x14ac:dyDescent="0.25">
      <c r="B45" s="13" t="s">
        <v>72</v>
      </c>
      <c r="E45" s="664"/>
      <c r="F45" s="664"/>
      <c r="H45" s="666"/>
      <c r="I45" s="666"/>
    </row>
  </sheetData>
  <sheetProtection sheet="1" selectLockedCells="1"/>
  <protectedRanges>
    <protectedRange password="D9AD" sqref="H28:I36" name="Computation_1_1"/>
  </protectedRanges>
  <mergeCells count="41">
    <mergeCell ref="B2:I3"/>
    <mergeCell ref="H25:H27"/>
    <mergeCell ref="B22:I22"/>
    <mergeCell ref="B17:E17"/>
    <mergeCell ref="B18:H18"/>
    <mergeCell ref="G25:G27"/>
    <mergeCell ref="F25:F27"/>
    <mergeCell ref="C4:I4"/>
    <mergeCell ref="B5:E7"/>
    <mergeCell ref="B9:I9"/>
    <mergeCell ref="B16:H16"/>
    <mergeCell ref="B15:E15"/>
    <mergeCell ref="B14:I14"/>
    <mergeCell ref="B11:E11"/>
    <mergeCell ref="B10:E10"/>
    <mergeCell ref="F6:F7"/>
    <mergeCell ref="I5:I7"/>
    <mergeCell ref="H5:H7"/>
    <mergeCell ref="G5:G7"/>
    <mergeCell ref="I25:I27"/>
    <mergeCell ref="B35:F35"/>
    <mergeCell ref="B25:B27"/>
    <mergeCell ref="E25:E27"/>
    <mergeCell ref="D25:D27"/>
    <mergeCell ref="C25:C27"/>
    <mergeCell ref="H35:I35"/>
    <mergeCell ref="B24:I24"/>
    <mergeCell ref="B12:E12"/>
    <mergeCell ref="B19:E19"/>
    <mergeCell ref="E45:F45"/>
    <mergeCell ref="B37:I37"/>
    <mergeCell ref="H45:I45"/>
    <mergeCell ref="B21:E21"/>
    <mergeCell ref="B20:E20"/>
    <mergeCell ref="B44:I44"/>
    <mergeCell ref="B43:I43"/>
    <mergeCell ref="B40:I40"/>
    <mergeCell ref="B39:I39"/>
    <mergeCell ref="B38:I38"/>
    <mergeCell ref="B42:I42"/>
    <mergeCell ref="B41:I41"/>
  </mergeCells>
  <printOptions horizontalCentered="1"/>
  <pageMargins left="0.25" right="0.25" top="0.25" bottom="0.25" header="0.3" footer="0.3"/>
  <pageSetup scale="72" orientation="portrait" r:id="rId1"/>
  <extLst>
    <ext xmlns:x14="http://schemas.microsoft.com/office/spreadsheetml/2009/9/main" uri="{78C0D931-6437-407d-A8EE-F0AAD7539E65}">
      <x14:conditionalFormattings>
        <x14:conditionalFormatting xmlns:xm="http://schemas.microsoft.com/office/excel/2006/main">
          <x14:cfRule type="expression" priority="2" id="{51337A78-56D7-8241-AFD1-3E01DBE05A88}">
            <xm:f>AND('1. Dashboard'!$G$11&lt;&gt;"School",'1. Dashboard'!$G$11&lt;&gt;"")</xm:f>
            <x14:dxf>
              <font>
                <color theme="1"/>
              </font>
              <fill>
                <patternFill>
                  <bgColor theme="1"/>
                </patternFill>
              </fill>
            </x14:dxf>
          </x14:cfRule>
          <xm:sqref>B12:I12</xm:sqref>
        </x14:conditionalFormatting>
        <x14:conditionalFormatting xmlns:xm="http://schemas.microsoft.com/office/excel/2006/main">
          <x14:cfRule type="expression" priority="5" id="{B87C7E22-B607-414F-8923-A3B3F621472D}">
            <xm:f>'1. Dashboard'!$G$11&lt;&gt;"School"</xm:f>
            <x14:dxf>
              <font>
                <color auto="1"/>
              </font>
              <fill>
                <patternFill patternType="solid">
                  <bgColor auto="1"/>
                </patternFill>
              </fill>
              <border>
                <left/>
                <right/>
                <bottom/>
              </border>
            </x14:dxf>
          </x14:cfRule>
          <xm:sqref>B17:I17</xm:sqref>
        </x14:conditionalFormatting>
        <x14:conditionalFormatting xmlns:xm="http://schemas.microsoft.com/office/excel/2006/main">
          <x14:cfRule type="expression" priority="8" id="{C71A51DF-2236-064A-ABB3-80AA2D0F2E89}">
            <xm:f>'1. Dashboard'!$G$11&lt;&gt;"School"</xm:f>
            <x14:dxf>
              <font>
                <color auto="1"/>
              </font>
              <fill>
                <patternFill patternType="solid">
                  <bgColor theme="0"/>
                </patternFill>
              </fill>
              <border>
                <left/>
                <right/>
                <top/>
                <bottom/>
              </border>
            </x14:dxf>
          </x14:cfRule>
          <xm:sqref>B18:I21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6B4ED-329E-CB43-95DB-515A4EB33416}">
  <sheetPr codeName="Sheet12"/>
  <dimension ref="A1:H29"/>
  <sheetViews>
    <sheetView zoomScaleNormal="100" workbookViewId="0">
      <selection activeCell="F4" sqref="F4:G4"/>
    </sheetView>
  </sheetViews>
  <sheetFormatPr defaultColWidth="8.75" defaultRowHeight="15.75" x14ac:dyDescent="0.25"/>
  <cols>
    <col min="1" max="1" width="2.75" style="25" customWidth="1"/>
    <col min="2" max="2" width="19.25" style="25" customWidth="1"/>
    <col min="3" max="7" width="16.75" style="25" customWidth="1"/>
    <col min="8" max="8" width="8.75" style="25" customWidth="1"/>
    <col min="9" max="9" width="9" style="25" customWidth="1"/>
    <col min="10" max="16384" width="8.75" style="25"/>
  </cols>
  <sheetData>
    <row r="1" spans="1:7" ht="16.5" thickBot="1" x14ac:dyDescent="0.3">
      <c r="A1" s="104"/>
      <c r="B1" s="731" t="str">
        <f>IF('1. Dashboard'!G11="School","DOES NOT APPLY TO SCHOOL DISTRICTS",IF(Hidden!C59=0,"DOES NOT APPLY UNLESS FORGONE IS RECOVERED FOR CAPITAL PROJECTS",""))</f>
        <v>DOES NOT APPLY UNLESS FORGONE IS RECOVERED FOR CAPITAL PROJECTS</v>
      </c>
      <c r="C1" s="731"/>
      <c r="D1" s="731"/>
      <c r="E1" s="731"/>
      <c r="F1" s="731"/>
      <c r="G1" s="731"/>
    </row>
    <row r="2" spans="1:7" x14ac:dyDescent="0.25">
      <c r="B2" s="742" t="s">
        <v>89</v>
      </c>
      <c r="C2" s="743"/>
      <c r="D2" s="743"/>
      <c r="E2" s="743"/>
      <c r="F2" s="743"/>
      <c r="G2" s="744"/>
    </row>
    <row r="3" spans="1:7" ht="16.5" thickBot="1" x14ac:dyDescent="0.3">
      <c r="B3" s="745"/>
      <c r="C3" s="746"/>
      <c r="D3" s="746"/>
      <c r="E3" s="746"/>
      <c r="F3" s="746"/>
      <c r="G3" s="747"/>
    </row>
    <row r="4" spans="1:7" x14ac:dyDescent="0.25">
      <c r="B4" s="74" t="s">
        <v>23</v>
      </c>
      <c r="C4" s="750">
        <f>'1. Dashboard'!G13</f>
        <v>0</v>
      </c>
      <c r="D4" s="750"/>
      <c r="E4" s="26" t="s">
        <v>65</v>
      </c>
      <c r="F4" s="748"/>
      <c r="G4" s="749"/>
    </row>
    <row r="5" spans="1:7" ht="16.899999999999999" customHeight="1" x14ac:dyDescent="0.25">
      <c r="B5" s="753" t="s">
        <v>153</v>
      </c>
      <c r="C5" s="754"/>
      <c r="D5" s="754"/>
      <c r="E5" s="752" t="s">
        <v>66</v>
      </c>
      <c r="F5" s="752" t="s">
        <v>67</v>
      </c>
      <c r="G5" s="751" t="s">
        <v>88</v>
      </c>
    </row>
    <row r="6" spans="1:7" x14ac:dyDescent="0.25">
      <c r="B6" s="755"/>
      <c r="C6" s="756"/>
      <c r="D6" s="756"/>
      <c r="E6" s="752"/>
      <c r="F6" s="752"/>
      <c r="G6" s="751"/>
    </row>
    <row r="7" spans="1:7" x14ac:dyDescent="0.25">
      <c r="B7" s="732"/>
      <c r="C7" s="733"/>
      <c r="D7" s="734"/>
      <c r="E7" s="176"/>
      <c r="F7" s="176"/>
      <c r="G7" s="86"/>
    </row>
    <row r="8" spans="1:7" x14ac:dyDescent="0.25">
      <c r="B8" s="735"/>
      <c r="C8" s="736"/>
      <c r="D8" s="737"/>
      <c r="E8" s="177"/>
      <c r="F8" s="177"/>
      <c r="G8" s="87"/>
    </row>
    <row r="9" spans="1:7" x14ac:dyDescent="0.25">
      <c r="B9" s="735"/>
      <c r="C9" s="736"/>
      <c r="D9" s="737"/>
      <c r="E9" s="177"/>
      <c r="F9" s="177"/>
      <c r="G9" s="87"/>
    </row>
    <row r="10" spans="1:7" x14ac:dyDescent="0.25">
      <c r="B10" s="738"/>
      <c r="C10" s="736"/>
      <c r="D10" s="737"/>
      <c r="E10" s="177"/>
      <c r="F10" s="177"/>
      <c r="G10" s="87"/>
    </row>
    <row r="11" spans="1:7" ht="16.5" thickBot="1" x14ac:dyDescent="0.3">
      <c r="B11" s="739"/>
      <c r="C11" s="740"/>
      <c r="D11" s="741"/>
      <c r="E11" s="178"/>
      <c r="F11" s="178"/>
      <c r="G11" s="88"/>
    </row>
    <row r="12" spans="1:7" ht="16.149999999999999" customHeight="1" thickBot="1" x14ac:dyDescent="0.3"/>
    <row r="13" spans="1:7" ht="16.5" thickBot="1" x14ac:dyDescent="0.3">
      <c r="B13" s="757" t="s">
        <v>87</v>
      </c>
      <c r="C13" s="758"/>
      <c r="D13" s="758"/>
      <c r="E13" s="758"/>
      <c r="F13" s="758"/>
      <c r="G13" s="759"/>
    </row>
    <row r="14" spans="1:7" ht="16.899999999999999" customHeight="1" x14ac:dyDescent="0.25">
      <c r="B14" s="764" t="s">
        <v>68</v>
      </c>
      <c r="C14" s="782" t="s">
        <v>67</v>
      </c>
      <c r="D14" s="782" t="s">
        <v>69</v>
      </c>
      <c r="E14" s="782" t="s">
        <v>70</v>
      </c>
      <c r="F14" s="782" t="s">
        <v>71</v>
      </c>
      <c r="G14" s="781" t="s">
        <v>154</v>
      </c>
    </row>
    <row r="15" spans="1:7" x14ac:dyDescent="0.25">
      <c r="B15" s="765"/>
      <c r="C15" s="752"/>
      <c r="D15" s="752"/>
      <c r="E15" s="752"/>
      <c r="F15" s="752"/>
      <c r="G15" s="751"/>
    </row>
    <row r="16" spans="1:7" ht="16.5" customHeight="1" x14ac:dyDescent="0.25">
      <c r="B16" s="99" t="str">
        <f>IF(B7="","",B7)</f>
        <v/>
      </c>
      <c r="C16" s="101" t="str">
        <f>IF(F7="", "", F7)</f>
        <v/>
      </c>
      <c r="D16" s="179"/>
      <c r="E16" s="34" t="str">
        <f t="shared" ref="E16" si="0">IF(G7="", "", G7)</f>
        <v/>
      </c>
      <c r="F16" s="35" t="str">
        <f>IFERROR(IF(E16="","",IF(E16&lt;($B$25*0.03),E16,$B$25*0.03)),"")</f>
        <v/>
      </c>
      <c r="G16" s="36" t="str">
        <f>F16</f>
        <v/>
      </c>
    </row>
    <row r="17" spans="2:8" ht="16.5" customHeight="1" x14ac:dyDescent="0.25">
      <c r="B17" s="99" t="str">
        <f t="shared" ref="B17:B20" si="1">IF(B8="","",B8)</f>
        <v/>
      </c>
      <c r="C17" s="102" t="str">
        <f t="shared" ref="C17:C20" si="2">IF(F8="", "", F8)</f>
        <v/>
      </c>
      <c r="D17" s="180"/>
      <c r="E17" s="37" t="str">
        <f>IF(G8="", "", G8)</f>
        <v/>
      </c>
      <c r="F17" s="38" t="str">
        <f>IFERROR(IF(E17="","",IF((F21-F16)&gt;E17,E17,F21-F16)),"")</f>
        <v/>
      </c>
      <c r="G17" s="39" t="str">
        <f>F17</f>
        <v/>
      </c>
    </row>
    <row r="18" spans="2:8" ht="16.5" customHeight="1" x14ac:dyDescent="0.25">
      <c r="B18" s="99" t="str">
        <f t="shared" si="1"/>
        <v/>
      </c>
      <c r="C18" s="102" t="str">
        <f t="shared" si="2"/>
        <v/>
      </c>
      <c r="D18" s="180"/>
      <c r="E18" s="37" t="str">
        <f>IF(G9="", "", G9)</f>
        <v/>
      </c>
      <c r="F18" s="38" t="str">
        <f>IFERROR(IF(E18="","",IF((F21-F16-F17)&gt;E18,E18,F21-F16-F17)),"")</f>
        <v/>
      </c>
      <c r="G18" s="39" t="str">
        <f t="shared" ref="G18:G20" si="3">F18</f>
        <v/>
      </c>
    </row>
    <row r="19" spans="2:8" ht="16.5" customHeight="1" x14ac:dyDescent="0.25">
      <c r="B19" s="99" t="str">
        <f t="shared" si="1"/>
        <v/>
      </c>
      <c r="C19" s="102" t="str">
        <f t="shared" si="2"/>
        <v/>
      </c>
      <c r="D19" s="180"/>
      <c r="E19" s="37" t="str">
        <f t="shared" ref="E19:E20" si="4">IF(G10="", "", G10)</f>
        <v/>
      </c>
      <c r="F19" s="38" t="str">
        <f>IFERROR(IF(E19="","",IF((F21-F16-F17-F18)&gt;E19,E19,F21-F16-F17-F18)),"")</f>
        <v/>
      </c>
      <c r="G19" s="39" t="str">
        <f t="shared" si="3"/>
        <v/>
      </c>
    </row>
    <row r="20" spans="2:8" ht="18" customHeight="1" thickBot="1" x14ac:dyDescent="0.3">
      <c r="B20" s="100" t="str">
        <f t="shared" si="1"/>
        <v/>
      </c>
      <c r="C20" s="103" t="str">
        <f t="shared" si="2"/>
        <v/>
      </c>
      <c r="D20" s="181"/>
      <c r="E20" s="53" t="str">
        <f t="shared" si="4"/>
        <v/>
      </c>
      <c r="F20" s="54" t="str">
        <f>IFERROR(IF(E20="","",IF((F21-F16-F17-F18-F19)&gt;E20,E20,F21-F16-F17-F18)),"")</f>
        <v/>
      </c>
      <c r="G20" s="55" t="str">
        <f t="shared" si="3"/>
        <v/>
      </c>
    </row>
    <row r="21" spans="2:8" ht="18" customHeight="1" thickTop="1" x14ac:dyDescent="0.25">
      <c r="B21" s="772" t="s">
        <v>120</v>
      </c>
      <c r="C21" s="773"/>
      <c r="D21" s="774"/>
      <c r="E21" s="34">
        <f>SUM(E16:E20)</f>
        <v>0</v>
      </c>
      <c r="F21" s="34">
        <f>IFERROR(ROUNDUP(IF(E25&lt;(B25*0.03),E25,B25*0.03),0),0)</f>
        <v>0</v>
      </c>
      <c r="G21" s="52">
        <f>SUM(G16:G20)</f>
        <v>0</v>
      </c>
    </row>
    <row r="22" spans="2:8" ht="18" customHeight="1" thickBot="1" x14ac:dyDescent="0.3">
      <c r="B22" s="775" t="s">
        <v>80</v>
      </c>
      <c r="C22" s="776"/>
      <c r="D22" s="777"/>
      <c r="E22" s="778">
        <f>E25-G21</f>
        <v>0</v>
      </c>
      <c r="F22" s="779"/>
      <c r="G22" s="780"/>
    </row>
    <row r="23" spans="2:8" ht="16.5" thickBot="1" x14ac:dyDescent="0.3">
      <c r="B23" s="27"/>
    </row>
    <row r="24" spans="2:8" ht="18.75" customHeight="1" thickBot="1" x14ac:dyDescent="0.3">
      <c r="B24" s="760" t="s">
        <v>129</v>
      </c>
      <c r="C24" s="761"/>
      <c r="D24" s="761"/>
      <c r="E24" s="761"/>
      <c r="F24" s="761"/>
      <c r="G24" s="762"/>
    </row>
    <row r="25" spans="2:8" ht="18.75" customHeight="1" thickBot="1" x14ac:dyDescent="0.3">
      <c r="B25" s="766" t="str">
        <f>IFERROR(Hidden!C38-Hidden!C47,"Enter Values")</f>
        <v>Enter Values</v>
      </c>
      <c r="C25" s="767"/>
      <c r="D25" s="768"/>
      <c r="E25" s="769">
        <f>Hidden!C54</f>
        <v>0</v>
      </c>
      <c r="F25" s="770"/>
      <c r="G25" s="771"/>
    </row>
    <row r="26" spans="2:8" ht="16.899999999999999" customHeight="1" x14ac:dyDescent="0.25">
      <c r="B26" s="763" t="s">
        <v>72</v>
      </c>
      <c r="C26" s="763"/>
      <c r="D26" s="763"/>
      <c r="E26" s="763"/>
      <c r="F26" s="763"/>
      <c r="G26" s="763"/>
      <c r="H26" s="28"/>
    </row>
    <row r="27" spans="2:8" x14ac:dyDescent="0.25">
      <c r="B27" s="379" t="s">
        <v>73</v>
      </c>
      <c r="C27" s="379"/>
      <c r="D27" s="379"/>
      <c r="E27" s="379"/>
      <c r="F27" s="379"/>
      <c r="G27" s="379"/>
    </row>
    <row r="28" spans="2:8" ht="18.75" customHeight="1" x14ac:dyDescent="0.25"/>
    <row r="29" spans="2:8" ht="18.75" customHeight="1" x14ac:dyDescent="0.25"/>
  </sheetData>
  <sheetProtection sheet="1" selectLockedCells="1"/>
  <protectedRanges>
    <protectedRange password="D9AD" sqref="H26 H16:H22" name="Computation_1_1_2"/>
  </protectedRanges>
  <mergeCells count="28">
    <mergeCell ref="B26:G26"/>
    <mergeCell ref="B14:B15"/>
    <mergeCell ref="B25:D25"/>
    <mergeCell ref="E25:G25"/>
    <mergeCell ref="B21:D21"/>
    <mergeCell ref="B22:D22"/>
    <mergeCell ref="E22:G22"/>
    <mergeCell ref="G14:G15"/>
    <mergeCell ref="F14:F15"/>
    <mergeCell ref="E14:E15"/>
    <mergeCell ref="D14:D15"/>
    <mergeCell ref="C14:C15"/>
    <mergeCell ref="B27:G27"/>
    <mergeCell ref="B1:G1"/>
    <mergeCell ref="B7:D7"/>
    <mergeCell ref="B8:D8"/>
    <mergeCell ref="B9:D9"/>
    <mergeCell ref="B10:D10"/>
    <mergeCell ref="B11:D11"/>
    <mergeCell ref="B2:G3"/>
    <mergeCell ref="F4:G4"/>
    <mergeCell ref="C4:D4"/>
    <mergeCell ref="G5:G6"/>
    <mergeCell ref="F5:F6"/>
    <mergeCell ref="E5:E6"/>
    <mergeCell ref="B5:D6"/>
    <mergeCell ref="B13:G13"/>
    <mergeCell ref="B24:G24"/>
  </mergeCells>
  <conditionalFormatting sqref="G7:G11 E21">
    <cfRule type="expression" dxfId="1" priority="5">
      <formula>$E$21&gt;$F$21</formula>
    </cfRule>
  </conditionalFormatting>
  <conditionalFormatting sqref="G21">
    <cfRule type="cellIs" dxfId="0" priority="4" operator="greaterThan">
      <formula>$F$21</formula>
    </cfRule>
  </conditionalFormatting>
  <printOptions horizontalCentered="1"/>
  <pageMargins left="0.7" right="0.7" top="0.75" bottom="0.75" header="0.3" footer="0.3"/>
  <pageSetup orientation="landscape" r:id="rId1"/>
  <extLst>
    <ext xmlns:x14="http://schemas.microsoft.com/office/spreadsheetml/2009/9/main" uri="{78C0D931-6437-407d-A8EE-F0AAD7539E65}">
      <x14:conditionalFormattings>
        <x14:conditionalFormatting xmlns:xm="http://schemas.microsoft.com/office/excel/2006/main">
          <x14:cfRule type="expression" priority="265" id="{42A57D60-5D8C-E042-9192-E829B0D79F86}">
            <xm:f>OR('1. Dashboard'!$G$11="School",'1. Dashboard'!$G$13=0, '1. Dashboard'!$H$53=0)</xm:f>
            <x14:dxf>
              <font>
                <color theme="0"/>
              </font>
              <fill>
                <patternFill>
                  <bgColor theme="0"/>
                </patternFill>
              </fill>
              <border>
                <left/>
                <right/>
                <top/>
                <bottom/>
              </border>
            </x14:dxf>
          </x14:cfRule>
          <xm:sqref>B2:G28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3E2EA373DFBD498FB42C39A405DE83" ma:contentTypeVersion="10" ma:contentTypeDescription="Create a new document." ma:contentTypeScope="" ma:versionID="03d0dfa26eedd4aef57194e9c5f2645d">
  <xsd:schema xmlns:xsd="http://www.w3.org/2001/XMLSchema" xmlns:xs="http://www.w3.org/2001/XMLSchema" xmlns:p="http://schemas.microsoft.com/office/2006/metadata/properties" xmlns:ns3="26719e3b-3542-432b-a32e-972ad665fc82" xmlns:ns4="56ffe2c2-d06f-4c70-aafd-f032b72c4846" targetNamespace="http://schemas.microsoft.com/office/2006/metadata/properties" ma:root="true" ma:fieldsID="7e5022328c539b0fdb0a8b156f0435e8" ns3:_="" ns4:_="">
    <xsd:import namespace="26719e3b-3542-432b-a32e-972ad665fc82"/>
    <xsd:import namespace="56ffe2c2-d06f-4c70-aafd-f032b72c484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719e3b-3542-432b-a32e-972ad665fc8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ffe2c2-d06f-4c70-aafd-f032b72c484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F65A20B7-034C-47BD-B3EC-ADE7E84D28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719e3b-3542-432b-a32e-972ad665fc82"/>
    <ds:schemaRef ds:uri="56ffe2c2-d06f-4c70-aafd-f032b72c48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5C01C7-4944-482A-A604-FB2AABFE76B4}">
  <ds:schemaRefs>
    <ds:schemaRef ds:uri="http://schemas.microsoft.com/sharepoint/v3/contenttype/forms"/>
  </ds:schemaRefs>
</ds:datastoreItem>
</file>

<file path=customXml/itemProps3.xml><?xml version="1.0" encoding="utf-8"?>
<ds:datastoreItem xmlns:ds="http://schemas.openxmlformats.org/officeDocument/2006/customXml" ds:itemID="{FC350921-0382-4792-91BE-5113F89AB909}">
  <ds:schemaRefs>
    <ds:schemaRef ds:uri="http://purl.org/dc/terms/"/>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56ffe2c2-d06f-4c70-aafd-f032b72c4846"/>
    <ds:schemaRef ds:uri="26719e3b-3542-432b-a32e-972ad665fc82"/>
    <ds:schemaRef ds:uri="http://www.w3.org/XML/1998/namespace"/>
  </ds:schemaRefs>
</ds:datastoreItem>
</file>

<file path=customXml/itemProps4.xml><?xml version="1.0" encoding="utf-8"?>
<ds:datastoreItem xmlns:ds="http://schemas.openxmlformats.org/officeDocument/2006/customXml" ds:itemID="{2116BD40-A8AB-4FFC-B314-EC33E697B4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55</vt:i4>
      </vt:variant>
    </vt:vector>
  </HeadingPairs>
  <TitlesOfParts>
    <vt:vector size="66" baseType="lpstr">
      <vt:lpstr>Review_Extract_Data</vt:lpstr>
      <vt:lpstr>DataDump</vt:lpstr>
      <vt:lpstr>DistrictList</vt:lpstr>
      <vt:lpstr>Instructions</vt:lpstr>
      <vt:lpstr>1. Dashboard</vt:lpstr>
      <vt:lpstr>Hidden</vt:lpstr>
      <vt:lpstr>2. L-2 Worksheet</vt:lpstr>
      <vt:lpstr>3. L-2 Dollar Certification</vt:lpstr>
      <vt:lpstr>4. Levy Rate Calculation</vt:lpstr>
      <vt:lpstr>5. Voter Tracker</vt:lpstr>
      <vt:lpstr>6. Capital Project</vt:lpstr>
      <vt:lpstr>Ada</vt:lpstr>
      <vt:lpstr>Adams</vt:lpstr>
      <vt:lpstr>Bannock</vt:lpstr>
      <vt:lpstr>BearLake</vt:lpstr>
      <vt:lpstr>Benewah</vt:lpstr>
      <vt:lpstr>Bingham</vt:lpstr>
      <vt:lpstr>Blaine</vt:lpstr>
      <vt:lpstr>Boise</vt:lpstr>
      <vt:lpstr>Bonner</vt:lpstr>
      <vt:lpstr>Bonneville</vt:lpstr>
      <vt:lpstr>Boundary</vt:lpstr>
      <vt:lpstr>Butte</vt:lpstr>
      <vt:lpstr>Camas</vt:lpstr>
      <vt:lpstr>Canyon</vt:lpstr>
      <vt:lpstr>Caribou</vt:lpstr>
      <vt:lpstr>Cassia</vt:lpstr>
      <vt:lpstr>Category</vt:lpstr>
      <vt:lpstr>Clark</vt:lpstr>
      <vt:lpstr>Clearwater</vt:lpstr>
      <vt:lpstr>CountyList</vt:lpstr>
      <vt:lpstr>Custer</vt:lpstr>
      <vt:lpstr>Elmore</vt:lpstr>
      <vt:lpstr>Franklin</vt:lpstr>
      <vt:lpstr>Fremont</vt:lpstr>
      <vt:lpstr>Gem</vt:lpstr>
      <vt:lpstr>Gooding</vt:lpstr>
      <vt:lpstr>Idaho</vt:lpstr>
      <vt:lpstr>Jefferson</vt:lpstr>
      <vt:lpstr>Jerome</vt:lpstr>
      <vt:lpstr>JointCounties</vt:lpstr>
      <vt:lpstr>JointDistricts</vt:lpstr>
      <vt:lpstr>Kootenai</vt:lpstr>
      <vt:lpstr>Latah</vt:lpstr>
      <vt:lpstr>Lemhi</vt:lpstr>
      <vt:lpstr>Lewis</vt:lpstr>
      <vt:lpstr>Lincoln</vt:lpstr>
      <vt:lpstr>Madison</vt:lpstr>
      <vt:lpstr>Minidoka</vt:lpstr>
      <vt:lpstr>NezPerce</vt:lpstr>
      <vt:lpstr>Oneida</vt:lpstr>
      <vt:lpstr>Owyhee</vt:lpstr>
      <vt:lpstr>Payette</vt:lpstr>
      <vt:lpstr>Power</vt:lpstr>
      <vt:lpstr>'1. Dashboard'!Print_Area</vt:lpstr>
      <vt:lpstr>'2. L-2 Worksheet'!Print_Area</vt:lpstr>
      <vt:lpstr>'3. L-2 Dollar Certification'!Print_Area</vt:lpstr>
      <vt:lpstr>'4. Levy Rate Calculation'!Print_Area</vt:lpstr>
      <vt:lpstr>'5. Voter Tracker'!Print_Area</vt:lpstr>
      <vt:lpstr>Shoshone</vt:lpstr>
      <vt:lpstr>Teton</vt:lpstr>
      <vt:lpstr>TwinFalls</vt:lpstr>
      <vt:lpstr>UserType</vt:lpstr>
      <vt:lpstr>Valley</vt:lpstr>
      <vt:lpstr>Washington</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Allison Dodge</cp:lastModifiedBy>
  <cp:lastPrinted>2023-12-27T18:59:00Z</cp:lastPrinted>
  <dcterms:created xsi:type="dcterms:W3CDTF">2021-03-02T15:46:05Z</dcterms:created>
  <dcterms:modified xsi:type="dcterms:W3CDTF">2024-05-22T22:14:28Z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0x010100A03E2EA373DFBD498FB42C39A405DE83</vt:lpwstr>
  </property>
</Properties>
</file>